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1917\"/>
    </mc:Choice>
  </mc:AlternateContent>
  <xr:revisionPtr revIDLastSave="0" documentId="13_ncr:1_{173BE058-3460-4FF6-8D66-9FC26F0580FB}" xr6:coauthVersionLast="47" xr6:coauthVersionMax="47" xr10:uidLastSave="{00000000-0000-0000-0000-000000000000}"/>
  <bookViews>
    <workbookView xWindow="3900" yWindow="3195" windowWidth="22965" windowHeight="11295" xr2:uid="{00000000-000D-0000-FFFF-FFFF00000000}"/>
  </bookViews>
  <sheets>
    <sheet name="1917th" sheetId="2" r:id="rId1"/>
  </sheets>
  <definedNames>
    <definedName name="_xlnm._FilterDatabase" localSheetId="0" hidden="1">'1917th'!$A$1:$I$1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70" i="2" l="1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<sst xmlns="http://schemas.openxmlformats.org/spreadsheetml/2006/main" count="5885" uniqueCount="3982">
  <si>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</si>
  <si>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</si>
  <si>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</si>
  <si>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</si>
  <si>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</si>
  <si>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</si>
  <si>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</si>
  <si>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</si>
  <si>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</si>
  <si>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</si>
  <si>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葡萄酒</t>
  </si>
  <si>
    <t>白酒</t>
  </si>
  <si>
    <r>
      <t>图</t>
    </r>
    <r>
      <rPr>
        <sz val="11"/>
        <color theme="1"/>
        <rFont val="ＭＳ Ｐゴシック"/>
        <family val="3"/>
        <charset val="128"/>
        <scheme val="minor"/>
      </rPr>
      <t>形</t>
    </r>
  </si>
  <si>
    <r>
      <t>河南仰韶酒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</si>
  <si>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州董酒股份有限公司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</si>
  <si>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</si>
  <si>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雨浩</t>
    </r>
  </si>
  <si>
    <r>
      <t>杨桢</t>
    </r>
    <r>
      <rPr>
        <sz val="11"/>
        <color theme="1"/>
        <rFont val="ＭＳ Ｐゴシック"/>
        <family val="3"/>
        <charset val="128"/>
        <scheme val="minor"/>
      </rPr>
      <t>琦</t>
    </r>
  </si>
  <si>
    <r>
      <t>舍得酒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</si>
  <si>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衡昌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</si>
  <si>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t>無し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</si>
  <si>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景阳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</si>
  <si>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江小白酒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</si>
  <si>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州老窖股份有限公司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</si>
  <si>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</si>
  <si>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山西杏花村汾酒厂股份有限公司</t>
  </si>
  <si>
    <r>
      <t>宜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食品工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</si>
  <si>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网易（杭州）网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</si>
  <si>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釜阳春酒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</si>
  <si>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洛阳</t>
    </r>
    <r>
      <rPr>
        <sz val="11"/>
        <color theme="1"/>
        <rFont val="ＭＳ Ｐゴシック"/>
        <family val="3"/>
        <charset val="134"/>
        <scheme val="minor"/>
      </rPr>
      <t>论</t>
    </r>
    <r>
      <rPr>
        <sz val="11"/>
        <color theme="1"/>
        <rFont val="ＭＳ Ｐゴシック"/>
        <family val="3"/>
        <charset val="128"/>
        <scheme val="minor"/>
      </rPr>
      <t>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</si>
  <si>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心恩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</si>
  <si>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坚</t>
    </r>
  </si>
  <si>
    <r>
      <t>王琮</t>
    </r>
    <r>
      <rPr>
        <sz val="11"/>
        <color theme="1"/>
        <rFont val="ＭＳ Ｐゴシック"/>
        <family val="3"/>
        <charset val="134"/>
        <scheme val="minor"/>
      </rPr>
      <t>凯</t>
    </r>
  </si>
  <si>
    <t>云禧品牌管理（深圳）有限公司</t>
  </si>
  <si>
    <t>吴昊</t>
  </si>
  <si>
    <r>
      <t>中国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州茅台酒厂（集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</si>
  <si>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t>张龙</t>
  </si>
  <si>
    <t>李双海</t>
  </si>
  <si>
    <r>
      <t>罗</t>
    </r>
    <r>
      <rPr>
        <sz val="11"/>
        <color theme="1"/>
        <rFont val="ＭＳ Ｐゴシック"/>
        <family val="3"/>
        <charset val="128"/>
        <scheme val="minor"/>
      </rPr>
      <t>曼尼酒庄（广州）有限公司</t>
    </r>
  </si>
  <si>
    <t>敬彦霞</t>
  </si>
  <si>
    <r>
      <t>保定醇源酒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</si>
  <si>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聚宝酒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</si>
  <si>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亳州中支酒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</si>
  <si>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翟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普</t>
    </r>
  </si>
  <si>
    <t>林楚城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</si>
  <si>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泰酒庄有限公司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</si>
  <si>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金生</t>
    </r>
  </si>
  <si>
    <r>
      <t>范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立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</si>
  <si>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山人家生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</si>
  <si>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振清</t>
    </r>
  </si>
  <si>
    <r>
      <t>大粤</t>
    </r>
    <r>
      <rPr>
        <sz val="11"/>
        <color theme="1"/>
        <rFont val="ＭＳ Ｐゴシック"/>
        <family val="3"/>
        <charset val="134"/>
        <scheme val="minor"/>
      </rPr>
      <t>团圆</t>
    </r>
    <r>
      <rPr>
        <sz val="11"/>
        <color theme="1"/>
        <rFont val="ＭＳ Ｐゴシック"/>
        <family val="3"/>
        <charset val="128"/>
        <scheme val="minor"/>
      </rPr>
      <t>食品（佛山市）有限公司</t>
    </r>
  </si>
  <si>
    <r>
      <t>陈劲</t>
    </r>
    <r>
      <rPr>
        <sz val="11"/>
        <color theme="1"/>
        <rFont val="ＭＳ Ｐゴシック"/>
        <family val="3"/>
        <charset val="128"/>
        <scheme val="minor"/>
      </rPr>
      <t>珍</t>
    </r>
  </si>
  <si>
    <t>黄川</t>
  </si>
  <si>
    <r>
      <t>环</t>
    </r>
    <r>
      <rPr>
        <sz val="11"/>
        <color theme="1"/>
        <rFont val="ＭＳ Ｐゴシック"/>
        <family val="3"/>
        <charset val="128"/>
        <scheme val="minor"/>
      </rPr>
      <t>球佳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</si>
  <si>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北京十方界酒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</si>
  <si>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史春吓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</si>
  <si>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世能工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</si>
  <si>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威士忌</t>
  </si>
  <si>
    <r>
      <t>威海百合生物技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</si>
  <si>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t>杜坦</t>
  </si>
  <si>
    <t>黄森</t>
  </si>
  <si>
    <t>吴超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</si>
  <si>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州品味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</si>
  <si>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</si>
  <si>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AMOURVINO NB</t>
  </si>
  <si>
    <r>
      <t>爱</t>
    </r>
    <r>
      <rPr>
        <sz val="11"/>
        <color theme="1"/>
        <rFont val="ＭＳ Ｐゴシック"/>
        <family val="3"/>
        <charset val="128"/>
        <scheme val="minor"/>
      </rPr>
      <t>慕酒庄有限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</si>
  <si>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开胃酒; 蒸煮提取物（利口酒和烈酒）; 葡萄酒; 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酸酒（低等葡萄酒）</t>
    </r>
  </si>
  <si>
    <t>埇酒</t>
  </si>
  <si>
    <r>
      <t>濉溪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老</t>
    </r>
    <r>
      <rPr>
        <sz val="11"/>
        <color theme="1"/>
        <rFont val="ＭＳ Ｐゴシック"/>
        <family val="3"/>
        <charset val="134"/>
        <scheme val="minor"/>
      </rPr>
      <t>桩酿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</si>
  <si>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伏特加酒; 威士忌; 朗姆酒; 果酒; 白酒;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</si>
  <si>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元泉酒</t>
  </si>
  <si>
    <r>
      <t>大通世界（北京）国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旅游有限公司</t>
    </r>
  </si>
  <si>
    <r>
      <t>白酒;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汽酒; 蜂蜜酒</t>
    </r>
  </si>
  <si>
    <t>教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</si>
  <si>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州情景酒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</si>
  <si>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</si>
  <si>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SCHWEPPES 怡泉</t>
  </si>
  <si>
    <r>
      <t>欧洲食品和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料无限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</si>
  <si>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餐后酒（利口酒和烈酒）;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白酒; 烈酒;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水果味酒精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</si>
  <si>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鼎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</si>
  <si>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市每沿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</si>
  <si>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葡萄酒</t>
    </r>
  </si>
  <si>
    <t>TEREMANA</t>
  </si>
  <si>
    <t>西特巴克斯烈酒有限公司</t>
  </si>
  <si>
    <r>
      <t>龙</t>
    </r>
    <r>
      <rPr>
        <sz val="11"/>
        <color theme="1"/>
        <rFont val="ＭＳ Ｐゴシック"/>
        <family val="3"/>
        <charset val="128"/>
        <scheme val="minor"/>
      </rPr>
      <t>舌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酒; 威士忌; 葡萄酒;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杜松子酒; 朗姆酒;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</si>
  <si>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倡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</si>
  <si>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米酒; 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</si>
  <si>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 xml:space="preserve"> DONGJIANGJIU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</si>
  <si>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</si>
  <si>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</si>
  <si>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凤领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</si>
  <si>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西国金酒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</si>
  <si>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开胃酒; 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白酒; 米酒</t>
    </r>
  </si>
  <si>
    <r>
      <t>凤领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</si>
  <si>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米酒;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</si>
  <si>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台寿</t>
  </si>
  <si>
    <t>武夷山市雪淘茶叶店</t>
  </si>
  <si>
    <r>
      <t xml:space="preserve">米酒; 果酒（含酒精）; 葡萄酒; 清酒（日本米酒）;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</si>
  <si>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柳溪古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</si>
  <si>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岛鸿</t>
    </r>
    <r>
      <rPr>
        <sz val="11"/>
        <color theme="1"/>
        <rFont val="ＭＳ Ｐゴシック"/>
        <family val="3"/>
        <charset val="128"/>
        <scheme val="minor"/>
      </rPr>
      <t>博酒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</si>
  <si>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甜酒; 果酒; 葡萄酒; 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</si>
  <si>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典</t>
    </r>
    <r>
      <rPr>
        <sz val="11"/>
        <color theme="1"/>
        <rFont val="ＭＳ Ｐゴシック"/>
        <family val="3"/>
        <charset val="134"/>
        <scheme val="minor"/>
      </rPr>
      <t>尝</t>
    </r>
  </si>
  <si>
    <t>戴林美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</si>
  <si>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白酒; 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</si>
  <si>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小糊涂仙.金樽</t>
  </si>
  <si>
    <r>
      <t>小糊涂仙酒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)有限公司</t>
    </r>
  </si>
  <si>
    <r>
      <t>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</t>
    </r>
  </si>
  <si>
    <t>心分享 唯心 ENJOY LIFE</t>
  </si>
  <si>
    <t>心分享（上海）食品有限公司</t>
  </si>
  <si>
    <r>
      <t xml:space="preserve">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果酒（含酒精）; 伏特加酒; 朗姆酒; 黄酒</t>
    </r>
  </si>
  <si>
    <t>聚 酒 聚藏古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</si>
  <si>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州善牌酒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</si>
  <si>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白酒; 果酒（含酒精）;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</si>
  <si>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灯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</si>
  <si>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海（山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</si>
  <si>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高粱酒; 利口酒;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烈酒; 葡萄酒</t>
    </r>
  </si>
  <si>
    <t>健鼎</t>
  </si>
  <si>
    <r>
      <t>徐</t>
    </r>
    <r>
      <rPr>
        <sz val="11"/>
        <color theme="1"/>
        <rFont val="ＭＳ Ｐゴシック"/>
        <family val="3"/>
        <charset val="134"/>
        <scheme val="minor"/>
      </rPr>
      <t>鹏飞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</si>
  <si>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葡萄酒; 青稞酒;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高粱酒</t>
    </r>
  </si>
  <si>
    <t>梅咏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</si>
  <si>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佳云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</si>
  <si>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</si>
  <si>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张连</t>
    </r>
    <r>
      <rPr>
        <sz val="11"/>
        <color theme="1"/>
        <rFont val="ＭＳ Ｐゴシック"/>
        <family val="3"/>
        <charset val="128"/>
        <scheme val="minor"/>
      </rPr>
      <t>志</t>
    </r>
  </si>
  <si>
    <r>
      <t>天津粤唯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</si>
  <si>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</si>
  <si>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佳媄柳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村</t>
    </r>
  </si>
  <si>
    <r>
      <t>蔡美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</si>
  <si>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酸酒（低等葡萄酒）;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蜂蜜酒;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白酒; 餐后酒（利口酒和烈酒）; 开胃酒; 黄酒</t>
    </r>
  </si>
  <si>
    <r>
      <t>二</t>
    </r>
    <r>
      <rPr>
        <sz val="11"/>
        <color theme="1"/>
        <rFont val="ＭＳ Ｐゴシック"/>
        <family val="3"/>
        <charset val="134"/>
        <scheme val="minor"/>
      </rPr>
      <t>俩</t>
    </r>
    <r>
      <rPr>
        <sz val="11"/>
        <color theme="1"/>
        <rFont val="ＭＳ Ｐゴシック"/>
        <family val="3"/>
        <charset val="128"/>
        <scheme val="minor"/>
      </rPr>
      <t>悠然</t>
    </r>
  </si>
  <si>
    <t>胡礼余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</si>
  <si>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威士忌; 黄酒; 柑香酒;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朗姆酒</t>
    </r>
  </si>
  <si>
    <t>七兄弟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</si>
  <si>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聚七兄弟酒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</si>
  <si>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白葡萄酒;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烈酒; 起泡白葡萄酒;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</t>
    </r>
  </si>
  <si>
    <t>臻祥</t>
  </si>
  <si>
    <r>
      <t>宁城元力保健酒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</si>
  <si>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烈酒; 白酒; 果酒（含酒精）; 白干酒（中国白酒）</t>
    </r>
  </si>
  <si>
    <r>
      <t>岩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洞藏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</si>
  <si>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义腾锐</t>
    </r>
    <r>
      <rPr>
        <sz val="11"/>
        <color theme="1"/>
        <rFont val="ＭＳ Ｐゴシック"/>
        <family val="3"/>
        <charset val="128"/>
        <scheme val="minor"/>
      </rPr>
      <t>新能源有限公司</t>
    </r>
  </si>
  <si>
    <r>
      <t>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高粱酒; 伏特加酒; 烈酒; 白干酒（中国白酒）</t>
    </r>
  </si>
  <si>
    <r>
      <t>热</t>
    </r>
    <r>
      <rPr>
        <sz val="11"/>
        <color theme="1"/>
        <rFont val="ＭＳ Ｐゴシック"/>
        <family val="3"/>
        <charset val="128"/>
        <scheme val="minor"/>
      </rPr>
      <t>烈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</si>
  <si>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高粱酒;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</si>
  <si>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周高廉</t>
  </si>
  <si>
    <t>熊才英</t>
  </si>
  <si>
    <r>
      <t>亚</t>
    </r>
    <r>
      <rPr>
        <sz val="11"/>
        <color theme="1"/>
        <rFont val="ＭＳ Ｐゴシック"/>
        <family val="3"/>
        <charset val="128"/>
        <scheme val="minor"/>
      </rPr>
      <t>力酒; 威士忌; 开胃酒; 清酒（日本米酒）;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</si>
  <si>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天地大音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</si>
  <si>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州正永和酒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</si>
  <si>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清酒; 高粱酒;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青稞酒; 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</t>
    </r>
  </si>
  <si>
    <t>极尊皇品</t>
  </si>
  <si>
    <r>
      <t>深圳德昇</t>
    </r>
    <r>
      <rPr>
        <sz val="11"/>
        <color theme="1"/>
        <rFont val="ＭＳ Ｐゴシック"/>
        <family val="3"/>
        <charset val="134"/>
        <scheme val="minor"/>
      </rPr>
      <t>实业贸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</si>
  <si>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麦芽威士忌;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青稞酒; 清酒（日本米酒）; 果酒（含酒精）; 黄酒</t>
    </r>
  </si>
  <si>
    <t>赢</t>
  </si>
  <si>
    <r>
      <t>张伟</t>
    </r>
    <r>
      <rPr>
        <sz val="11"/>
        <color theme="1"/>
        <rFont val="ＭＳ Ｐゴシック"/>
        <family val="3"/>
        <charset val="128"/>
        <scheme val="minor"/>
      </rPr>
      <t>振</t>
    </r>
  </si>
  <si>
    <r>
      <t>葡萄酒; 蒸煮提取物（利口酒和烈酒）;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白干酒（中国白酒）; 果酒（含酒精）;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</si>
  <si>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LONGMAY MAX'S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</si>
  <si>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依宇国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</si>
  <si>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</si>
  <si>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</si>
  <si>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上海康</t>
    </r>
    <r>
      <rPr>
        <sz val="11"/>
        <color theme="1"/>
        <rFont val="ＭＳ Ｐゴシック"/>
        <family val="3"/>
        <charset val="134"/>
        <scheme val="minor"/>
      </rPr>
      <t>钧</t>
    </r>
    <r>
      <rPr>
        <sz val="11"/>
        <color theme="1"/>
        <rFont val="ＭＳ Ｐゴシック"/>
        <family val="3"/>
        <charset val="128"/>
        <scheme val="minor"/>
      </rPr>
      <t>元科技有限公司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</si>
  <si>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</t>
    </r>
  </si>
  <si>
    <t>黔王囍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</si>
  <si>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州黔王匠王台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</si>
  <si>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蜂蜜酒; 清酒（日本米酒）;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黄酒</t>
    </r>
  </si>
  <si>
    <r>
      <t>腾</t>
    </r>
    <r>
      <rPr>
        <sz val="11"/>
        <color theme="1"/>
        <rFont val="ＭＳ Ｐゴシック"/>
        <family val="3"/>
        <charset val="128"/>
        <scheme val="minor"/>
      </rPr>
      <t>源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</si>
  <si>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孙钰</t>
    </r>
    <r>
      <rPr>
        <sz val="11"/>
        <color theme="1"/>
        <rFont val="ＭＳ Ｐゴシック"/>
        <family val="3"/>
        <charset val="128"/>
        <scheme val="minor"/>
      </rPr>
      <t>彭</t>
    </r>
  </si>
  <si>
    <r>
      <t>黄酒;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葡萄酒; 梨酒; 蜂蜜酒</t>
    </r>
  </si>
  <si>
    <r>
      <t>谷元 粮谷精元 天成神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</si>
  <si>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</si>
  <si>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谷元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</si>
  <si>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</si>
  <si>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江小伙</t>
  </si>
  <si>
    <r>
      <t>都匀开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区黔匀酒厂</t>
    </r>
  </si>
  <si>
    <r>
      <t>米酒; 葡萄酒;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</si>
  <si>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双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</si>
  <si>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泗洪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双沟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集园酒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</si>
  <si>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黄酒;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</si>
  <si>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鹿</t>
    </r>
    <r>
      <rPr>
        <sz val="11"/>
        <color theme="1"/>
        <rFont val="ＭＳ Ｐゴシック"/>
        <family val="3"/>
        <charset val="134"/>
        <scheme val="minor"/>
      </rPr>
      <t>龟</t>
    </r>
    <r>
      <rPr>
        <sz val="11"/>
        <color theme="1"/>
        <rFont val="ＭＳ Ｐゴシック"/>
        <family val="3"/>
        <charset val="128"/>
        <scheme val="minor"/>
      </rPr>
      <t>福</t>
    </r>
  </si>
  <si>
    <t>王学祥</t>
  </si>
  <si>
    <r>
      <t>果酒（含酒精）; 苦味酒; 开胃酒; 葡萄酒;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</si>
  <si>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ARXIPA 艾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西帕</t>
    </r>
  </si>
  <si>
    <r>
      <t>艾斯卡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江·尼扎木丁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</si>
  <si>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葡萄酒;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混合威士忌酒; 甜酒; 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</si>
  <si>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达欧</t>
  </si>
  <si>
    <r>
      <t>达欧酒庄有限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</si>
  <si>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起泡白葡萄酒; 餐后酒（利口酒和烈酒）; 加烈葡萄酒; 葡萄汽酒;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</t>
    </r>
  </si>
  <si>
    <t>浩丰</t>
  </si>
  <si>
    <r>
      <t>四川浩丰酒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</si>
  <si>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伏特加酒; 白酒; 甜果酒; 开胃酒; 米酒</t>
    </r>
  </si>
  <si>
    <t>康如虎</t>
  </si>
  <si>
    <r>
      <t>深圳市茅</t>
    </r>
    <r>
      <rPr>
        <sz val="11"/>
        <color theme="1"/>
        <rFont val="ＭＳ Ｐゴシック"/>
        <family val="3"/>
        <charset val="134"/>
        <scheme val="minor"/>
      </rPr>
      <t>电实业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</si>
  <si>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威士忌; 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</si>
  <si>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太极泉</t>
  </si>
  <si>
    <r>
      <t>北京百年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</si>
  <si>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</si>
  <si>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舌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葡萄酒;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烈酒; 利口酒; 威士忌; 杜松子酒</t>
    </r>
  </si>
  <si>
    <r>
      <t>彩食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</si>
  <si>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永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彩食</t>
    </r>
    <r>
      <rPr>
        <sz val="11"/>
        <color theme="1"/>
        <rFont val="ＭＳ Ｐゴシック"/>
        <family val="3"/>
        <charset val="134"/>
        <scheme val="minor"/>
      </rPr>
      <t>鲜发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</si>
  <si>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</si>
  <si>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启真酒</t>
  </si>
  <si>
    <r>
      <t>浙江浙大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正科技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新服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</si>
  <si>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白酒;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</si>
  <si>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大邦</t>
  </si>
  <si>
    <r>
      <t>胡舒</t>
    </r>
    <r>
      <rPr>
        <sz val="11"/>
        <color theme="1"/>
        <rFont val="ＭＳ Ｐゴシック"/>
        <family val="3"/>
        <charset val="134"/>
        <scheme val="minor"/>
      </rPr>
      <t>娴</t>
    </r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</si>
  <si>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</si>
  <si>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杏中</t>
  </si>
  <si>
    <r>
      <t>山西青花中茶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</si>
  <si>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高粱酒; 开胃酒; 黄酒; 白酒</t>
    </r>
  </si>
  <si>
    <r>
      <t>酒名</t>
    </r>
    <r>
      <rPr>
        <sz val="11"/>
        <color theme="1"/>
        <rFont val="ＭＳ Ｐゴシック"/>
        <family val="3"/>
        <charset val="134"/>
        <scheme val="minor"/>
      </rPr>
      <t>远扬</t>
    </r>
  </si>
  <si>
    <t>黄阳洋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</si>
  <si>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白酒; 米酒</t>
    </r>
  </si>
  <si>
    <r>
      <t>尚谷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</si>
  <si>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内蒙古尚典酒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</si>
  <si>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</si>
  <si>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湜源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</si>
  <si>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阳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</si>
  <si>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</si>
  <si>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康金井</t>
  </si>
  <si>
    <r>
      <t>贲兰</t>
    </r>
    <r>
      <rPr>
        <sz val="11"/>
        <color theme="1"/>
        <rFont val="ＭＳ Ｐゴシック"/>
        <family val="3"/>
        <charset val="128"/>
        <scheme val="minor"/>
      </rPr>
      <t>增</t>
    </r>
  </si>
  <si>
    <r>
      <t>含酒精蛋奶酒;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黄酒; 蜂蜜酒; 烈性干酒;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蒸煮提取物（利口酒和烈酒）</t>
    </r>
  </si>
  <si>
    <t>健品源河北生物科技有限公司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</si>
  <si>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</si>
  <si>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魔的</t>
    </r>
    <r>
      <rPr>
        <sz val="11"/>
        <color theme="1"/>
        <rFont val="ＭＳ Ｐゴシック"/>
        <family val="3"/>
        <charset val="134"/>
        <scheme val="minor"/>
      </rPr>
      <t>叹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</si>
  <si>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西西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</si>
  <si>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</si>
  <si>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谊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</si>
  <si>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锐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</si>
  <si>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高粱酒;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葡萄酒; 白干酒（中国白酒）;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</si>
  <si>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海南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特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游艇俱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部有限公司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</si>
  <si>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黄酒;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</si>
  <si>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深圳市海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司品牌管理有限公司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</si>
  <si>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烈酒;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清酒; 果酒; 葡萄酒; 白酒</t>
    </r>
  </si>
  <si>
    <t>老船湾</t>
  </si>
  <si>
    <t>邬艳艳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</si>
  <si>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果酒;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</si>
  <si>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四合</t>
    </r>
    <r>
      <rPr>
        <sz val="11"/>
        <color theme="1"/>
        <rFont val="ＭＳ Ｐゴシック"/>
        <family val="3"/>
        <charset val="134"/>
        <scheme val="minor"/>
      </rPr>
      <t>荟</t>
    </r>
  </si>
  <si>
    <t>孟朝阳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</si>
  <si>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米酒; 果酒（含酒精）; 威士忌</t>
    </r>
  </si>
  <si>
    <t>MIJIA</t>
  </si>
  <si>
    <r>
      <t>小米科技有限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</si>
  <si>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含酒精的气泡水;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威士忌;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米酒</t>
    </r>
  </si>
  <si>
    <t>仁青茨姆</t>
  </si>
  <si>
    <r>
      <t>鲁车</t>
    </r>
    <r>
      <rPr>
        <sz val="11"/>
        <color theme="1"/>
        <rFont val="ＭＳ Ｐゴシック"/>
        <family val="3"/>
        <charset val="128"/>
        <scheme val="minor"/>
      </rPr>
      <t>次姆</t>
    </r>
  </si>
  <si>
    <t>葡萄酒; 果酒（含酒精）; 青稞酒</t>
  </si>
  <si>
    <r>
      <t xml:space="preserve">生米酒 麹醇堂 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克</t>
    </r>
    <r>
      <rPr>
        <sz val="11"/>
        <color theme="1"/>
        <rFont val="ＭＳ Ｐゴシック"/>
        <family val="3"/>
        <charset val="134"/>
        <scheme val="minor"/>
      </rPr>
      <t>丽</t>
    </r>
  </si>
  <si>
    <t>株式会社麹醇堂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</si>
  <si>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酒; 日式甜米酒;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 xml:space="preserve">米酒）;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</si>
  <si>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北京市平谷区</t>
    </r>
    <r>
      <rPr>
        <sz val="11"/>
        <color theme="1"/>
        <rFont val="ＭＳ Ｐゴシック"/>
        <family val="3"/>
        <charset val="134"/>
        <scheme val="minor"/>
      </rPr>
      <t>镇罗营镇</t>
    </r>
    <r>
      <rPr>
        <sz val="11"/>
        <color theme="1"/>
        <rFont val="ＭＳ Ｐゴシック"/>
        <family val="3"/>
        <charset val="128"/>
        <scheme val="minor"/>
      </rPr>
      <t>科</t>
    </r>
    <r>
      <rPr>
        <sz val="11"/>
        <color theme="1"/>
        <rFont val="ＭＳ Ｐゴシック"/>
        <family val="3"/>
        <charset val="134"/>
        <scheme val="minor"/>
      </rPr>
      <t>创农业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</si>
  <si>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果酒（含酒精）; 蜂蜜酒</t>
    </r>
  </si>
  <si>
    <t>桃小泉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</si>
  <si>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蜂蜜酒</t>
    </r>
  </si>
  <si>
    <t>精博酒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</si>
  <si>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州古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</si>
  <si>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白干酒（中国白酒）; 白酒; 利口酒;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果酒（含酒精）;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开胃酒</t>
    </r>
  </si>
  <si>
    <t>逍遥作</t>
  </si>
  <si>
    <t>刘淋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</si>
  <si>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清酒（日本米酒）; 米酒; 葡萄酒; 白酒;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威士忌</t>
    </r>
  </si>
  <si>
    <r>
      <t>玉笋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 xml:space="preserve"> YUSUN AGRICULTURE</t>
    </r>
  </si>
  <si>
    <r>
      <t>镇</t>
    </r>
    <r>
      <rPr>
        <sz val="11"/>
        <color theme="1"/>
        <rFont val="ＭＳ Ｐゴシック"/>
        <family val="3"/>
        <charset val="128"/>
        <scheme val="minor"/>
      </rPr>
      <t>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高峰</t>
    </r>
    <r>
      <rPr>
        <sz val="11"/>
        <color theme="1"/>
        <rFont val="ＭＳ Ｐゴシック"/>
        <family val="3"/>
        <charset val="134"/>
        <scheme val="minor"/>
      </rPr>
      <t>镇农</t>
    </r>
    <r>
      <rPr>
        <sz val="11"/>
        <color theme="1"/>
        <rFont val="ＭＳ Ｐゴシック"/>
        <family val="3"/>
        <charset val="128"/>
        <scheme val="minor"/>
      </rPr>
      <t>科村股份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</si>
  <si>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白酒;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</si>
  <si>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COUTANSEAUX AINE</t>
  </si>
  <si>
    <r>
      <t>古檀</t>
    </r>
    <r>
      <rPr>
        <sz val="11"/>
        <color theme="1"/>
        <rFont val="ＭＳ Ｐゴシック"/>
        <family val="3"/>
        <charset val="134"/>
        <scheme val="minor"/>
      </rPr>
      <t>简</t>
    </r>
    <r>
      <rPr>
        <sz val="11"/>
        <color theme="1"/>
        <rFont val="ＭＳ Ｐゴシック"/>
        <family val="3"/>
        <charset val="128"/>
        <scheme val="minor"/>
      </rPr>
      <t>易股份有限公司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</si>
  <si>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蒸煮提取物（利口酒和烈酒）;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烈酒; 葡萄酒</t>
    </r>
  </si>
  <si>
    <t>芝气</t>
  </si>
  <si>
    <t>深圳共原生物科技有限公司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</si>
  <si>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</si>
  <si>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膳品御宴</t>
  </si>
  <si>
    <r>
      <t>谭</t>
    </r>
    <r>
      <rPr>
        <sz val="11"/>
        <color theme="1"/>
        <rFont val="ＭＳ Ｐゴシック"/>
        <family val="3"/>
        <charset val="128"/>
        <scheme val="minor"/>
      </rPr>
      <t>永会</t>
    </r>
  </si>
  <si>
    <r>
      <t>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果酒（含酒精）; 米酒; 葡萄酒;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</si>
  <si>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楚武匠魂</t>
  </si>
  <si>
    <r>
      <t>刘关</t>
    </r>
    <r>
      <rPr>
        <sz val="11"/>
        <color theme="1"/>
        <rFont val="ＭＳ Ｐゴシック"/>
        <family val="3"/>
        <charset val="134"/>
        <scheme val="minor"/>
      </rPr>
      <t>权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</si>
  <si>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</si>
  <si>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老杜巴 OLDDURBAR</t>
  </si>
  <si>
    <r>
      <t>西藏老杜巴商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</si>
  <si>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</si>
  <si>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中清酒城</t>
  </si>
  <si>
    <t>李新宇</t>
  </si>
  <si>
    <r>
      <t>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清酒;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米酒; 黄酒</t>
    </r>
  </si>
  <si>
    <t>盒厨子</t>
  </si>
  <si>
    <r>
      <t>盒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（中国）有限公司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</si>
  <si>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清酒; 白酒; 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</si>
  <si>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茂名市体育</t>
    </r>
    <r>
      <rPr>
        <sz val="11"/>
        <color theme="1"/>
        <rFont val="ＭＳ Ｐゴシック"/>
        <family val="3"/>
        <charset val="134"/>
        <scheme val="minor"/>
      </rPr>
      <t>场馆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</si>
  <si>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开胃酒;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</si>
  <si>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旺喜旺 大礼包</t>
  </si>
  <si>
    <r>
      <t>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白酒; 葡萄酒</t>
    </r>
  </si>
  <si>
    <t>辣人 MR.HOT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</si>
  <si>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葡萄酒</t>
    </r>
  </si>
  <si>
    <r>
      <t>阿卜杜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合曼·如</t>
    </r>
    <r>
      <rPr>
        <sz val="11"/>
        <color theme="1"/>
        <rFont val="ＭＳ Ｐゴシック"/>
        <family val="3"/>
        <charset val="134"/>
        <scheme val="minor"/>
      </rPr>
      <t>则</t>
    </r>
    <r>
      <rPr>
        <sz val="11"/>
        <color theme="1"/>
        <rFont val="ＭＳ Ｐゴシック"/>
        <family val="3"/>
        <charset val="128"/>
        <scheme val="minor"/>
      </rPr>
      <t>麦麦提</t>
    </r>
  </si>
  <si>
    <r>
      <t>烈酒; 开胃酒; 果酒; 威士忌; 混合威士忌酒;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</si>
  <si>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天下一番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</si>
  <si>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汽酒; 白酒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</si>
  <si>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架藏6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</si>
  <si>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架生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</si>
  <si>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黄酒; 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</si>
  <si>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架藏9</t>
    </r>
  </si>
  <si>
    <r>
      <t>威士忌; 白酒;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</si>
  <si>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火</t>
    </r>
    <r>
      <rPr>
        <sz val="11"/>
        <color theme="1"/>
        <rFont val="ＭＳ Ｐゴシック"/>
        <family val="3"/>
        <charset val="134"/>
        <scheme val="minor"/>
      </rPr>
      <t>舰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</si>
  <si>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焰天下科技有限公司</t>
    </r>
  </si>
  <si>
    <r>
      <t>米酒; 葡萄酒;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果酒; 甜酒</t>
    </r>
  </si>
  <si>
    <t>北京大河岸万全圣方生物科技有限公司</t>
  </si>
  <si>
    <r>
      <t>食用酒精;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餐后酒（利口酒和烈酒）; 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</si>
  <si>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松定制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</si>
  <si>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松在</t>
    </r>
    <r>
      <rPr>
        <sz val="11"/>
        <color theme="1"/>
        <rFont val="ＭＳ Ｐゴシック"/>
        <family val="3"/>
        <charset val="134"/>
        <scheme val="minor"/>
      </rPr>
      <t>线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</si>
  <si>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汽酒;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</t>
    </r>
  </si>
  <si>
    <t>中芝源</t>
  </si>
  <si>
    <t>中芝源健康食品（大姚）有限公司</t>
  </si>
  <si>
    <t>高粱酒</t>
  </si>
  <si>
    <r>
      <t>苗家榜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</si>
  <si>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苗家榜</t>
    </r>
    <r>
      <rPr>
        <sz val="11"/>
        <color theme="1"/>
        <rFont val="ＭＳ Ｐゴシック"/>
        <family val="3"/>
        <charset val="134"/>
        <scheme val="minor"/>
      </rPr>
      <t>爷</t>
    </r>
    <r>
      <rPr>
        <sz val="11"/>
        <color theme="1"/>
        <rFont val="ＭＳ Ｐゴシック"/>
        <family val="3"/>
        <charset val="128"/>
        <scheme val="minor"/>
      </rPr>
      <t>（湖南）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牧科技有限公司</t>
    </r>
  </si>
  <si>
    <r>
      <t xml:space="preserve">白葡萄酒;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清酒; 高粱酒;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黄酒; 梅酒</t>
    </r>
  </si>
  <si>
    <r>
      <t xml:space="preserve">TIAN HOUSE DESSERT </t>
    </r>
    <r>
      <rPr>
        <sz val="11"/>
        <color theme="1"/>
        <rFont val="ＭＳ Ｐゴシック"/>
        <family val="3"/>
        <charset val="129"/>
        <scheme val="minor"/>
      </rPr>
      <t>甛</t>
    </r>
    <r>
      <rPr>
        <sz val="11"/>
        <color theme="1"/>
        <rFont val="ＭＳ Ｐゴシック"/>
        <family val="3"/>
        <charset val="128"/>
        <scheme val="minor"/>
      </rPr>
      <t>舍</t>
    </r>
  </si>
  <si>
    <r>
      <t>广州胡桃妮子文化活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</si>
  <si>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</si>
  <si>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SHUDAO INVESTMENT GROUP</t>
  </si>
  <si>
    <r>
      <t>蜀道投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</si>
  <si>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朗姆酒;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</t>
    </r>
  </si>
  <si>
    <t>炎黄力量</t>
  </si>
  <si>
    <t>刘兆旭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</si>
  <si>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</si>
  <si>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川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</si>
  <si>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合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</si>
  <si>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露酒;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黄酒</t>
    </r>
  </si>
  <si>
    <t>封裕</t>
  </si>
  <si>
    <r>
      <t>王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</si>
  <si>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开胃酒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</si>
  <si>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俊豪</t>
    </r>
  </si>
  <si>
    <r>
      <t>葡萄酒; 白酒; 白干酒（中国白酒）;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</si>
  <si>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帝圣康乾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</si>
  <si>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泽阔</t>
    </r>
    <r>
      <rPr>
        <sz val="11"/>
        <color theme="1"/>
        <rFont val="ＭＳ Ｐゴシック"/>
        <family val="3"/>
        <charset val="128"/>
        <scheme val="minor"/>
      </rPr>
      <t>升韵商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</si>
  <si>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青稞酒;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白干酒（中国白酒）</t>
    </r>
  </si>
  <si>
    <t>巴河魂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</si>
  <si>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市隆泰包装有限公司</t>
    </r>
  </si>
  <si>
    <r>
      <t xml:space="preserve">果酒（含酒精）;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</si>
  <si>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WINEOFBAIMA</t>
  </si>
  <si>
    <r>
      <t>宁夏小圃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</si>
  <si>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蜂蜜酒;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加烈葡萄酒;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</si>
  <si>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HULINBURIS CULILIARC 呼</t>
    </r>
    <r>
      <rPr>
        <sz val="11"/>
        <color theme="1"/>
        <rFont val="ＭＳ Ｐゴシック"/>
        <family val="3"/>
        <charset val="134"/>
        <scheme val="minor"/>
      </rPr>
      <t>伦贝尔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</si>
  <si>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呼</t>
    </r>
    <r>
      <rPr>
        <sz val="11"/>
        <color theme="1"/>
        <rFont val="ＭＳ Ｐゴシック"/>
        <family val="3"/>
        <charset val="134"/>
        <scheme val="minor"/>
      </rPr>
      <t>伦贝尔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</si>
  <si>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白酒; 蒸煮提取物（利口酒和烈酒）; 利口酒;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</si>
  <si>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盒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9"/>
        <scheme val="minor"/>
      </rPr>
      <t>嗨</t>
    </r>
    <r>
      <rPr>
        <sz val="11"/>
        <color theme="1"/>
        <rFont val="ＭＳ Ｐゴシック"/>
        <family val="3"/>
        <charset val="128"/>
        <scheme val="minor"/>
      </rPr>
      <t>棒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</si>
  <si>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清酒（日本米酒）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</si>
  <si>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廷名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</si>
  <si>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州一号大院酒庄股份有限公司</t>
    </r>
  </si>
  <si>
    <r>
      <t>果酒（含酒精）; 米酒; 露酒; 梅酒;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高粱酒;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</si>
  <si>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逆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</si>
  <si>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刘新</t>
    </r>
    <r>
      <rPr>
        <sz val="11"/>
        <color theme="1"/>
        <rFont val="ＭＳ Ｐゴシック"/>
        <family val="3"/>
        <charset val="134"/>
        <scheme val="minor"/>
      </rPr>
      <t>环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</si>
  <si>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清酒; 露酒;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白酒; 米酒; 果酒（含酒精）</t>
    </r>
  </si>
  <si>
    <r>
      <t>嗨</t>
    </r>
    <r>
      <rPr>
        <sz val="11"/>
        <color theme="1"/>
        <rFont val="ＭＳ Ｐゴシック"/>
        <family val="3"/>
        <charset val="128"/>
        <scheme val="minor"/>
      </rPr>
      <t>心巴士</t>
    </r>
  </si>
  <si>
    <r>
      <t>烟台市公交集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</si>
  <si>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</si>
  <si>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沧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</si>
  <si>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姚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先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</si>
  <si>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薄荷酒; 黄酒;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</si>
  <si>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</si>
  <si>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开胃酒;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清酒（日本米酒）; 葡萄酒</t>
    </r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</si>
  <si>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葡萄酒</t>
    </r>
  </si>
  <si>
    <t>味小宝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</si>
  <si>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百味商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</si>
  <si>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米酒</t>
  </si>
  <si>
    <r>
      <t>祥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</si>
  <si>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云供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</si>
  <si>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高粱酒; 果酒; 水果汽酒;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白葡萄酒; 米酒</t>
    </r>
  </si>
  <si>
    <t>鑫清峰岭</t>
  </si>
  <si>
    <r>
      <t>安徽青峰岭共享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</si>
  <si>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梨酒; 米酒; 含酒精的气泡水;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苹果酒;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</si>
  <si>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BRANDY MAX</t>
  </si>
  <si>
    <r>
      <t xml:space="preserve">葡萄酒;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黄酒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</si>
  <si>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境帝翠</t>
    </r>
  </si>
  <si>
    <r>
      <t>天津恒妙祥生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</si>
  <si>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黄酒; 蜂蜜酒; 苹果酒;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利口酒; 果酒（含酒精）; 杜松子酒</t>
    </r>
  </si>
  <si>
    <t>WEI GONG'YOUTH X</t>
  </si>
  <si>
    <r>
      <t>北京金力控股集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</si>
  <si>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食用酒精;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</t>
    </r>
  </si>
  <si>
    <r>
      <t>魏公芳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里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</si>
  <si>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</si>
  <si>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直升白酒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</si>
  <si>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直升酒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</si>
  <si>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开胃酒; 蜂蜜酒;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五加皮酒（中国混合烈酒）</t>
    </r>
  </si>
  <si>
    <r>
      <t>三野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夫 有礼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</si>
  <si>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门县</t>
    </r>
    <r>
      <rPr>
        <sz val="11"/>
        <color theme="1"/>
        <rFont val="ＭＳ Ｐゴシック"/>
        <family val="3"/>
        <charset val="128"/>
        <scheme val="minor"/>
      </rPr>
      <t>三野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夫果蔬有限公司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</si>
  <si>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</si>
  <si>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三野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夫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</si>
  <si>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</si>
  <si>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诺</t>
    </r>
    <r>
      <rPr>
        <sz val="11"/>
        <color theme="1"/>
        <rFont val="ＭＳ Ｐゴシック"/>
        <family val="3"/>
        <charset val="128"/>
        <scheme val="minor"/>
      </rPr>
      <t>耐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</si>
  <si>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耐</t>
    </r>
    <r>
      <rPr>
        <sz val="11"/>
        <color theme="1"/>
        <rFont val="ＭＳ Ｐゴシック"/>
        <family val="3"/>
        <charset val="134"/>
        <scheme val="minor"/>
      </rPr>
      <t>尔电</t>
    </r>
    <r>
      <rPr>
        <sz val="11"/>
        <color theme="1"/>
        <rFont val="ＭＳ Ｐゴシック"/>
        <family val="3"/>
        <charset val="128"/>
        <scheme val="minor"/>
      </rPr>
      <t>源科技有限公司</t>
    </r>
  </si>
  <si>
    <r>
      <t xml:space="preserve">葡萄酒; 薄荷酒; 清酒（日本米酒）; 苹果酒;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</si>
  <si>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十字街</t>
    </r>
  </si>
  <si>
    <r>
      <t>南通普恩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</si>
  <si>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t>白酒; 米酒</t>
  </si>
  <si>
    <t>菰城三癸亭</t>
  </si>
  <si>
    <r>
      <t>康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初</t>
    </r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</si>
  <si>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威士忌; 果酒（含酒精）</t>
    </r>
  </si>
  <si>
    <t>佬友人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</si>
  <si>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颂</t>
    </r>
    <r>
      <rPr>
        <sz val="11"/>
        <color theme="1"/>
        <rFont val="ＭＳ Ｐゴシック"/>
        <family val="3"/>
        <charset val="128"/>
        <scheme val="minor"/>
      </rPr>
      <t>禾品牌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</si>
  <si>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杜松子酒</t>
    </r>
  </si>
  <si>
    <t>酌小方</t>
  </si>
  <si>
    <t>北京有方大健康科技有限公司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</si>
  <si>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果酒; 威士忌;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白酒; 朗姆酒;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</si>
  <si>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益合福</t>
  </si>
  <si>
    <r>
      <t>上海瑾彤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</si>
  <si>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米酒;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</si>
  <si>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r>
      <t>中国甲午</t>
    </r>
    <r>
      <rPr>
        <sz val="11"/>
        <color theme="1"/>
        <rFont val="ＭＳ Ｐゴシック"/>
        <family val="3"/>
        <charset val="134"/>
        <scheme val="minor"/>
      </rPr>
      <t>战</t>
    </r>
    <r>
      <rPr>
        <sz val="11"/>
        <color theme="1"/>
        <rFont val="ＭＳ Ｐゴシック"/>
        <family val="3"/>
        <charset val="128"/>
        <scheme val="minor"/>
      </rPr>
      <t>争博物院 CHINA MUSEUM OF SINO-JAPANESE WAR 1894-1895</t>
    </r>
  </si>
  <si>
    <r>
      <t>中国甲午</t>
    </r>
    <r>
      <rPr>
        <sz val="11"/>
        <color theme="1"/>
        <rFont val="ＭＳ Ｐゴシック"/>
        <family val="3"/>
        <charset val="134"/>
        <scheme val="minor"/>
      </rPr>
      <t>战</t>
    </r>
    <r>
      <rPr>
        <sz val="11"/>
        <color theme="1"/>
        <rFont val="ＭＳ Ｐゴシック"/>
        <family val="3"/>
        <charset val="128"/>
        <scheme val="minor"/>
      </rPr>
      <t>争博物院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</si>
  <si>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</si>
  <si>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江佑</t>
  </si>
  <si>
    <r>
      <t>上海江右医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</si>
  <si>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果酒（含酒精）; 白酒; 葡萄酒; 黄酒;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</si>
  <si>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臻</t>
    </r>
    <r>
      <rPr>
        <sz val="11"/>
        <color theme="1"/>
        <rFont val="ＭＳ Ｐゴシック"/>
        <family val="3"/>
        <charset val="134"/>
        <scheme val="minor"/>
      </rPr>
      <t>浓</t>
    </r>
  </si>
  <si>
    <r>
      <t>内蒙古伊利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</si>
  <si>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蜂蜜酒; 白酒;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苹果酒; 利口酒</t>
    </r>
  </si>
  <si>
    <t>玖泊森</t>
  </si>
  <si>
    <r>
      <t>河南中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</si>
  <si>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t>果酒（含酒精）</t>
  </si>
  <si>
    <t>宴父</t>
  </si>
  <si>
    <r>
      <t>杨</t>
    </r>
    <r>
      <rPr>
        <sz val="11"/>
        <color theme="1"/>
        <rFont val="ＭＳ Ｐゴシック"/>
        <family val="3"/>
        <charset val="128"/>
        <scheme val="minor"/>
      </rPr>
      <t>永磊</t>
    </r>
  </si>
  <si>
    <r>
      <t>威士忌; 清酒（日本米酒）; 白酒; 葡萄酒;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果酒（含酒精）</t>
    </r>
  </si>
  <si>
    <t>仐豆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</si>
  <si>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州璀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</si>
  <si>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汽酒; 黄酒; 葡萄酒; 果酒（含酒精）; 青稞酒;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</si>
  <si>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与匠同行</t>
  </si>
  <si>
    <r>
      <t>北京京西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代科技有限公司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</si>
  <si>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高粱酒; 白酒;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烈酒; 甜酒; 果酒; 黄酒</t>
    </r>
  </si>
  <si>
    <r>
      <t>老典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</si>
  <si>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丛</t>
    </r>
    <r>
      <rPr>
        <sz val="11"/>
        <color theme="1"/>
        <rFont val="ＭＳ Ｐゴシック"/>
        <family val="3"/>
        <charset val="128"/>
        <scheme val="minor"/>
      </rPr>
      <t>健</t>
    </r>
  </si>
  <si>
    <r>
      <t>朗姆酒;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</si>
  <si>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千橘一城</t>
  </si>
  <si>
    <r>
      <t>亿</t>
    </r>
    <r>
      <rPr>
        <sz val="11"/>
        <color theme="1"/>
        <rFont val="ＭＳ Ｐゴシック"/>
        <family val="3"/>
        <charset val="128"/>
        <scheme val="minor"/>
      </rPr>
      <t>城（天津）文化旅游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</si>
  <si>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甜果酒;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</t>
    </r>
  </si>
  <si>
    <r>
      <t>舍得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</si>
  <si>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葡萄酒; 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</t>
    </r>
  </si>
  <si>
    <t>金粹舍得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</si>
  <si>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蒸煮提取物（利口酒和烈酒）;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</si>
  <si>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沱牌醇悦</t>
  </si>
  <si>
    <r>
      <t xml:space="preserve">果酒（含酒精）;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开胃酒; 蒸煮提取物（利口酒和烈酒）</t>
    </r>
  </si>
  <si>
    <r>
      <t>沱牌</t>
    </r>
    <r>
      <rPr>
        <sz val="11"/>
        <color theme="1"/>
        <rFont val="ＭＳ Ｐゴシック"/>
        <family val="3"/>
        <charset val="134"/>
        <scheme val="minor"/>
      </rPr>
      <t>谛</t>
    </r>
    <r>
      <rPr>
        <sz val="11"/>
        <color theme="1"/>
        <rFont val="ＭＳ Ｐゴシック"/>
        <family val="3"/>
        <charset val="128"/>
        <scheme val="minor"/>
      </rPr>
      <t>尊</t>
    </r>
  </si>
  <si>
    <r>
      <t>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食用酒精</t>
    </r>
  </si>
  <si>
    <r>
      <t>雅</t>
    </r>
    <r>
      <rPr>
        <sz val="11"/>
        <color theme="1"/>
        <rFont val="ＭＳ Ｐゴシック"/>
        <family val="3"/>
        <charset val="134"/>
        <scheme val="minor"/>
      </rPr>
      <t>颜</t>
    </r>
    <r>
      <rPr>
        <sz val="11"/>
        <color theme="1"/>
        <rFont val="ＭＳ Ｐゴシック"/>
        <family val="3"/>
        <charset val="128"/>
        <scheme val="minor"/>
      </rPr>
      <t>舍得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</si>
  <si>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利口酒; 开胃酒; 果酒（含酒精）; 葡萄酒; 蒸煮提取物（利口酒和烈酒）;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</t>
    </r>
  </si>
  <si>
    <t>舍得悦</t>
  </si>
  <si>
    <r>
      <t>利口酒; 白酒; 蒸煮提取物（利口酒和烈酒）; 果酒（含酒精）; 食用酒精; 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</si>
  <si>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沁慰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</si>
  <si>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白酒; 利口酒; 食用酒精;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</si>
  <si>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疏雨点荷</t>
  </si>
  <si>
    <r>
      <t>食用酒精; 葡萄酒; 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</si>
  <si>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非凡舍得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</si>
  <si>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蒸煮提取物（利口酒和烈酒）;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利口酒; 开胃酒</t>
    </r>
  </si>
  <si>
    <t>陕坝</t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</si>
  <si>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乌</t>
    </r>
    <r>
      <rPr>
        <sz val="11"/>
        <color theme="1"/>
        <rFont val="ＭＳ Ｐゴシック"/>
        <family val="3"/>
        <charset val="128"/>
        <scheme val="minor"/>
      </rPr>
      <t>素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腰</t>
    </r>
    <r>
      <rPr>
        <sz val="11"/>
        <color theme="1"/>
        <rFont val="ＭＳ Ｐゴシック"/>
        <family val="3"/>
        <charset val="134"/>
        <scheme val="minor"/>
      </rPr>
      <t>窝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</si>
  <si>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食用酒精; 烈酒; 葡萄酒; 黄酒; 清酒; 果酒; 开胃酒; 米酒</t>
    </r>
  </si>
  <si>
    <t>弟兄伙</t>
  </si>
  <si>
    <r>
      <t>许</t>
    </r>
    <r>
      <rPr>
        <sz val="11"/>
        <color theme="1"/>
        <rFont val="ＭＳ Ｐゴシック"/>
        <family val="3"/>
        <charset val="128"/>
        <scheme val="minor"/>
      </rPr>
      <t>文涛</t>
    </r>
  </si>
  <si>
    <r>
      <t>烈性干酒; 果酒; 梅酒; 葡萄酒; 黄酒;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米酒</t>
    </r>
  </si>
  <si>
    <t>舍得工匠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</si>
  <si>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蒸煮提取物（利口酒和烈酒）; 食用酒精; 开胃酒</t>
    </r>
  </si>
  <si>
    <t>仐芖醇</t>
  </si>
  <si>
    <r>
      <t>江西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美快告文化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</si>
  <si>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</si>
  <si>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品味曲之韵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</si>
  <si>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开胃酒</t>
    </r>
  </si>
  <si>
    <r>
      <t>品味大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</si>
  <si>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 xml:space="preserve">食用酒精; 白酒; 葡萄酒; 蒸煮提取物（利口酒和烈酒）; 果酒（含酒精）; 利口酒;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</si>
  <si>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司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相如 可以喝的神仙水</t>
    </r>
  </si>
  <si>
    <r>
      <t>四川美信投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</si>
  <si>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清酒; 朗姆酒;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青梅酒</t>
    </r>
  </si>
  <si>
    <t>陶陶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</si>
  <si>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果酒（含酒精）;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</si>
  <si>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驾</t>
    </r>
    <r>
      <rPr>
        <sz val="11"/>
        <color theme="1"/>
        <rFont val="ＭＳ Ｐゴシック"/>
        <family val="3"/>
        <charset val="128"/>
        <scheme val="minor"/>
      </rPr>
      <t>道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</si>
  <si>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越群六粮酒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</si>
  <si>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</si>
  <si>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安名</t>
    </r>
  </si>
  <si>
    <t>李德祥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</si>
  <si>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蜂蜜酒; 薄荷酒; 白酒; 果酒（含酒精）; 苹果酒;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</si>
  <si>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XING HUO WEN HUA</t>
  </si>
  <si>
    <r>
      <t>云南湘</t>
    </r>
    <r>
      <rPr>
        <sz val="11"/>
        <color theme="1"/>
        <rFont val="ＭＳ Ｐゴシック"/>
        <family val="3"/>
        <charset val="134"/>
        <scheme val="minor"/>
      </rPr>
      <t>赣</t>
    </r>
    <r>
      <rPr>
        <sz val="11"/>
        <color theme="1"/>
        <rFont val="ＭＳ Ｐゴシック"/>
        <family val="3"/>
        <charset val="128"/>
        <scheme val="minor"/>
      </rPr>
      <t>鄂星火文化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</si>
  <si>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</t>
    </r>
  </si>
  <si>
    <t>BLACK MAX</t>
  </si>
  <si>
    <r>
      <t>麦芽威士忌; 混合威士忌酒; 杜松子酒; 葡萄酒; 朗姆酒; 白干酒（中国白酒）;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</t>
    </r>
  </si>
  <si>
    <r>
      <t>赋</t>
    </r>
    <r>
      <rPr>
        <sz val="11"/>
        <color theme="1"/>
        <rFont val="ＭＳ Ｐゴシック"/>
        <family val="3"/>
        <charset val="128"/>
        <scheme val="minor"/>
      </rPr>
      <t>春山</t>
    </r>
  </si>
  <si>
    <r>
      <t>彭</t>
    </r>
    <r>
      <rPr>
        <sz val="11"/>
        <color theme="1"/>
        <rFont val="ＭＳ Ｐゴシック"/>
        <family val="3"/>
        <charset val="134"/>
        <scheme val="minor"/>
      </rPr>
      <t>丽华</t>
    </r>
  </si>
  <si>
    <r>
      <t xml:space="preserve">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黄酒</t>
    </r>
  </si>
  <si>
    <t>ROYAL EMBLEM</t>
  </si>
  <si>
    <r>
      <t>新西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五元一合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</si>
  <si>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起泡白葡萄酒; 不起泡葡萄酒; 白葡萄酒;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葡萄汽酒; 葡萄酒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</si>
  <si>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</si>
  <si>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>曾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</si>
  <si>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米酒; 青稞酒; 白酒</t>
    </r>
  </si>
  <si>
    <r>
      <t>绝</t>
    </r>
    <r>
      <rPr>
        <sz val="11"/>
        <color theme="1"/>
        <rFont val="ＭＳ Ｐゴシック"/>
        <family val="3"/>
        <charset val="128"/>
        <scheme val="minor"/>
      </rPr>
      <t>宗代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</si>
  <si>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绝</t>
    </r>
    <r>
      <rPr>
        <sz val="11"/>
        <color theme="1"/>
        <rFont val="ＭＳ Ｐゴシック"/>
        <family val="3"/>
        <charset val="128"/>
        <scheme val="minor"/>
      </rPr>
      <t>代宗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（福鼎）有限公司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</si>
  <si>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白酒</t>
    </r>
  </si>
  <si>
    <r>
      <t>仲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克</t>
    </r>
  </si>
  <si>
    <r>
      <t>类乌齐县</t>
    </r>
    <r>
      <rPr>
        <sz val="11"/>
        <color theme="1"/>
        <rFont val="ＭＳ Ｐゴシック"/>
        <family val="3"/>
        <charset val="128"/>
        <scheme val="minor"/>
      </rPr>
      <t>潘秀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</si>
  <si>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青稞酒; 伏特加酒; 混合威士忌酒;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</si>
  <si>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旺年</t>
    </r>
  </si>
  <si>
    <r>
      <t>豆</t>
    </r>
    <r>
      <rPr>
        <sz val="11"/>
        <color theme="1"/>
        <rFont val="ＭＳ Ｐゴシック"/>
        <family val="3"/>
        <charset val="134"/>
        <scheme val="minor"/>
      </rPr>
      <t>贤军</t>
    </r>
  </si>
  <si>
    <r>
      <t xml:space="preserve">威士忌;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</si>
  <si>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奘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</si>
  <si>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雨</t>
    </r>
  </si>
  <si>
    <r>
      <t xml:space="preserve">果酒（含酒精）; 葡萄酒; 烈酒;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</si>
  <si>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女王配方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 xml:space="preserve"> QUEEN FORMULATOR</t>
    </r>
  </si>
  <si>
    <r>
      <t>考拉爸爸（广州）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商有限公司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</si>
  <si>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烈酒; 果酒; 黄酒</t>
    </r>
  </si>
  <si>
    <t>全球台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</si>
  <si>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市情</t>
    </r>
    <r>
      <rPr>
        <sz val="11"/>
        <color theme="1"/>
        <rFont val="ＭＳ Ｐゴシック"/>
        <family val="3"/>
        <charset val="134"/>
        <scheme val="minor"/>
      </rPr>
      <t>为贵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</si>
  <si>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蒸煮提取物（利口酒和烈酒）; 米酒; 葡萄酒; 黄酒; 果酒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</si>
  <si>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湖秋</t>
    </r>
  </si>
  <si>
    <r>
      <t>北京涵元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</si>
  <si>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果酒; 黄酒; 白酒</t>
    </r>
  </si>
  <si>
    <t>奔澳</t>
  </si>
  <si>
    <r>
      <t>陈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</si>
  <si>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果酒; 蒸煮提取物（利口酒和烈酒）; 食用酒精;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</si>
  <si>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斯微特小酒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 xml:space="preserve"> SVET TAVERN</t>
    </r>
  </si>
  <si>
    <t>王天玉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</si>
  <si>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混合威士忌酒;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伏特加酒; 果酒（含酒精）; 青梅酒</t>
    </r>
  </si>
  <si>
    <t>IS</t>
  </si>
  <si>
    <r>
      <t>陈</t>
    </r>
    <r>
      <rPr>
        <sz val="11"/>
        <color theme="1"/>
        <rFont val="ＭＳ Ｐゴシック"/>
        <family val="3"/>
        <charset val="128"/>
        <scheme val="minor"/>
      </rPr>
      <t>博</t>
    </r>
  </si>
  <si>
    <r>
      <t>白酒; 葡萄酒; 黄酒; 威士忌;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</si>
  <si>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侗加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</si>
  <si>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州侗膳堂科技有限公司</t>
    </r>
  </si>
  <si>
    <r>
      <t>白酒; 食用酒精; 果酒（含酒精）; 葡萄酒; 伏特加酒; 米酒;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</si>
  <si>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十分</t>
  </si>
  <si>
    <t>京作壹号酒庄股份有限公司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</si>
  <si>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食用酒精; 蒸煮提取物（利口酒和烈酒）;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</t>
    </r>
  </si>
  <si>
    <r>
      <t>尊</t>
    </r>
    <r>
      <rPr>
        <sz val="11"/>
        <color theme="1"/>
        <rFont val="ＭＳ Ｐゴシック"/>
        <family val="3"/>
        <charset val="134"/>
        <scheme val="minor"/>
      </rPr>
      <t>图</t>
    </r>
  </si>
  <si>
    <t>尹学海</t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</si>
  <si>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</si>
  <si>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r>
      <t>联</t>
    </r>
    <r>
      <rPr>
        <sz val="11"/>
        <color theme="1"/>
        <rFont val="ＭＳ Ｐゴシック"/>
        <family val="3"/>
        <charset val="128"/>
        <scheme val="minor"/>
      </rPr>
      <t>泰酒庄</t>
    </r>
  </si>
  <si>
    <r>
      <t>米酒; 果酒（含酒精）;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葡萄酒; 白酒</t>
    </r>
  </si>
  <si>
    <t>黄雨馨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</si>
  <si>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伏特加酒; 黄酒; 白酒; 青稞酒</t>
    </r>
  </si>
  <si>
    <t>YI AN YUAN SHENG</t>
  </si>
  <si>
    <r>
      <t>叶信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</si>
  <si>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白酒; 蜂蜜酒</t>
    </r>
  </si>
  <si>
    <t>与草共舞 CO-GROWINGWITH WEEDS</t>
  </si>
  <si>
    <r>
      <t>六不用（山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省）生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</si>
  <si>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清酒; 含酒精的气泡水; 葡萄酒; 露酒; 甜酒; 天然汽酒; 果酒（含酒精）</t>
    </r>
  </si>
  <si>
    <t>雪域里</t>
  </si>
  <si>
    <t>青海雪域里生物科技有限公司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</si>
  <si>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薄荷酒;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</si>
  <si>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醉港</t>
  </si>
  <si>
    <t>曹孟瑶</t>
  </si>
  <si>
    <r>
      <t xml:space="preserve">开胃酒; 清酒（日本米酒）; 威士忌;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果酒（含酒精）</t>
    </r>
  </si>
  <si>
    <t>蜀色蜀香</t>
  </si>
  <si>
    <r>
      <t xml:space="preserve">烈酒; 威士忌;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</si>
  <si>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关曲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</si>
  <si>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开胃酒; 果酒（含酒精）; 烈酒; 清酒（日本米酒）; 黄酒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</si>
  <si>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掼银</t>
    </r>
    <r>
      <rPr>
        <sz val="11"/>
        <color theme="1"/>
        <rFont val="ＭＳ Ｐゴシック"/>
        <family val="3"/>
        <charset val="128"/>
        <scheme val="minor"/>
      </rPr>
      <t>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</si>
  <si>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</t>
    </r>
    <r>
      <rPr>
        <sz val="11"/>
        <color theme="1"/>
        <rFont val="ＭＳ Ｐゴシック"/>
        <family val="3"/>
        <charset val="134"/>
        <scheme val="minor"/>
      </rPr>
      <t>掼</t>
    </r>
    <r>
      <rPr>
        <sz val="11"/>
        <color theme="1"/>
        <rFont val="ＭＳ Ｐゴシック"/>
        <family val="3"/>
        <charset val="128"/>
        <scheme val="minor"/>
      </rPr>
      <t>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</si>
  <si>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开胃酒;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苹果酒; 白酒; 果酒（含酒精）</t>
    </r>
  </si>
  <si>
    <t>赤九入京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</si>
  <si>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州邱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</si>
  <si>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</si>
  <si>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会稽山沁</t>
  </si>
  <si>
    <r>
      <t>会稽山</t>
    </r>
    <r>
      <rPr>
        <sz val="11"/>
        <color theme="1"/>
        <rFont val="ＭＳ Ｐゴシック"/>
        <family val="3"/>
        <charset val="134"/>
        <scheme val="minor"/>
      </rPr>
      <t>绍兴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</si>
  <si>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</si>
  <si>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金徽晨露·寿</t>
  </si>
  <si>
    <t>金徽酒股份有限公司</t>
  </si>
  <si>
    <r>
      <t>青稞酒; 白酒; 米酒;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黄酒; 利口酒; 果酒（含酒精）</t>
    </r>
  </si>
  <si>
    <t>金徽晨露·喜</t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</si>
  <si>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果酒（含酒精）; 露酒; 黄酒;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</si>
  <si>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金徽晨露·福</t>
  </si>
  <si>
    <r>
      <t>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青稞酒; 露酒;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</si>
  <si>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司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相如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</si>
  <si>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白酒; 米酒; 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青梅酒</t>
    </r>
  </si>
  <si>
    <t>金徽晨露</t>
  </si>
  <si>
    <r>
      <t>露酒; 白酒; 果酒（含酒精）; 米酒; 青稞酒;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</si>
  <si>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t>TIKALION</t>
  </si>
  <si>
    <r>
      <t>李</t>
    </r>
    <r>
      <rPr>
        <sz val="11"/>
        <color theme="1"/>
        <rFont val="ＭＳ Ｐゴシック"/>
        <family val="3"/>
        <charset val="134"/>
        <scheme val="minor"/>
      </rPr>
      <t>红伟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</si>
  <si>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朗姆酒; 米酒;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白酒; 果酒（含酒精）</t>
    </r>
  </si>
  <si>
    <r>
      <t>司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相如雅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</si>
  <si>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果酒（含酒精）; 青梅酒; 葡萄酒</t>
    </r>
  </si>
  <si>
    <r>
      <t>司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相如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</si>
  <si>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米酒; 青梅酒; 白酒; 清酒; 果酒（含酒精）</t>
    </r>
  </si>
  <si>
    <t>LSXT</t>
  </si>
  <si>
    <r>
      <t>沈阳</t>
    </r>
    <r>
      <rPr>
        <sz val="11"/>
        <color theme="1"/>
        <rFont val="ＭＳ Ｐゴシック"/>
        <family val="3"/>
        <charset val="134"/>
        <scheme val="minor"/>
      </rPr>
      <t>辽</t>
    </r>
    <r>
      <rPr>
        <sz val="11"/>
        <color theme="1"/>
        <rFont val="ＭＳ Ｐゴシック"/>
        <family val="3"/>
        <charset val="128"/>
        <scheme val="minor"/>
      </rPr>
      <t>沈</t>
    </r>
    <r>
      <rPr>
        <sz val="11"/>
        <color theme="1"/>
        <rFont val="ＭＳ Ｐゴシック"/>
        <family val="3"/>
        <charset val="134"/>
        <scheme val="minor"/>
      </rPr>
      <t>铝业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</si>
  <si>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含酒精的气泡水;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</si>
  <si>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九香御宝</t>
  </si>
  <si>
    <t>四川新奇味食品有限公司</t>
  </si>
  <si>
    <r>
      <t>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苹果酒; 清酒（日本米酒）;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薄荷酒; 蜂蜜酒; 威士忌</t>
    </r>
  </si>
  <si>
    <r>
      <t>司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相如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</si>
  <si>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果酒（含酒精）; 葡萄酒; 青梅酒;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</si>
  <si>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鹰</t>
  </si>
  <si>
    <r>
      <t>鹰</t>
    </r>
    <r>
      <rPr>
        <sz val="11"/>
        <color theme="1"/>
        <rFont val="ＭＳ Ｐゴシック"/>
        <family val="3"/>
        <charset val="128"/>
        <scheme val="minor"/>
      </rPr>
      <t>城股份公司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</si>
  <si>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白酒</t>
    </r>
  </si>
  <si>
    <t>伊王金窑</t>
  </si>
  <si>
    <r>
      <t>新疆金窖尚品酒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</si>
  <si>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</si>
  <si>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青藤</t>
  </si>
  <si>
    <r>
      <t>浙江青藤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色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</si>
  <si>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开胃酒; 米酒;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利口酒</t>
    </r>
  </si>
  <si>
    <t>金力量</t>
  </si>
  <si>
    <r>
      <t>亳州市徽瓦潭酒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</si>
  <si>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露酒;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</si>
  <si>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孤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老氿毛</t>
    </r>
  </si>
  <si>
    <t>上海益小健食品科技有限公司</t>
  </si>
  <si>
    <r>
      <t>露酒;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</si>
  <si>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海南大学</t>
  </si>
  <si>
    <r>
      <t xml:space="preserve">果酒（含酒精）;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</si>
  <si>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宜切都好 一切都好 真的挺好</t>
  </si>
  <si>
    <r>
      <t>烟台鼎</t>
    </r>
    <r>
      <rPr>
        <sz val="11"/>
        <color theme="1"/>
        <rFont val="ＭＳ Ｐゴシック"/>
        <family val="3"/>
        <charset val="134"/>
        <scheme val="minor"/>
      </rPr>
      <t>枫</t>
    </r>
    <r>
      <rPr>
        <sz val="11"/>
        <color theme="1"/>
        <rFont val="ＭＳ Ｐゴシック"/>
        <family val="3"/>
        <charset val="128"/>
        <scheme val="minor"/>
      </rPr>
      <t>嘉泰商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</si>
  <si>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黄酒; 清酒;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葡萄酒</t>
    </r>
  </si>
  <si>
    <t>蟳埔</t>
  </si>
  <si>
    <r>
      <t>泉州丰</t>
    </r>
    <r>
      <rPr>
        <sz val="11"/>
        <color theme="1"/>
        <rFont val="ＭＳ Ｐゴシック"/>
        <family val="3"/>
        <charset val="134"/>
        <scheme val="minor"/>
      </rPr>
      <t>泽浔</t>
    </r>
    <r>
      <rPr>
        <sz val="11"/>
        <color theme="1"/>
        <rFont val="ＭＳ Ｐゴシック"/>
        <family val="3"/>
        <charset val="128"/>
        <scheme val="minor"/>
      </rPr>
      <t>埔商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</si>
  <si>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麦芽威士忌; 高粱酒; 果酒;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</t>
    </r>
  </si>
  <si>
    <r>
      <t>仙方生物科技（山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</si>
  <si>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薄荷酒;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蜂蜜酒</t>
    </r>
  </si>
  <si>
    <t>袋鼠家</t>
  </si>
  <si>
    <t>北京三快科技有限公司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</si>
  <si>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白酒; 清酒（日本米酒）; 汽酒; 开胃酒;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</t>
    </r>
  </si>
  <si>
    <t>华净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</si>
  <si>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</t>
    </r>
  </si>
  <si>
    <t>排古佬酒</t>
  </si>
  <si>
    <r>
      <t>怀</t>
    </r>
    <r>
      <rPr>
        <sz val="11"/>
        <color theme="1"/>
        <rFont val="ＭＳ Ｐゴシック"/>
        <family val="3"/>
        <charset val="128"/>
        <scheme val="minor"/>
      </rPr>
      <t>化清</t>
    </r>
    <r>
      <rPr>
        <sz val="11"/>
        <color theme="1"/>
        <rFont val="ＭＳ Ｐゴシック"/>
        <family val="3"/>
        <charset val="134"/>
        <scheme val="minor"/>
      </rPr>
      <t>纯实业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</si>
  <si>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</si>
  <si>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琅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</si>
  <si>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梁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蓉</t>
    </r>
  </si>
  <si>
    <r>
      <t xml:space="preserve">白酒; 葡萄酒; 果酒;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米酒; 黄酒</t>
    </r>
  </si>
  <si>
    <t>玄泥古窖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</si>
  <si>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枣</t>
    </r>
    <r>
      <rPr>
        <sz val="11"/>
        <color theme="1"/>
        <rFont val="ＭＳ Ｐゴシック"/>
        <family val="3"/>
        <charset val="128"/>
        <scheme val="minor"/>
      </rPr>
      <t>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</si>
  <si>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蒸煮提取物（利口酒和烈酒）;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</t>
    </r>
  </si>
  <si>
    <t>竹叶青 酒 怡青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</si>
  <si>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</si>
  <si>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王国安丹香益生酒</t>
  </si>
  <si>
    <t>王国安******************</t>
  </si>
  <si>
    <r>
      <t xml:space="preserve">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果酒（含酒精）</t>
    </r>
  </si>
  <si>
    <r>
      <t>石棉壹厰·</t>
    </r>
    <r>
      <rPr>
        <sz val="11"/>
        <color theme="1"/>
        <rFont val="ＭＳ Ｐゴシック"/>
        <family val="3"/>
        <charset val="134"/>
        <scheme val="minor"/>
      </rPr>
      <t>织</t>
    </r>
    <r>
      <rPr>
        <sz val="11"/>
        <color theme="1"/>
        <rFont val="ＭＳ Ｐゴシック"/>
        <family val="3"/>
        <charset val="128"/>
        <scheme val="minor"/>
      </rPr>
      <t>音</t>
    </r>
  </si>
  <si>
    <r>
      <t>石家庄旅投集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文化体育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任公司演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分公司</t>
    </r>
  </si>
  <si>
    <r>
      <t>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朗姆酒;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</t>
    </r>
  </si>
  <si>
    <t>士卒</t>
  </si>
  <si>
    <r>
      <t>成都身先士卒商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</si>
  <si>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佐餐酒; 米酒</t>
    </r>
  </si>
  <si>
    <r>
      <t>王国安商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益生酒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</si>
  <si>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白酒; 威士忌; 果酒（含酒精）; 黄酒; 葡萄酒</t>
    </r>
  </si>
  <si>
    <t>王国安中威益生酒</t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</si>
  <si>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果酒（含酒精）; 葡萄酒; 露酒</t>
    </r>
  </si>
  <si>
    <r>
      <t>米酒; 果酒（含酒精）; 佐餐酒;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露酒</t>
    </r>
  </si>
  <si>
    <t>竹叶靑酒 怡青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</si>
  <si>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</si>
  <si>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塔牌宋</t>
    </r>
    <r>
      <rPr>
        <sz val="11"/>
        <color theme="1"/>
        <rFont val="ＭＳ Ｐゴシック"/>
        <family val="3"/>
        <charset val="134"/>
        <scheme val="minor"/>
      </rPr>
      <t>观</t>
    </r>
  </si>
  <si>
    <r>
      <t>浙江塔牌</t>
    </r>
    <r>
      <rPr>
        <sz val="11"/>
        <color theme="1"/>
        <rFont val="ＭＳ Ｐゴシック"/>
        <family val="3"/>
        <charset val="134"/>
        <scheme val="minor"/>
      </rPr>
      <t>绍兴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</si>
  <si>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清酒（日本米酒）; 果酒（含酒精）; 葡萄酒</t>
    </r>
  </si>
  <si>
    <r>
      <t>汾酒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歌</t>
    </r>
  </si>
  <si>
    <r>
      <t>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</si>
  <si>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酩梦</t>
    </r>
    <r>
      <rPr>
        <sz val="11"/>
        <color theme="1"/>
        <rFont val="ＭＳ Ｐゴシック"/>
        <family val="3"/>
        <charset val="134"/>
        <scheme val="minor"/>
      </rPr>
      <t>乡</t>
    </r>
  </si>
  <si>
    <t>刘利果</t>
  </si>
  <si>
    <r>
      <t>清酒（日本米酒）; 威士忌; 白酒; 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</si>
  <si>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珍藏金徽</t>
  </si>
  <si>
    <r>
      <t xml:space="preserve">米酒; 果酒（含酒精）; 青稞酒;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清酒（日本米酒）; 白酒;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</si>
  <si>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 xml:space="preserve">MISS BINGO </t>
    </r>
    <r>
      <rPr>
        <sz val="11"/>
        <color theme="1"/>
        <rFont val="ＭＳ Ｐゴシック"/>
        <family val="3"/>
        <charset val="134"/>
        <scheme val="minor"/>
      </rPr>
      <t>缤</t>
    </r>
    <r>
      <rPr>
        <sz val="11"/>
        <color theme="1"/>
        <rFont val="ＭＳ Ｐゴシック"/>
        <family val="3"/>
        <charset val="128"/>
        <scheme val="minor"/>
      </rPr>
      <t>果小姐</t>
    </r>
  </si>
  <si>
    <t>全魏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</si>
  <si>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</si>
  <si>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仰韶有酒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</si>
  <si>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食用酒精; 黄酒</t>
    </r>
  </si>
  <si>
    <t>云知梦</t>
  </si>
  <si>
    <r>
      <t>云南褚酒商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</si>
  <si>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露酒; 葡萄酒</t>
    </r>
  </si>
  <si>
    <t>金徽世家</t>
  </si>
  <si>
    <r>
      <t xml:space="preserve">白酒; 清酒（日本米酒）; 利口酒; 米酒;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黄酒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</si>
  <si>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歌汾酒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</si>
  <si>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果酒（含酒精）</t>
    </r>
  </si>
  <si>
    <t>渝酒郡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</si>
  <si>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中酒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</si>
  <si>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果酒;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青稞酒; 黄酒</t>
    </r>
  </si>
  <si>
    <r>
      <t>经</t>
    </r>
    <r>
      <rPr>
        <sz val="11"/>
        <color theme="1"/>
        <rFont val="ＭＳ Ｐゴシック"/>
        <family val="3"/>
        <charset val="128"/>
        <scheme val="minor"/>
      </rPr>
      <t>典金徽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</si>
  <si>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青稞酒; 黄酒; 果酒（含酒精）; 葡萄酒; 米酒</t>
    </r>
  </si>
  <si>
    <r>
      <t>多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</si>
  <si>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群群</t>
    </r>
  </si>
  <si>
    <r>
      <t>蒸煮提取物（利口酒和烈酒）; 利口酒; 米酒; 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果酒（含酒精）</t>
    </r>
  </si>
  <si>
    <t>金徽本草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</si>
  <si>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米酒; 白酒; 清酒（日本米酒）; 果酒（含酒精）</t>
    </r>
  </si>
  <si>
    <t>搭仔</t>
  </si>
  <si>
    <r>
      <t>四川文金建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</si>
  <si>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食用酒精;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</si>
  <si>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麟盛</t>
  </si>
  <si>
    <r>
      <t>田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</si>
  <si>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 xml:space="preserve">开胃酒; 青稞酒; 黄酒; 食用酒精; 葡萄酒;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</si>
  <si>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金良品坊</t>
  </si>
  <si>
    <t>上海金莱玖生物科技有限公司</t>
  </si>
  <si>
    <r>
      <t xml:space="preserve">果酒（含酒精）; 葡萄酒; 威士忌;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黄酒;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</si>
  <si>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懂未稻</t>
  </si>
  <si>
    <r>
      <t>国丰（广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</si>
  <si>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</si>
  <si>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UNEEVERSE</t>
  </si>
  <si>
    <t>上海麒九一文化科技有限公司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</si>
  <si>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混合威士忌酒;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佐餐酒;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</si>
  <si>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伏今非</t>
  </si>
  <si>
    <r>
      <t>广州今非昔比企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</si>
  <si>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清酒（日本米酒）;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葡萄酒; 朗姆酒; 果酒（含酒精）</t>
    </r>
  </si>
  <si>
    <r>
      <t>安徽芝酒酒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</si>
  <si>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高粱酒</t>
    </r>
  </si>
  <si>
    <r>
      <t>丹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米坊</t>
    </r>
  </si>
  <si>
    <r>
      <t>庞伟</t>
    </r>
    <r>
      <rPr>
        <sz val="11"/>
        <color theme="1"/>
        <rFont val="ＭＳ Ｐゴシック"/>
        <family val="3"/>
        <charset val="128"/>
        <scheme val="minor"/>
      </rPr>
      <t>青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</si>
  <si>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米酒; 威士忌;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果酒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</si>
  <si>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泥福禧</t>
    </r>
  </si>
  <si>
    <r>
      <t>南京翰墨</t>
    </r>
    <r>
      <rPr>
        <sz val="11"/>
        <color theme="1"/>
        <rFont val="ＭＳ Ｐゴシック"/>
        <family val="3"/>
        <charset val="134"/>
        <scheme val="minor"/>
      </rPr>
      <t>飞扬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</si>
  <si>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t>梦裕</t>
  </si>
  <si>
    <r>
      <t>丁元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</si>
  <si>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</si>
  <si>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山冰川</t>
    </r>
  </si>
  <si>
    <r>
      <t>四川省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竹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圣酒厂有限公司</t>
    </r>
  </si>
  <si>
    <r>
      <t>果酒（含酒精）;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烈酒; 餐后酒（利口酒和烈酒）;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</si>
  <si>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家宴</t>
    </r>
  </si>
  <si>
    <r>
      <t>南品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</si>
  <si>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</si>
  <si>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ZG 宙冠</t>
  </si>
  <si>
    <r>
      <t>宿迁宙冠商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</si>
  <si>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</t>
    </r>
  </si>
  <si>
    <t>村和食府</t>
  </si>
  <si>
    <r>
      <t>余定</t>
    </r>
    <r>
      <rPr>
        <sz val="11"/>
        <color theme="1"/>
        <rFont val="ＭＳ Ｐゴシック"/>
        <family val="3"/>
        <charset val="134"/>
        <scheme val="minor"/>
      </rPr>
      <t>贤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</si>
  <si>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水果汽酒; 米酒; 白酒; 果酒; 食用酒精; 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</si>
  <si>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赤耳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</si>
  <si>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北京完美</t>
    </r>
    <r>
      <rPr>
        <sz val="11"/>
        <color theme="1"/>
        <rFont val="ＭＳ Ｐゴシック"/>
        <family val="3"/>
        <charset val="134"/>
        <scheme val="minor"/>
      </rPr>
      <t>酝酿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</si>
  <si>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杜松子酒; 蜂蜜酒;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苹果酒;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</si>
  <si>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复圣芳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</si>
  <si>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沙复圣芳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文化有限公司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</si>
  <si>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星尼</t>
    </r>
  </si>
  <si>
    <r>
      <t>国勤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本有限公司</t>
    </r>
  </si>
  <si>
    <r>
      <t xml:space="preserve">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威士忌; 果酒; 黄酒;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</si>
  <si>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臻久巷</t>
  </si>
  <si>
    <r>
      <t>桐</t>
    </r>
    <r>
      <rPr>
        <sz val="11"/>
        <color theme="1"/>
        <rFont val="ＭＳ Ｐゴシック"/>
        <family val="3"/>
        <charset val="134"/>
        <scheme val="minor"/>
      </rPr>
      <t>庐县</t>
    </r>
    <r>
      <rPr>
        <sz val="11"/>
        <color theme="1"/>
        <rFont val="ＭＳ Ｐゴシック"/>
        <family val="3"/>
        <charset val="128"/>
        <scheme val="minor"/>
      </rPr>
      <t>城南街道涂延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副食品店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</si>
  <si>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高粱酒; 清酒; 露酒;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</t>
    </r>
  </si>
  <si>
    <r>
      <t>厨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好辛香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</si>
  <si>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好辛香食品科技有限公司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</si>
  <si>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食用酒精;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</t>
    </r>
  </si>
  <si>
    <r>
      <t>湛逗</t>
    </r>
    <r>
      <rPr>
        <sz val="11"/>
        <color theme="1"/>
        <rFont val="ＭＳ Ｐゴシック"/>
        <family val="3"/>
        <charset val="134"/>
        <scheme val="minor"/>
      </rPr>
      <t>鸡</t>
    </r>
  </si>
  <si>
    <r>
      <t>白酒; 黄酒; 葡萄酒; 清酒（日本米酒）; 果酒;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米酒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</si>
  <si>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幸国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 xml:space="preserve"> YASIMGORJI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</si>
  <si>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州魅森狼企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</si>
  <si>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蜂蜜酒</t>
    </r>
  </si>
  <si>
    <r>
      <t xml:space="preserve">STRONG FAMILY 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壮家</t>
    </r>
  </si>
  <si>
    <t>田德富</t>
  </si>
  <si>
    <r>
      <t xml:space="preserve">葡萄酒; 白酒; 利口酒; 果酒（含酒精）; 开胃酒;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</si>
  <si>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赴九州</t>
  </si>
  <si>
    <r>
      <t>郑</t>
    </r>
    <r>
      <rPr>
        <sz val="11"/>
        <color theme="1"/>
        <rFont val="ＭＳ Ｐゴシック"/>
        <family val="3"/>
        <charset val="128"/>
        <scheme val="minor"/>
      </rPr>
      <t>杰浩</t>
    </r>
  </si>
  <si>
    <r>
      <t xml:space="preserve">葡萄酒; 白酒;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清酒（日本米酒）; 黄酒</t>
    </r>
  </si>
  <si>
    <r>
      <t>兽够</t>
    </r>
    <r>
      <rPr>
        <sz val="11"/>
        <color theme="1"/>
        <rFont val="ＭＳ Ｐゴシック"/>
        <family val="3"/>
        <charset val="128"/>
        <scheme val="minor"/>
      </rPr>
      <t>了</t>
    </r>
  </si>
  <si>
    <r>
      <t>北京宵</t>
    </r>
    <r>
      <rPr>
        <sz val="11"/>
        <color theme="1"/>
        <rFont val="ＭＳ Ｐゴシック"/>
        <family val="3"/>
        <charset val="134"/>
        <scheme val="minor"/>
      </rPr>
      <t>尧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</si>
  <si>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伏特加酒; 果酒（含酒精）; 黄酒</t>
    </r>
  </si>
  <si>
    <t>篆双囍</t>
  </si>
  <si>
    <r>
      <t>北京五福吉祥文化有限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</si>
  <si>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</t>
    </r>
  </si>
  <si>
    <r>
      <t>永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溪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</si>
  <si>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骥</t>
    </r>
    <r>
      <rPr>
        <sz val="11"/>
        <color theme="1"/>
        <rFont val="ＭＳ Ｐゴシック"/>
        <family val="3"/>
        <charset val="128"/>
        <scheme val="minor"/>
      </rPr>
      <t>瓯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</si>
  <si>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蜂蜜酒; 葡萄酒; 白酒; 黄酒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</si>
  <si>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晋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</si>
  <si>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高粱酒; 黄酒; 烈酒;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</t>
    </r>
  </si>
  <si>
    <t>沱牌印象</t>
  </si>
  <si>
    <r>
      <t>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蒸煮提取物（利口酒和烈酒）;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</si>
  <si>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陈泸酝</t>
    </r>
  </si>
  <si>
    <r>
      <t>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白干酒（中国白酒）; 露酒</t>
    </r>
  </si>
  <si>
    <r>
      <t>大粤</t>
    </r>
    <r>
      <rPr>
        <sz val="11"/>
        <color theme="1"/>
        <rFont val="ＭＳ Ｐゴシック"/>
        <family val="3"/>
        <charset val="134"/>
        <scheme val="minor"/>
      </rPr>
      <t>团圆</t>
    </r>
    <r>
      <rPr>
        <sz val="11"/>
        <color theme="1"/>
        <rFont val="ＭＳ Ｐゴシック"/>
        <family val="3"/>
        <charset val="128"/>
        <scheme val="minor"/>
      </rPr>
      <t>醒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</si>
  <si>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甜酒; 白酒; 果酒;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烈酒; 果酒（含酒精）</t>
    </r>
  </si>
  <si>
    <r>
      <t>黄酒; 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露酒; 白干酒（中国白酒）;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</si>
  <si>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t>THE LOMAX</t>
  </si>
  <si>
    <r>
      <t>马</t>
    </r>
    <r>
      <rPr>
        <sz val="11"/>
        <color theme="1"/>
        <rFont val="ＭＳ Ｐゴシック"/>
        <family val="3"/>
        <charset val="128"/>
        <scheme val="minor"/>
      </rPr>
      <t>赫尼瑞容洋酒有限公司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</si>
  <si>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蒸煮提取物（利口酒和烈酒）</t>
    </r>
  </si>
  <si>
    <t>中升旗</t>
  </si>
  <si>
    <t>深圳市守拙慧科技有限公司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</si>
  <si>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白葡萄酒; 威士忌;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白酒; 清酒（日本米酒）</t>
    </r>
  </si>
  <si>
    <t>ZGJKHJKLS</t>
  </si>
  <si>
    <r>
      <t>鲁</t>
    </r>
    <r>
      <rPr>
        <sz val="11"/>
        <color theme="1"/>
        <rFont val="ＭＳ Ｐゴシック"/>
        <family val="3"/>
        <charset val="128"/>
        <scheme val="minor"/>
      </rPr>
      <t>商盛世(北京)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</si>
  <si>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不起泡葡萄酒; 葡萄酒; 葡萄汽酒;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混合威士忌酒; 佐餐酒; 起泡白葡萄酒;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</si>
  <si>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r>
      <t>寻药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</si>
  <si>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湖北中珏文化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</si>
  <si>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白酒; 黄酒; 米酒; 果酒; 蒸煮提取物（利口酒和烈酒）;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</si>
  <si>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中招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</si>
  <si>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朗姆酒; 五加皮酒（中国混合烈酒）;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</si>
  <si>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烈酒; 白干酒（中国白酒）; 葡萄酒;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</si>
  <si>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t>糯幸</t>
  </si>
  <si>
    <r>
      <t>深圳一</t>
    </r>
    <r>
      <rPr>
        <sz val="11"/>
        <color theme="1"/>
        <rFont val="ＭＳ Ｐゴシック"/>
        <family val="3"/>
        <charset val="134"/>
        <scheme val="minor"/>
      </rPr>
      <t>驷</t>
    </r>
    <r>
      <rPr>
        <sz val="11"/>
        <color theme="1"/>
        <rFont val="ＭＳ Ｐゴシック"/>
        <family val="3"/>
        <charset val="128"/>
        <scheme val="minor"/>
      </rPr>
      <t>一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</si>
  <si>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梅酒; 葡萄酒; 蜂蜜酒; 甜酒; 利口酒;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佐餐酒;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含酒精蛋奶酒; 米酒</t>
    </r>
  </si>
  <si>
    <t>黄雀形 SPINUS SPINUS</t>
  </si>
  <si>
    <r>
      <t>上海多</t>
    </r>
    <r>
      <rPr>
        <sz val="11"/>
        <color theme="1"/>
        <rFont val="ＭＳ Ｐゴシック"/>
        <family val="3"/>
        <charset val="134"/>
        <scheme val="minor"/>
      </rPr>
      <t>饮贸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</si>
  <si>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不起泡葡萄酒; 起泡白葡萄酒; 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加烈葡萄酒;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</si>
  <si>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赫里斯特 HALEIST</t>
  </si>
  <si>
    <r>
      <t>上海艾美隆酒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</si>
  <si>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</t>
    </r>
  </si>
  <si>
    <t>梅花吻</t>
  </si>
  <si>
    <t>李息明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</si>
  <si>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</si>
  <si>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三直</t>
  </si>
  <si>
    <t>康文博</t>
  </si>
  <si>
    <r>
      <t>果酒（含酒精）; 白酒;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葡萄酒</t>
    </r>
  </si>
  <si>
    <r>
      <t>鑫福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</si>
  <si>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四川鑫福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</si>
  <si>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</si>
  <si>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包</t>
    </r>
    <r>
      <rPr>
        <sz val="11"/>
        <color theme="1"/>
        <rFont val="ＭＳ Ｐゴシック"/>
        <family val="3"/>
        <charset val="134"/>
        <scheme val="minor"/>
      </rPr>
      <t>挣挣</t>
    </r>
  </si>
  <si>
    <r>
      <t>中海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油能源有限公司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</si>
  <si>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</si>
  <si>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天下福礼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</si>
  <si>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天下酒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</si>
  <si>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</si>
  <si>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叙武</t>
  </si>
  <si>
    <r>
      <t>伏特加酒; 黄酒; 高粱酒;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</t>
    </r>
  </si>
  <si>
    <t>JPDJK 108 HEALTHY TREES</t>
  </si>
  <si>
    <r>
      <t>西双版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吉品大健康科技有限公司</t>
    </r>
  </si>
  <si>
    <r>
      <t>白酒; 威士忌;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清酒（日本米酒）; 米酒; 伏特加酒;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</si>
  <si>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散步力酒司</t>
  </si>
  <si>
    <r>
      <t>天津一番网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</si>
  <si>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甜酒; 草莓酒;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烈酒</t>
    </r>
  </si>
  <si>
    <t>景芝酒肆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</si>
  <si>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景芝白酒有限公司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</si>
  <si>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黄酒; 果酒（含酒精）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</si>
  <si>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韩</t>
    </r>
    <r>
      <rPr>
        <sz val="11"/>
        <color theme="1"/>
        <rFont val="ＭＳ Ｐゴシック"/>
        <family val="3"/>
        <charset val="128"/>
        <scheme val="minor"/>
      </rPr>
      <t>夫</t>
    </r>
    <r>
      <rPr>
        <sz val="11"/>
        <color theme="1"/>
        <rFont val="ＭＳ Ｐゴシック"/>
        <family val="3"/>
        <charset val="134"/>
        <scheme val="minor"/>
      </rPr>
      <t>妇</t>
    </r>
  </si>
  <si>
    <r>
      <t>陆兴</t>
    </r>
    <r>
      <rPr>
        <sz val="11"/>
        <color theme="1"/>
        <rFont val="ＭＳ Ｐゴシック"/>
        <family val="3"/>
        <charset val="128"/>
        <scheme val="minor"/>
      </rPr>
      <t>圣******************</t>
    </r>
  </si>
  <si>
    <r>
      <t xml:space="preserve">薄荷酒; 汽酒;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开胃酒;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</si>
  <si>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虹</t>
    </r>
    <r>
      <rPr>
        <sz val="11"/>
        <color theme="1"/>
        <rFont val="ＭＳ Ｐゴシック"/>
        <family val="3"/>
        <charset val="134"/>
        <scheme val="minor"/>
      </rPr>
      <t>桥乌</t>
    </r>
    <r>
      <rPr>
        <sz val="11"/>
        <color theme="1"/>
        <rFont val="ＭＳ Ｐゴシック"/>
        <family val="3"/>
        <charset val="128"/>
        <scheme val="minor"/>
      </rPr>
      <t>毡帽黄</t>
    </r>
  </si>
  <si>
    <r>
      <t>上海椒歌餐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</si>
  <si>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伏特加酒;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白葡萄酒; 黄酒; 梅酒;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</si>
  <si>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投酒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</si>
  <si>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果酒; 开胃酒; 葡萄酒;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</si>
  <si>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TODAY'S KING</t>
  </si>
  <si>
    <t>何小娟</t>
  </si>
  <si>
    <r>
      <t>甜酒; 白酒; 果酒; 开胃酒; 烈酒;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</t>
    </r>
  </si>
  <si>
    <r>
      <t>北京周公百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</si>
  <si>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</si>
  <si>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车轮</t>
    </r>
    <r>
      <rPr>
        <sz val="11"/>
        <color theme="1"/>
        <rFont val="ＭＳ Ｐゴシック"/>
        <family val="3"/>
        <charset val="128"/>
        <scheme val="minor"/>
      </rPr>
      <t>不息 WHERE THE TRAIL ENDS</t>
    </r>
  </si>
  <si>
    <r>
      <t>海南</t>
    </r>
    <r>
      <rPr>
        <sz val="11"/>
        <color theme="1"/>
        <rFont val="ＭＳ Ｐゴシック"/>
        <family val="3"/>
        <charset val="134"/>
        <scheme val="minor"/>
      </rPr>
      <t>鱼</t>
    </r>
    <r>
      <rPr>
        <sz val="11"/>
        <color theme="1"/>
        <rFont val="ＭＳ Ｐゴシック"/>
        <family val="3"/>
        <charset val="128"/>
        <scheme val="minor"/>
      </rPr>
      <t>雷投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</si>
  <si>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咖啡利口酒; 白酒; 米酒; 汽酒; 梅酒; 水果汽酒; 葡萄酒; 果酒</t>
    </r>
  </si>
  <si>
    <r>
      <t>安溪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茶博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北承茶行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</si>
  <si>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青稞酒; 黄酒; 食用酒精; 清酒; 汽酒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</si>
  <si>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歌行</t>
    </r>
  </si>
  <si>
    <t>高康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</si>
  <si>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白酒; 青稞酒;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开胃酒</t>
    </r>
  </si>
  <si>
    <r>
      <t>甘之</t>
    </r>
    <r>
      <rPr>
        <sz val="11"/>
        <color theme="1"/>
        <rFont val="ＭＳ Ｐゴシック"/>
        <family val="3"/>
        <charset val="134"/>
        <scheme val="minor"/>
      </rPr>
      <t>牦</t>
    </r>
  </si>
  <si>
    <r>
      <t>高原精灵(</t>
    </r>
    <r>
      <rPr>
        <sz val="11"/>
        <color theme="1"/>
        <rFont val="ＭＳ Ｐゴシック"/>
        <family val="3"/>
        <charset val="134"/>
        <scheme val="minor"/>
      </rPr>
      <t>义乌</t>
    </r>
    <r>
      <rPr>
        <sz val="11"/>
        <color theme="1"/>
        <rFont val="ＭＳ Ｐゴシック"/>
        <family val="3"/>
        <charset val="128"/>
        <scheme val="minor"/>
      </rPr>
      <t>)食品科技有限公司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</si>
  <si>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梅酒; 白酒</t>
    </r>
  </si>
  <si>
    <r>
      <t>内蒙古自治区酒</t>
    </r>
    <r>
      <rPr>
        <sz val="11"/>
        <color theme="1"/>
        <rFont val="ＭＳ Ｐゴシック"/>
        <family val="3"/>
        <charset val="134"/>
        <scheme val="minor"/>
      </rPr>
      <t>业协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</si>
  <si>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清酒;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伏特加酒; 威士忌; 白酒; 葡萄酒</t>
    </r>
  </si>
  <si>
    <t>金十八里香</t>
  </si>
  <si>
    <r>
      <t>高密市三十里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</si>
  <si>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米酒;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</si>
  <si>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t>碎九 坊</t>
  </si>
  <si>
    <r>
      <t>碎茅酒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</si>
  <si>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果酒; 白干酒（中国白酒）;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</si>
  <si>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安味道</t>
    </r>
  </si>
  <si>
    <r>
      <t>安徽</t>
    </r>
    <r>
      <rPr>
        <sz val="11"/>
        <color theme="1"/>
        <rFont val="ＭＳ Ｐゴシック"/>
        <family val="3"/>
        <charset val="134"/>
        <scheme val="minor"/>
      </rPr>
      <t>陆</t>
    </r>
    <r>
      <rPr>
        <sz val="11"/>
        <color theme="1"/>
        <rFont val="ＭＳ Ｐゴシック"/>
        <family val="3"/>
        <charset val="128"/>
        <scheme val="minor"/>
      </rPr>
      <t>安印象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</si>
  <si>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草本型利口酒;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五加皮酒（中国混合烈酒）;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烈性干酒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</si>
  <si>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中相伴</t>
    </r>
  </si>
  <si>
    <r>
      <t>驻马</t>
    </r>
    <r>
      <rPr>
        <sz val="11"/>
        <color theme="1"/>
        <rFont val="ＭＳ Ｐゴシック"/>
        <family val="3"/>
        <charset val="128"/>
        <scheme val="minor"/>
      </rPr>
      <t>店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中科技有限公司</t>
    </r>
  </si>
  <si>
    <r>
      <t>葡萄酒; 蜂蜜酒;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白酒;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甜酒; 果酒</t>
    </r>
  </si>
  <si>
    <t>明世宗</t>
  </si>
  <si>
    <r>
      <t xml:space="preserve">威士忌; 黄酒; 果酒（含酒精）;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</si>
  <si>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t>PALIRNA U ZELENEHO STROMU STARA MYSLIVECKA·OLD HUNTER'S</t>
  </si>
  <si>
    <r>
      <t>绿树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公司</t>
    </r>
  </si>
  <si>
    <t>W75</t>
  </si>
  <si>
    <t>塔特公司</t>
  </si>
  <si>
    <t>DS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</si>
  <si>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德盛恒信食品有限公司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</si>
  <si>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食用酒精; 果酒; 黄酒;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清酒</t>
    </r>
  </si>
  <si>
    <t>雷林秀</t>
  </si>
  <si>
    <r>
      <t>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</si>
  <si>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醉景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 xml:space="preserve"> -状元之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，美酒</t>
    </r>
    <r>
      <rPr>
        <sz val="11"/>
        <color theme="1"/>
        <rFont val="ＭＳ Ｐゴシック"/>
        <family val="3"/>
        <charset val="134"/>
        <scheme val="minor"/>
      </rPr>
      <t>飘</t>
    </r>
    <r>
      <rPr>
        <sz val="11"/>
        <color theme="1"/>
        <rFont val="ＭＳ Ｐゴシック"/>
        <family val="3"/>
        <charset val="128"/>
        <scheme val="minor"/>
      </rPr>
      <t>香-</t>
    </r>
  </si>
  <si>
    <t>刘曼</t>
  </si>
  <si>
    <r>
      <t>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</t>
    </r>
  </si>
  <si>
    <r>
      <t>北京浩文博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教育科技有限公司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</si>
  <si>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烈酒; 食用酒精; 果酒</t>
    </r>
  </si>
  <si>
    <r>
      <t>英</t>
    </r>
    <r>
      <rPr>
        <sz val="11"/>
        <color theme="1"/>
        <rFont val="ＭＳ Ｐゴシック"/>
        <family val="3"/>
        <charset val="129"/>
        <scheme val="minor"/>
      </rPr>
      <t>姬</t>
    </r>
    <r>
      <rPr>
        <sz val="11"/>
        <color theme="1"/>
        <rFont val="ＭＳ Ｐゴシック"/>
        <family val="3"/>
        <charset val="134"/>
        <scheme val="minor"/>
      </rPr>
      <t>妈妈</t>
    </r>
  </si>
  <si>
    <r>
      <t>梁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</si>
  <si>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食用酒精; 威士忌; 开胃酒;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</t>
    </r>
  </si>
  <si>
    <t>吟淸月 YIN QYU</t>
  </si>
  <si>
    <r>
      <t>深圳市施五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</si>
  <si>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葡萄酒; 黄酒; 威士忌; 梅酒; 杜松子酒;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</si>
  <si>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游牧疆山</t>
  </si>
  <si>
    <r>
      <t>新疆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弘商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</si>
  <si>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汽酒; 果酒; 白酒</t>
    </r>
  </si>
  <si>
    <t>京极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</si>
  <si>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</si>
  <si>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别</t>
    </r>
    <r>
      <rPr>
        <sz val="11"/>
        <color theme="1"/>
        <rFont val="ＭＳ Ｐゴシック"/>
        <family val="3"/>
        <charset val="128"/>
        <scheme val="minor"/>
      </rPr>
      <t>山肴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山秋露</t>
    </r>
  </si>
  <si>
    <r>
      <t>湖北普立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</si>
  <si>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黄酒; 甜酒; 清酒; 白酒</t>
    </r>
  </si>
  <si>
    <t>檀花溪</t>
  </si>
  <si>
    <r>
      <t>杨</t>
    </r>
    <r>
      <rPr>
        <sz val="11"/>
        <color theme="1"/>
        <rFont val="ＭＳ Ｐゴシック"/>
        <family val="3"/>
        <charset val="128"/>
        <scheme val="minor"/>
      </rPr>
      <t>荣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</si>
  <si>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威士忌;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高粱酒; 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甜酒; 米酒</t>
    </r>
  </si>
  <si>
    <t>INCREDIBLE MARIACHI RANCHERA INCREIBLE</t>
  </si>
  <si>
    <r>
      <t>拉斐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·埃里</t>
    </r>
    <r>
      <rPr>
        <sz val="11"/>
        <color theme="1"/>
        <rFont val="ＭＳ Ｐゴシック"/>
        <family val="3"/>
        <charset val="134"/>
        <scheme val="minor"/>
      </rPr>
      <t>韦</t>
    </r>
    <r>
      <rPr>
        <sz val="11"/>
        <color theme="1"/>
        <rFont val="ＭＳ Ｐゴシック"/>
        <family val="3"/>
        <charset val="128"/>
        <scheme val="minor"/>
      </rPr>
      <t>托·安提瓜·索洛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伊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</si>
  <si>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果酒（含酒精）; 汽酒; 伏特加酒;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</si>
  <si>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徽瓦潭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</si>
  <si>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烈酒; 果酒; 白酒; 米酒; 露酒;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</si>
  <si>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华桥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</si>
  <si>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利口酒; 果酒（含酒精）;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</si>
  <si>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超盒算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</si>
  <si>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利口酒; 葡萄酒;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</si>
  <si>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零食有</t>
    </r>
    <r>
      <rPr>
        <sz val="11"/>
        <color theme="1"/>
        <rFont val="ＭＳ Ｐゴシック"/>
        <family val="3"/>
        <charset val="134"/>
        <scheme val="minor"/>
      </rPr>
      <t>鸣</t>
    </r>
  </si>
  <si>
    <r>
      <t>成都零食有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</si>
  <si>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含酒精的气泡水; 白酒; 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青稞酒; 米酒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</si>
  <si>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钱</t>
    </r>
    <r>
      <rPr>
        <sz val="11"/>
        <color theme="1"/>
        <rFont val="ＭＳ Ｐゴシック"/>
        <family val="3"/>
        <charset val="128"/>
        <scheme val="minor"/>
      </rPr>
      <t>鼎</t>
    </r>
  </si>
  <si>
    <r>
      <t>徐州淘知道网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</si>
  <si>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葡萄酒</t>
    </r>
  </si>
  <si>
    <t>酉夜 酒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</si>
  <si>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竹碧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</si>
  <si>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露酒; 梅酒;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</si>
  <si>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r>
      <t>梦酒金</t>
    </r>
    <r>
      <rPr>
        <sz val="11"/>
        <color theme="1"/>
        <rFont val="ＭＳ Ｐゴシック"/>
        <family val="3"/>
        <charset val="134"/>
        <scheme val="minor"/>
      </rPr>
      <t>钗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</si>
  <si>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宾华</t>
    </r>
    <r>
      <rPr>
        <sz val="11"/>
        <color theme="1"/>
        <rFont val="ＭＳ Ｐゴシック"/>
        <family val="3"/>
        <charset val="128"/>
        <scheme val="minor"/>
      </rPr>
      <t>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</si>
  <si>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果酒; 汽酒; 米酒; 白酒; 烈酒;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</si>
  <si>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洗云泉</t>
  </si>
  <si>
    <r>
      <t>安徽水之佳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</si>
  <si>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</si>
  <si>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雅科西姆</t>
  </si>
  <si>
    <t>刘兵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</si>
  <si>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</si>
  <si>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嫩玉香</t>
  </si>
  <si>
    <t>徐恒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</si>
  <si>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威士忌</t>
    </r>
  </si>
  <si>
    <r>
      <t>煲</t>
    </r>
    <r>
      <rPr>
        <sz val="11"/>
        <color theme="1"/>
        <rFont val="ＭＳ Ｐゴシック"/>
        <family val="3"/>
        <charset val="128"/>
        <scheme val="minor"/>
      </rPr>
      <t>夫人 MADAM BAO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</si>
  <si>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省中粤众康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</si>
  <si>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果酒; 黑覆盆子酒;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高粱酒; 青梅酒;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</si>
  <si>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大漠芸</t>
  </si>
  <si>
    <r>
      <t>凤</t>
    </r>
    <r>
      <rPr>
        <sz val="11"/>
        <color theme="1"/>
        <rFont val="ＭＳ Ｐゴシック"/>
        <family val="3"/>
        <charset val="128"/>
        <scheme val="minor"/>
      </rPr>
      <t>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（天津）有限公司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</si>
  <si>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葡萄酒; 白酒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</si>
  <si>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岭白</t>
    </r>
    <r>
      <rPr>
        <sz val="11"/>
        <color theme="1"/>
        <rFont val="ＭＳ Ｐゴシック"/>
        <family val="3"/>
        <charset val="134"/>
        <scheme val="minor"/>
      </rPr>
      <t>标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</si>
  <si>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陵酒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（衡水）有限公司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</si>
  <si>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</t>
    </r>
  </si>
  <si>
    <t>渝杜仙</t>
  </si>
  <si>
    <t>何菊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</si>
  <si>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葡萄酒; 白酒; 米酒</t>
    </r>
  </si>
  <si>
    <t>戎耀君品</t>
  </si>
  <si>
    <r>
      <t>新疆牧恩生商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</si>
  <si>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汽酒; 果酒; 白酒; 米酒; 黄酒;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</si>
  <si>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开心旋 迷你火炬</t>
  </si>
  <si>
    <r>
      <t>明治（中国）投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</si>
  <si>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利口酒; 米酒; 薄荷酒;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</si>
  <si>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臻宝</t>
    </r>
    <r>
      <rPr>
        <sz val="11"/>
        <color theme="1"/>
        <rFont val="ＭＳ Ｐゴシック"/>
        <family val="3"/>
        <charset val="134"/>
        <scheme val="minor"/>
      </rPr>
      <t>鳄鱼</t>
    </r>
  </si>
  <si>
    <r>
      <t>广州臻宝</t>
    </r>
    <r>
      <rPr>
        <sz val="11"/>
        <color theme="1"/>
        <rFont val="ＭＳ Ｐゴシック"/>
        <family val="3"/>
        <charset val="134"/>
        <scheme val="minor"/>
      </rPr>
      <t>鳄鱼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</si>
  <si>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青稞酒; 白干酒（中国白酒）; 威士忌; 梅酒; 白酒;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</si>
  <si>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年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晓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</si>
  <si>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嘉瑞供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</si>
  <si>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餐后酒（利口酒和烈酒）;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</si>
  <si>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TENUTA LILIANA</t>
  </si>
  <si>
    <r>
      <t>特努塔莉莉安娜有限公司（</t>
    </r>
    <r>
      <rPr>
        <sz val="11"/>
        <color theme="1"/>
        <rFont val="ＭＳ Ｐゴシック"/>
        <family val="3"/>
        <charset val="134"/>
        <scheme val="minor"/>
      </rPr>
      <t>农业协</t>
    </r>
    <r>
      <rPr>
        <sz val="11"/>
        <color theme="1"/>
        <rFont val="ＭＳ Ｐゴシック"/>
        <family val="3"/>
        <charset val="128"/>
        <scheme val="minor"/>
      </rPr>
      <t>会）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</si>
  <si>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辽</t>
    </r>
    <r>
      <rPr>
        <sz val="11"/>
        <color theme="1"/>
        <rFont val="ＭＳ Ｐゴシック"/>
        <family val="3"/>
        <charset val="128"/>
        <scheme val="minor"/>
      </rPr>
      <t>斫冰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</si>
  <si>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宁葫芦古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</si>
  <si>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白干酒（中国白酒）; 果酒; 葡萄酒;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</t>
    </r>
  </si>
  <si>
    <t>斫冰葫芦王</t>
  </si>
  <si>
    <r>
      <t xml:space="preserve">露酒;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高粱酒;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</si>
  <si>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首欣</t>
    </r>
  </si>
  <si>
    <r>
      <t>北京首欣盈道酒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</si>
  <si>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食用酒精;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果酒（含酒精）; 伏特加酒; 黄酒; 白酒; 葡萄酒</t>
    </r>
  </si>
  <si>
    <t>互富</t>
  </si>
  <si>
    <r>
      <t>云天数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（天津）科技有限公司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</si>
  <si>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</si>
  <si>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雨田之家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</si>
  <si>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</si>
  <si>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露酒; 白酒; 苹果酒; 餐后酒（利口酒和烈酒）;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</si>
  <si>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匠</t>
    </r>
    <r>
      <rPr>
        <sz val="11"/>
        <color theme="1"/>
        <rFont val="ＭＳ Ｐゴシック"/>
        <family val="3"/>
        <charset val="134"/>
        <scheme val="minor"/>
      </rPr>
      <t>觯</t>
    </r>
    <r>
      <rPr>
        <sz val="11"/>
        <color theme="1"/>
        <rFont val="ＭＳ Ｐゴシック"/>
        <family val="3"/>
        <charset val="128"/>
        <scheme val="minor"/>
      </rPr>
      <t>尚品</t>
    </r>
  </si>
  <si>
    <r>
      <t>河南福杉雅商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</si>
  <si>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蒸煮提取物（利口酒和烈酒）; 黄酒; 米酒;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</si>
  <si>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唔</t>
  </si>
  <si>
    <t>李清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</si>
  <si>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烈酒;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清酒</t>
    </r>
  </si>
  <si>
    <r>
      <t>贵觯</t>
    </r>
    <r>
      <rPr>
        <sz val="11"/>
        <color theme="1"/>
        <rFont val="ＭＳ Ｐゴシック"/>
        <family val="3"/>
        <charset val="128"/>
        <scheme val="minor"/>
      </rPr>
      <t>囍</t>
    </r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</si>
  <si>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米酒; 白酒</t>
    </r>
  </si>
  <si>
    <t>鹿王逢</t>
  </si>
  <si>
    <t>李十平</t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</si>
  <si>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威士忌; 米酒; 果酒（含酒精）</t>
    </r>
  </si>
  <si>
    <t>HI FAFA</t>
  </si>
  <si>
    <r>
      <t>天津</t>
    </r>
    <r>
      <rPr>
        <sz val="11"/>
        <color theme="1"/>
        <rFont val="ＭＳ Ｐゴシック"/>
        <family val="3"/>
        <charset val="134"/>
        <scheme val="minor"/>
      </rPr>
      <t>发发</t>
    </r>
    <r>
      <rPr>
        <sz val="11"/>
        <color theme="1"/>
        <rFont val="ＭＳ Ｐゴシック"/>
        <family val="3"/>
        <charset val="128"/>
        <scheme val="minor"/>
      </rPr>
      <t>花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</si>
  <si>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酸酒（低等葡萄酒）;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</si>
  <si>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藏妙养</t>
  </si>
  <si>
    <r>
      <t>胡育</t>
    </r>
    <r>
      <rPr>
        <sz val="11"/>
        <color theme="1"/>
        <rFont val="ＭＳ Ｐゴシック"/>
        <family val="3"/>
        <charset val="134"/>
        <scheme val="minor"/>
      </rPr>
      <t>财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</si>
  <si>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果酒（含酒精）; 米酒</t>
    </r>
  </si>
  <si>
    <t>桂黑香</t>
  </si>
  <si>
    <r>
      <t>广西奕成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</si>
  <si>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青梅酒</t>
    </r>
  </si>
  <si>
    <r>
      <t>太平</t>
    </r>
    <r>
      <rPr>
        <sz val="11"/>
        <color theme="1"/>
        <rFont val="ＭＳ Ｐゴシック"/>
        <family val="3"/>
        <charset val="134"/>
        <scheme val="minor"/>
      </rPr>
      <t>乐业</t>
    </r>
  </si>
  <si>
    <r>
      <t xml:space="preserve">蜂蜜酒;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伏特加酒; 白酒; 果酒（含酒精）; 黄酒</t>
    </r>
  </si>
  <si>
    <t>廖文乾******************</t>
  </si>
  <si>
    <r>
      <t xml:space="preserve">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杜松子酒</t>
    </r>
  </si>
  <si>
    <t>比特福</t>
  </si>
  <si>
    <t>深圳市比特福科技有限公司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</si>
  <si>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</si>
  <si>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哈拉罕</t>
  </si>
  <si>
    <r>
      <t>毛友友（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家口）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</si>
  <si>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果酒（含酒精）;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清酒; 苹果酒; 葡萄酒</t>
    </r>
  </si>
  <si>
    <t>鹿滋延</t>
  </si>
  <si>
    <r>
      <t>食用酒精; 黄酒; 威士忌; 果酒（含酒精）;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</si>
  <si>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BEAN ORIG.</t>
  </si>
  <si>
    <r>
      <t>杨</t>
    </r>
    <r>
      <rPr>
        <sz val="11"/>
        <color theme="1"/>
        <rFont val="ＭＳ Ｐゴシック"/>
        <family val="3"/>
        <charset val="128"/>
        <scheme val="minor"/>
      </rPr>
      <t>奕芃</t>
    </r>
  </si>
  <si>
    <r>
      <t xml:space="preserve">朗姆酒; 伏特加酒; 葡萄酒; 含酒精的气泡水; 餐后酒（利口酒和烈酒）;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</si>
  <si>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匠五味</t>
  </si>
  <si>
    <r>
      <t>王云</t>
    </r>
    <r>
      <rPr>
        <sz val="11"/>
        <color theme="1"/>
        <rFont val="ＭＳ Ｐゴシック"/>
        <family val="3"/>
        <charset val="134"/>
        <scheme val="minor"/>
      </rPr>
      <t>跃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</si>
  <si>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烈酒;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</t>
    </r>
  </si>
  <si>
    <r>
      <t>志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酒坊</t>
    </r>
  </si>
  <si>
    <t>阙丽红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</si>
  <si>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黄酒; 米酒; 利口酒</t>
    </r>
  </si>
  <si>
    <t>猛虎将</t>
  </si>
  <si>
    <r>
      <t>张</t>
    </r>
    <r>
      <rPr>
        <sz val="11"/>
        <color theme="1"/>
        <rFont val="ＭＳ Ｐゴシック"/>
        <family val="3"/>
        <charset val="128"/>
        <scheme val="minor"/>
      </rPr>
      <t>学深</t>
    </r>
  </si>
  <si>
    <r>
      <t>杜松子酒;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</si>
  <si>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牵</t>
    </r>
    <r>
      <rPr>
        <sz val="11"/>
        <color theme="1"/>
        <rFont val="ＭＳ Ｐゴシック"/>
        <family val="3"/>
        <charset val="128"/>
        <scheme val="minor"/>
      </rPr>
      <t>福</t>
    </r>
  </si>
  <si>
    <t>王革命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</si>
  <si>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威士忌;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</si>
  <si>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河北兆禾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</si>
  <si>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白酒; 高粱酒;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梨酒;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</si>
  <si>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t>橘酺</t>
  </si>
  <si>
    <r>
      <t>恩施</t>
    </r>
    <r>
      <rPr>
        <sz val="11"/>
        <color theme="1"/>
        <rFont val="ＭＳ Ｐゴシック"/>
        <family val="3"/>
        <charset val="129"/>
        <scheme val="minor"/>
      </rPr>
      <t>汩</t>
    </r>
    <r>
      <rPr>
        <sz val="11"/>
        <color theme="1"/>
        <rFont val="ＭＳ Ｐゴシック"/>
        <family val="3"/>
        <charset val="128"/>
        <scheme val="minor"/>
      </rPr>
      <t>源文化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</si>
  <si>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利口酒;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柑香酒; 餐后酒（利口酒和烈酒）; 蜂蜜酒; 白酒;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薄荷酒;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</si>
  <si>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丽</t>
    </r>
  </si>
  <si>
    <t>利事食品有限公司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</si>
  <si>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</si>
  <si>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珀夜宴</t>
  </si>
  <si>
    <r>
      <t>鹤</t>
    </r>
    <r>
      <rPr>
        <sz val="11"/>
        <color theme="1"/>
        <rFont val="ＭＳ Ｐゴシック"/>
        <family val="3"/>
        <charset val="128"/>
        <scheme val="minor"/>
      </rPr>
      <t>峰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白酒庄园坊</t>
    </r>
  </si>
  <si>
    <r>
      <t xml:space="preserve">果酒; 葡萄酒;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利口酒; 高粱酒; 米酒; 蜂蜜酒;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</si>
  <si>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胡运佳</t>
  </si>
  <si>
    <r>
      <t>餐后酒（利口酒和烈酒）; 果酒（含酒精）; 开胃酒; 白酒;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</si>
  <si>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云上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蒙</t>
    </r>
  </si>
  <si>
    <t>蒙桂梅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</si>
  <si>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</si>
  <si>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八戒来啦</t>
  </si>
  <si>
    <r>
      <t>李</t>
    </r>
    <r>
      <rPr>
        <sz val="11"/>
        <color theme="1"/>
        <rFont val="ＭＳ Ｐゴシック"/>
        <family val="3"/>
        <charset val="134"/>
        <scheme val="minor"/>
      </rPr>
      <t>亚宾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</si>
  <si>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利口酒; 黄酒;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</si>
  <si>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汉远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</si>
  <si>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广合融通科技有限公司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</si>
  <si>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</si>
  <si>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养昇</t>
    </r>
  </si>
  <si>
    <r>
      <t>申</t>
    </r>
    <r>
      <rPr>
        <sz val="11"/>
        <color theme="1"/>
        <rFont val="ＭＳ Ｐゴシック"/>
        <family val="3"/>
        <charset val="134"/>
        <scheme val="minor"/>
      </rPr>
      <t>继伦</t>
    </r>
  </si>
  <si>
    <r>
      <t xml:space="preserve">葡萄酒;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</si>
  <si>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美年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</si>
  <si>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河南美年</t>
    </r>
    <r>
      <rPr>
        <sz val="11"/>
        <color theme="1"/>
        <rFont val="ＭＳ Ｐゴシック"/>
        <family val="3"/>
        <charset val="134"/>
        <scheme val="minor"/>
      </rPr>
      <t>华实业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</si>
  <si>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米酒; 青稞酒;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</si>
  <si>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禹西河</t>
  </si>
  <si>
    <r>
      <t>贾</t>
    </r>
    <r>
      <rPr>
        <sz val="11"/>
        <color theme="1"/>
        <rFont val="ＭＳ Ｐゴシック"/>
        <family val="3"/>
        <charset val="128"/>
        <scheme val="minor"/>
      </rPr>
      <t>克河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</si>
  <si>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食用酒精; 白酒; 米酒</t>
    </r>
  </si>
  <si>
    <r>
      <t>国王的</t>
    </r>
    <r>
      <rPr>
        <sz val="11"/>
        <color theme="1"/>
        <rFont val="ＭＳ Ｐゴシック"/>
        <family val="3"/>
        <charset val="134"/>
        <scheme val="minor"/>
      </rPr>
      <t>约</t>
    </r>
    <r>
      <rPr>
        <sz val="11"/>
        <color theme="1"/>
        <rFont val="ＭＳ Ｐゴシック"/>
        <family val="3"/>
        <charset val="128"/>
        <scheme val="minor"/>
      </rPr>
      <t>定</t>
    </r>
  </si>
  <si>
    <t>吴棣明</t>
  </si>
  <si>
    <r>
      <t>白干酒（中国白酒）; 含酒精的气泡水;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黄酒; 米酒;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</si>
  <si>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TIMES REMAKE</t>
  </si>
  <si>
    <t>何通海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</si>
  <si>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含酒精蛋奶酒;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</si>
  <si>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古度春</t>
  </si>
  <si>
    <r>
      <t>灵璧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梦</t>
    </r>
    <r>
      <rPr>
        <sz val="11"/>
        <color theme="1"/>
        <rFont val="ＭＳ Ｐゴシック"/>
        <family val="3"/>
        <charset val="134"/>
        <scheme val="minor"/>
      </rPr>
      <t>闯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</si>
  <si>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清酒; 高粱酒; 果酒（含酒精）; 白酒; 米酒; 黄酒</t>
    </r>
  </si>
  <si>
    <t>MOVE FREE</t>
  </si>
  <si>
    <r>
      <t>RB健康（美国）有限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</si>
  <si>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</si>
  <si>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t>灵口醇</t>
  </si>
  <si>
    <r>
      <t>彭永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</si>
  <si>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白干酒（中国白酒）; 黄酒;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</si>
  <si>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圣沟</t>
  </si>
  <si>
    <t>盛武琦</t>
  </si>
  <si>
    <r>
      <t xml:space="preserve">食用酒精; 果酒; 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</si>
  <si>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猛春堂</t>
  </si>
  <si>
    <r>
      <t>余</t>
    </r>
    <r>
      <rPr>
        <sz val="11"/>
        <color theme="1"/>
        <rFont val="ＭＳ Ｐゴシック"/>
        <family val="3"/>
        <charset val="134"/>
        <scheme val="minor"/>
      </rPr>
      <t>庆县亚</t>
    </r>
    <r>
      <rPr>
        <sz val="11"/>
        <color theme="1"/>
        <rFont val="ＭＳ Ｐゴシック"/>
        <family val="3"/>
        <charset val="128"/>
        <scheme val="minor"/>
      </rPr>
      <t>太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南特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</si>
  <si>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</si>
  <si>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落叶</t>
    </r>
    <r>
      <rPr>
        <sz val="11"/>
        <color theme="1"/>
        <rFont val="ＭＳ Ｐゴシック"/>
        <family val="3"/>
        <charset val="134"/>
        <scheme val="minor"/>
      </rPr>
      <t>栀</t>
    </r>
    <r>
      <rPr>
        <sz val="11"/>
        <color theme="1"/>
        <rFont val="ＭＳ Ｐゴシック"/>
        <family val="3"/>
        <charset val="128"/>
        <scheme val="minor"/>
      </rPr>
      <t>梦</t>
    </r>
  </si>
  <si>
    <r>
      <t>刘培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</si>
  <si>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汽酒; 白酒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</si>
  <si>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義梁山</t>
    </r>
  </si>
  <si>
    <r>
      <t>梁山金潭酒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</si>
  <si>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白酒; 蒸煮提取物（利口酒和烈酒）;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</si>
  <si>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陆兴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</si>
  <si>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</si>
  <si>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秋酉</t>
  </si>
  <si>
    <t>柳州善香白酒制造有限公司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</si>
  <si>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葡萄酒; 威士忌; 伏特加酒;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</t>
    </r>
  </si>
  <si>
    <t>虞庄名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</si>
  <si>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州虞庄酒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</si>
  <si>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高粱酒; 甜酒;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</si>
  <si>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t>鼻鼻猪</t>
  </si>
  <si>
    <t>胡澄一</t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</si>
  <si>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</si>
  <si>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虞庄老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</si>
  <si>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</si>
  <si>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r>
      <t>阔</t>
    </r>
    <r>
      <rPr>
        <sz val="11"/>
        <color theme="1"/>
        <rFont val="ＭＳ Ｐゴシック"/>
        <family val="3"/>
        <charset val="128"/>
        <scheme val="minor"/>
      </rPr>
      <t>石岩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</si>
  <si>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庆银</t>
    </r>
    <r>
      <rPr>
        <sz val="11"/>
        <color theme="1"/>
        <rFont val="ＭＳ Ｐゴシック"/>
        <family val="3"/>
        <charset val="128"/>
        <scheme val="minor"/>
      </rPr>
      <t>聚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</si>
  <si>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伏特加酒</t>
    </r>
  </si>
  <si>
    <r>
      <t>情義</t>
    </r>
    <r>
      <rPr>
        <sz val="11"/>
        <color theme="1"/>
        <rFont val="ＭＳ Ｐゴシック"/>
        <family val="3"/>
        <charset val="134"/>
        <scheme val="minor"/>
      </rPr>
      <t>驷</t>
    </r>
    <r>
      <rPr>
        <sz val="11"/>
        <color theme="1"/>
        <rFont val="ＭＳ Ｐゴシック"/>
        <family val="3"/>
        <charset val="128"/>
        <scheme val="minor"/>
      </rPr>
      <t>海</t>
    </r>
  </si>
  <si>
    <t>巩金燕</t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</si>
  <si>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</t>
    </r>
  </si>
  <si>
    <t>蒙晋清瓷</t>
  </si>
  <si>
    <t>李海山</t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</si>
  <si>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</si>
  <si>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根在神都</t>
  </si>
  <si>
    <t>刘玉侠******************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</si>
  <si>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甘蔗制烈酒;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</si>
  <si>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清州王</t>
  </si>
  <si>
    <t>李保金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</si>
  <si>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果酒（含酒精）; 葡萄酒; 利口酒; 清酒（日本米酒）; 白酒</t>
    </r>
  </si>
  <si>
    <t>周勇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</si>
  <si>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青稞酒; 食用酒精; 黄酒; 高粱酒; 葡萄酒</t>
    </r>
  </si>
  <si>
    <r>
      <t>英</t>
    </r>
    <r>
      <rPr>
        <sz val="11"/>
        <color theme="1"/>
        <rFont val="ＭＳ Ｐゴシック"/>
        <family val="3"/>
        <charset val="134"/>
        <scheme val="minor"/>
      </rPr>
      <t>纽</t>
    </r>
    <r>
      <rPr>
        <sz val="11"/>
        <color theme="1"/>
        <rFont val="ＭＳ Ｐゴシック"/>
        <family val="3"/>
        <charset val="128"/>
        <scheme val="minor"/>
      </rPr>
      <t>惠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</si>
  <si>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沙市英</t>
    </r>
    <r>
      <rPr>
        <sz val="11"/>
        <color theme="1"/>
        <rFont val="ＭＳ Ｐゴシック"/>
        <family val="3"/>
        <charset val="134"/>
        <scheme val="minor"/>
      </rPr>
      <t>纽</t>
    </r>
    <r>
      <rPr>
        <sz val="11"/>
        <color theme="1"/>
        <rFont val="ＭＳ Ｐゴシック"/>
        <family val="3"/>
        <charset val="128"/>
        <scheme val="minor"/>
      </rPr>
      <t>惠企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</si>
  <si>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米酒;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</si>
  <si>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斟古今酒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</si>
  <si>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</si>
  <si>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迎情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</si>
  <si>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伏特加酒;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果酒（含酒精）; 高粱酒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</si>
  <si>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容企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</si>
  <si>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汽酒; 米酒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</si>
  <si>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云川</t>
    </r>
  </si>
  <si>
    <r>
      <t>刘宏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</si>
  <si>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薄荷酒</t>
    </r>
  </si>
  <si>
    <t>名高</t>
  </si>
  <si>
    <r>
      <t>陈</t>
    </r>
    <r>
      <rPr>
        <sz val="11"/>
        <color theme="1"/>
        <rFont val="ＭＳ Ｐゴシック"/>
        <family val="3"/>
        <charset val="128"/>
        <scheme val="minor"/>
      </rPr>
      <t>广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</si>
  <si>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伏特加酒; 葡萄酒; 利口酒; 清酒;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</si>
  <si>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礼豫中原</t>
  </si>
  <si>
    <r>
      <t>孙</t>
    </r>
    <r>
      <rPr>
        <sz val="11"/>
        <color theme="1"/>
        <rFont val="ＭＳ Ｐゴシック"/>
        <family val="3"/>
        <charset val="128"/>
        <scheme val="minor"/>
      </rPr>
      <t>震</t>
    </r>
  </si>
  <si>
    <r>
      <t xml:space="preserve">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米酒; 葡萄酒</t>
    </r>
  </si>
  <si>
    <r>
      <t>清洲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</si>
  <si>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利口酒; 威士忌; 伏特加酒; 果酒（含酒精）; 葡萄酒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</si>
  <si>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榕五叶</t>
    </r>
  </si>
  <si>
    <r>
      <t>陆陈娇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</si>
  <si>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</si>
  <si>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r>
      <t>味</t>
    </r>
    <r>
      <rPr>
        <sz val="11"/>
        <color theme="1"/>
        <rFont val="ＭＳ Ｐゴシック"/>
        <family val="3"/>
        <charset val="134"/>
        <scheme val="minor"/>
      </rPr>
      <t>顶顶</t>
    </r>
  </si>
  <si>
    <r>
      <t>于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峰</t>
    </r>
  </si>
  <si>
    <t>葡萄酒; 黄酒; 食用酒精; 清酒; 果酒; 白酒; 甜酒; 开胃酒; 汽酒; 米酒</t>
  </si>
  <si>
    <t>水源桃庄醉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</si>
  <si>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州桃庄酒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</si>
  <si>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</si>
  <si>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HENRY HAMAXI 亨利</t>
    </r>
    <r>
      <rPr>
        <sz val="11"/>
        <color theme="1"/>
        <rFont val="ＭＳ Ｐゴシック"/>
        <family val="3"/>
        <charset val="134"/>
        <scheme val="minor"/>
      </rPr>
      <t>爱玛</t>
    </r>
    <r>
      <rPr>
        <sz val="11"/>
        <color theme="1"/>
        <rFont val="ＭＳ Ｐゴシック"/>
        <family val="3"/>
        <charset val="128"/>
        <scheme val="minor"/>
      </rPr>
      <t>侍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</si>
  <si>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晟烈酒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（香港）有限公司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</si>
  <si>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力酒;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餐后酒（利口酒和烈酒）; 白酒; 朗姆酒</t>
    </r>
  </si>
  <si>
    <t>水商之脉</t>
  </si>
  <si>
    <r>
      <t>陈</t>
    </r>
    <r>
      <rPr>
        <sz val="11"/>
        <color theme="1"/>
        <rFont val="ＭＳ Ｐゴシック"/>
        <family val="3"/>
        <charset val="128"/>
        <scheme val="minor"/>
      </rPr>
      <t>星霖</t>
    </r>
  </si>
  <si>
    <r>
      <t xml:space="preserve">果酒（含酒精）;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米酒</t>
    </r>
  </si>
  <si>
    <t>凰山玄境</t>
  </si>
  <si>
    <t>黄博勇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</si>
  <si>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葡萄酒; 果酒（含酒精）; 米酒;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</si>
  <si>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迎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志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</si>
  <si>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米酒;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果酒（含酒精）; 高粱酒</t>
    </r>
  </si>
  <si>
    <t>澳拉AUSYRAH</t>
  </si>
  <si>
    <r>
      <t>餐后酒（利口酒和烈酒）; 利口酒;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葡萄酒;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</si>
  <si>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振九洲</t>
  </si>
  <si>
    <t>卢莹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</si>
  <si>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果酒（含酒精）; 白酒; 黄酒; 清酒（日本米酒）</t>
    </r>
  </si>
  <si>
    <r>
      <t>嗨</t>
    </r>
    <r>
      <rPr>
        <sz val="11"/>
        <color theme="1"/>
        <rFont val="ＭＳ Ｐゴシック"/>
        <family val="3"/>
        <charset val="128"/>
        <scheme val="minor"/>
      </rPr>
      <t>啤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</si>
  <si>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北京意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广告有限公司</t>
    </r>
  </si>
  <si>
    <r>
      <t>黄酒; 米酒; 梨酒;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</si>
  <si>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川太煌</t>
  </si>
  <si>
    <r>
      <t>乔</t>
    </r>
    <r>
      <rPr>
        <sz val="11"/>
        <color theme="1"/>
        <rFont val="ＭＳ Ｐゴシック"/>
        <family val="3"/>
        <charset val="128"/>
        <scheme val="minor"/>
      </rPr>
      <t>玉文</t>
    </r>
  </si>
  <si>
    <r>
      <t>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威士忌;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利口酒</t>
    </r>
  </si>
  <si>
    <r>
      <t>嗨</t>
    </r>
    <r>
      <rPr>
        <sz val="11"/>
        <color theme="1"/>
        <rFont val="ＭＳ Ｐゴシック"/>
        <family val="3"/>
        <charset val="128"/>
        <scheme val="minor"/>
      </rPr>
      <t>啤虎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</si>
  <si>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梨酒; 黄酒;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米酒; 白酒</t>
    </r>
  </si>
  <si>
    <t>虞庄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</si>
  <si>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黄酒;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</si>
  <si>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r>
      <t>水商之会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</si>
  <si>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</si>
  <si>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源</t>
    </r>
    <r>
      <rPr>
        <sz val="11"/>
        <color theme="1"/>
        <rFont val="ＭＳ Ｐゴシック"/>
        <family val="3"/>
        <charset val="134"/>
        <scheme val="minor"/>
      </rPr>
      <t>陨</t>
    </r>
    <r>
      <rPr>
        <sz val="11"/>
        <color theme="1"/>
        <rFont val="ＭＳ Ｐゴシック"/>
        <family val="3"/>
        <charset val="128"/>
        <scheme val="minor"/>
      </rPr>
      <t>石</t>
    </r>
  </si>
  <si>
    <r>
      <t>丛</t>
    </r>
    <r>
      <rPr>
        <sz val="11"/>
        <color theme="1"/>
        <rFont val="ＭＳ Ｐゴシック"/>
        <family val="3"/>
        <charset val="128"/>
        <scheme val="minor"/>
      </rPr>
      <t>桂春</t>
    </r>
  </si>
  <si>
    <r>
      <t>米酒; 露酒;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甜酒; 黄酒; 果酒; 清酒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</si>
  <si>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商五九</t>
    </r>
  </si>
  <si>
    <r>
      <t>靖江品熙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</si>
  <si>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薄荷酒;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</si>
  <si>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壹佰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</si>
  <si>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海涛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</si>
  <si>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</t>
    </r>
  </si>
  <si>
    <r>
      <t>邓坝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</si>
  <si>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犍</t>
    </r>
    <r>
      <rPr>
        <sz val="11"/>
        <color theme="1"/>
        <rFont val="ＭＳ Ｐゴシック"/>
        <family val="3"/>
        <charset val="134"/>
        <scheme val="minor"/>
      </rPr>
      <t>为县</t>
    </r>
    <r>
      <rPr>
        <sz val="11"/>
        <color theme="1"/>
        <rFont val="ＭＳ Ｐゴシック"/>
        <family val="3"/>
        <charset val="128"/>
        <scheme val="minor"/>
      </rPr>
      <t>寿保</t>
    </r>
    <r>
      <rPr>
        <sz val="11"/>
        <color theme="1"/>
        <rFont val="ＭＳ Ｐゴシック"/>
        <family val="3"/>
        <charset val="134"/>
        <scheme val="minor"/>
      </rPr>
      <t>镇邓坝</t>
    </r>
    <r>
      <rPr>
        <sz val="11"/>
        <color theme="1"/>
        <rFont val="ＭＳ Ｐゴシック"/>
        <family val="3"/>
        <charset val="128"/>
        <scheme val="minor"/>
      </rPr>
      <t>村股份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</si>
  <si>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果酒（含酒精）; 葡萄酒; 米酒; 青稞酒;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</si>
  <si>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江北水城 酒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</si>
  <si>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慈母湖文化旅游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</si>
  <si>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开胃酒; 葡萄酒;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</si>
  <si>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蜂蜜酒; 米酒;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</si>
  <si>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山六谷粮液</t>
    </r>
  </si>
  <si>
    <t>任茂礼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</si>
  <si>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</si>
  <si>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黄酒; 葡萄酒; 蜂蜜酒; 米酒;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</si>
  <si>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叶化蝶</t>
  </si>
  <si>
    <t>李勇干</t>
  </si>
  <si>
    <r>
      <t>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</si>
  <si>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承</t>
    </r>
    <r>
      <rPr>
        <sz val="11"/>
        <color theme="1"/>
        <rFont val="ＭＳ Ｐゴシック"/>
        <family val="3"/>
        <charset val="134"/>
        <scheme val="minor"/>
      </rPr>
      <t>铜</t>
    </r>
  </si>
  <si>
    <r>
      <t>承</t>
    </r>
    <r>
      <rPr>
        <sz val="11"/>
        <color theme="1"/>
        <rFont val="ＭＳ Ｐゴシック"/>
        <family val="3"/>
        <charset val="134"/>
        <scheme val="minor"/>
      </rPr>
      <t>铜</t>
    </r>
    <r>
      <rPr>
        <sz val="11"/>
        <color theme="1"/>
        <rFont val="ＭＳ Ｐゴシック"/>
        <family val="3"/>
        <charset val="128"/>
        <scheme val="minor"/>
      </rPr>
      <t>科技(北京)有限公司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</si>
  <si>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食用酒精; 果酒（含酒精）; 威士忌; 米酒</t>
    </r>
  </si>
  <si>
    <t>柼</t>
  </si>
  <si>
    <r>
      <t>介</t>
    </r>
    <r>
      <rPr>
        <sz val="11"/>
        <color theme="1"/>
        <rFont val="ＭＳ Ｐゴシック"/>
        <family val="3"/>
        <charset val="134"/>
        <scheme val="minor"/>
      </rPr>
      <t>资龙</t>
    </r>
  </si>
  <si>
    <r>
      <t>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米酒; 果酒（含酒精）; 蒸煮提取物（利口酒和烈酒）;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</si>
  <si>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䯄</t>
  </si>
  <si>
    <r>
      <t>陈</t>
    </r>
    <r>
      <rPr>
        <sz val="11"/>
        <color theme="1"/>
        <rFont val="ＭＳ Ｐゴシック"/>
        <family val="3"/>
        <charset val="128"/>
        <scheme val="minor"/>
      </rPr>
      <t>胤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</si>
  <si>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葡萄酒</t>
    </r>
  </si>
  <si>
    <t>熭</t>
  </si>
  <si>
    <r>
      <t>李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松</t>
    </r>
  </si>
  <si>
    <r>
      <t>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果酒（含酒精）; 白酒; 食用酒精;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</si>
  <si>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量雨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</si>
  <si>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金雨霖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</si>
  <si>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清酒（日本米酒）;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</si>
  <si>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白若云</t>
  </si>
  <si>
    <r>
      <t>郑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</si>
  <si>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 xml:space="preserve">白干酒（中国白酒）; 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高粱酒;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黄酒</t>
    </r>
  </si>
  <si>
    <r>
      <t>熊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</si>
  <si>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广西平南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科源茶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</si>
  <si>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高粱酒;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日本梅子酒; 黄酒; 果酒; 白酒; 汽酒; 威士忌</t>
    </r>
  </si>
  <si>
    <t>吉智喜</t>
  </si>
  <si>
    <r>
      <t xml:space="preserve">蒸煮提取物（利口酒和烈酒）;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清酒（日本米酒）; 果酒;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</si>
  <si>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埃托里.布加迪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</si>
  <si>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州酣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君品酒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</si>
  <si>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白酒; 苹果酒; 果酒（含酒精）; 葡萄酒; 餐后酒（利口酒和烈酒）;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</si>
  <si>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绢忆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</si>
  <si>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果酒; 开胃酒; 白酒; 清酒（日本米酒）;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</si>
  <si>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坡李白居易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</si>
  <si>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东泼</t>
    </r>
    <r>
      <rPr>
        <sz val="11"/>
        <color theme="1"/>
        <rFont val="ＭＳ Ｐゴシック"/>
        <family val="3"/>
        <charset val="128"/>
        <scheme val="minor"/>
      </rPr>
      <t>醴白酒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</si>
  <si>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伏特加酒;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</si>
  <si>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衡昌天下</t>
  </si>
  <si>
    <r>
      <t xml:space="preserve">白酒; 白干酒（中国白酒）;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蜂蜜酒; 蒸煮提取物（利口酒和烈酒）; 利口酒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</si>
  <si>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殿</t>
    </r>
    <r>
      <rPr>
        <sz val="11"/>
        <color theme="1"/>
        <rFont val="ＭＳ Ｐゴシック"/>
        <family val="3"/>
        <charset val="134"/>
        <scheme val="minor"/>
      </rPr>
      <t>鸯</t>
    </r>
  </si>
  <si>
    <r>
      <t>六</t>
    </r>
    <r>
      <rPr>
        <sz val="11"/>
        <color theme="1"/>
        <rFont val="ＭＳ Ｐゴシック"/>
        <family val="3"/>
        <charset val="134"/>
        <scheme val="minor"/>
      </rPr>
      <t>盘</t>
    </r>
    <r>
      <rPr>
        <sz val="11"/>
        <color theme="1"/>
        <rFont val="ＭＳ Ｐゴシック"/>
        <family val="3"/>
        <charset val="128"/>
        <scheme val="minor"/>
      </rPr>
      <t>水星河</t>
    </r>
    <r>
      <rPr>
        <sz val="11"/>
        <color theme="1"/>
        <rFont val="ＭＳ Ｐゴシック"/>
        <family val="3"/>
        <charset val="134"/>
        <scheme val="minor"/>
      </rPr>
      <t>烧锅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</si>
  <si>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露酒; 米酒; 白干酒（中国白酒）; 果酒; 高粱酒; 苦味酒;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</si>
  <si>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MDK</t>
  </si>
  <si>
    <r>
      <t>白酒;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</si>
  <si>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星河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想（成都）品牌管理有限公司</t>
    </r>
  </si>
  <si>
    <r>
      <t>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薄荷酒; 威士忌; 开胃酒</t>
    </r>
  </si>
  <si>
    <t>匠聚吟老酒坊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</si>
  <si>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锐</t>
    </r>
    <r>
      <rPr>
        <sz val="11"/>
        <color theme="1"/>
        <rFont val="ＭＳ Ｐゴシック"/>
        <family val="3"/>
        <charset val="128"/>
        <scheme val="minor"/>
      </rPr>
      <t>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</si>
  <si>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蜂蜜酒; 果酒; 开胃酒; 葡萄酒; 威士忌; 黄酒</t>
    </r>
  </si>
  <si>
    <t>悦昇</t>
  </si>
  <si>
    <r>
      <t>贾</t>
    </r>
    <r>
      <rPr>
        <sz val="11"/>
        <color theme="1"/>
        <rFont val="ＭＳ Ｐゴシック"/>
        <family val="3"/>
        <charset val="128"/>
        <scheme val="minor"/>
      </rPr>
      <t>江波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</si>
  <si>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食用酒精;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白酒; 米酒; 黄酒</t>
    </r>
  </si>
  <si>
    <r>
      <t>生</t>
    </r>
    <r>
      <rPr>
        <sz val="11"/>
        <color theme="1"/>
        <rFont val="ＭＳ Ｐゴシック"/>
        <family val="3"/>
        <charset val="134"/>
        <scheme val="minor"/>
      </rPr>
      <t>卢鲜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34"/>
        <scheme val="minor"/>
      </rPr>
      <t>泸鲜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</si>
  <si>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州市正乾广告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</si>
  <si>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黄酒; 白酒; 清酒（日本米酒）; 米酒;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食用酒精; 葡萄酒; 果酒（含酒精）</t>
    </r>
  </si>
  <si>
    <r>
      <t>桦</t>
    </r>
    <r>
      <rPr>
        <sz val="11"/>
        <color theme="1"/>
        <rFont val="ＭＳ Ｐゴシック"/>
        <family val="3"/>
        <charset val="128"/>
        <scheme val="minor"/>
      </rPr>
      <t>熊之恋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</si>
  <si>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江六十七甄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</si>
  <si>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白酒; 葡萄酒; 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杜松子酒; 刺五加酒; 梨酒;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</si>
  <si>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香圣淳一 ZENTWOOD</t>
  </si>
  <si>
    <r>
      <t>上海香圣淳一生物科技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</si>
  <si>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果酒（含酒精）</t>
    </r>
  </si>
  <si>
    <t>奉江山</t>
  </si>
  <si>
    <t>李浩浩</t>
  </si>
  <si>
    <r>
      <t>白干酒（中国白酒）;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</si>
  <si>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帝女之</t>
    </r>
    <r>
      <rPr>
        <sz val="11"/>
        <color theme="1"/>
        <rFont val="ＭＳ Ｐゴシック"/>
        <family val="3"/>
        <charset val="134"/>
        <scheme val="minor"/>
      </rPr>
      <t>饮</t>
    </r>
  </si>
  <si>
    <r>
      <t>河南秀水丹江</t>
    </r>
    <r>
      <rPr>
        <sz val="11"/>
        <color theme="1"/>
        <rFont val="ＭＳ Ｐゴシック"/>
        <family val="3"/>
        <charset val="134"/>
        <scheme val="minor"/>
      </rPr>
      <t>矿</t>
    </r>
    <r>
      <rPr>
        <sz val="11"/>
        <color theme="1"/>
        <rFont val="ＭＳ Ｐゴシック"/>
        <family val="3"/>
        <charset val="128"/>
        <scheme val="minor"/>
      </rPr>
      <t>泉水有限公司</t>
    </r>
  </si>
  <si>
    <r>
      <t>开胃酒; 白酒; 清酒（日本米酒）;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</t>
    </r>
  </si>
  <si>
    <r>
      <t>漠北</t>
    </r>
    <r>
      <rPr>
        <sz val="11"/>
        <color theme="1"/>
        <rFont val="ＭＳ Ｐゴシック"/>
        <family val="3"/>
        <charset val="134"/>
        <scheme val="minor"/>
      </rPr>
      <t>谣</t>
    </r>
  </si>
  <si>
    <r>
      <t>齐</t>
    </r>
    <r>
      <rPr>
        <sz val="11"/>
        <color theme="1"/>
        <rFont val="ＭＳ Ｐゴシック"/>
        <family val="3"/>
        <charset val="128"/>
        <scheme val="minor"/>
      </rPr>
      <t>雷</t>
    </r>
    <r>
      <rPr>
        <sz val="11"/>
        <color theme="1"/>
        <rFont val="ＭＳ Ｐゴシック"/>
        <family val="3"/>
        <charset val="134"/>
        <scheme val="minor"/>
      </rPr>
      <t>鸣</t>
    </r>
  </si>
  <si>
    <r>
      <t xml:space="preserve">葡萄酒; 开胃酒; 清酒（日本米酒）; 威士忌; 黄酒; 白酒;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</si>
  <si>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宽</t>
    </r>
    <r>
      <rPr>
        <sz val="11"/>
        <color theme="1"/>
        <rFont val="ＭＳ Ｐゴシック"/>
        <family val="3"/>
        <charset val="128"/>
        <scheme val="minor"/>
      </rPr>
      <t>达</t>
    </r>
  </si>
  <si>
    <r>
      <t>陈晓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</si>
  <si>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 xml:space="preserve">果酒（含酒精）;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</si>
  <si>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天地潭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</si>
  <si>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州市蜀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</si>
  <si>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</si>
  <si>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紫玄</t>
  </si>
  <si>
    <r>
      <t>白酒; 青稞酒; 清酒;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露酒</t>
    </r>
  </si>
  <si>
    <r>
      <t>察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古道</t>
    </r>
  </si>
  <si>
    <t>袁海瑞</t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</si>
  <si>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米酒; 高粱酒</t>
    </r>
  </si>
  <si>
    <t>白若雪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</si>
  <si>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高粱酒; 露酒;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青稞酒; 白干酒（中国白酒）</t>
    </r>
  </si>
  <si>
    <t>皇家元清花</t>
  </si>
  <si>
    <r>
      <t>保定市吉樟商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</si>
  <si>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汽酒; 青稞酒; 梨酒; 黄酒; 伏特加酒;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</si>
  <si>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三粮朴窖</t>
  </si>
  <si>
    <r>
      <t>北京朴窖酒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</si>
  <si>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黄酒;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汽酒;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</si>
  <si>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秋皓月</t>
  </si>
  <si>
    <r>
      <t>贾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</si>
  <si>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餐后酒（利口酒和烈酒）; 烈酒; 食用酒精;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</si>
  <si>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t>古粱川</t>
  </si>
  <si>
    <r>
      <t>乔书</t>
    </r>
    <r>
      <rPr>
        <sz val="11"/>
        <color theme="1"/>
        <rFont val="ＭＳ Ｐゴシック"/>
        <family val="3"/>
        <charset val="128"/>
        <scheme val="minor"/>
      </rPr>
      <t>安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</si>
  <si>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果酒; 清酒（日本米酒）; 葡萄酒;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</si>
  <si>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益供益</t>
    </r>
    <r>
      <rPr>
        <sz val="11"/>
        <color theme="1"/>
        <rFont val="ＭＳ Ｐゴシック"/>
        <family val="3"/>
        <charset val="134"/>
        <scheme val="minor"/>
      </rPr>
      <t>销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</si>
  <si>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计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计营销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</si>
  <si>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>黄酒; 果酒（含酒精）; 开胃酒;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青稞酒;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</si>
  <si>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倒洞泉</t>
  </si>
  <si>
    <r>
      <t>湖北宜昌楚</t>
    </r>
    <r>
      <rPr>
        <sz val="11"/>
        <color theme="1"/>
        <rFont val="ＭＳ Ｐゴシック"/>
        <family val="3"/>
        <charset val="134"/>
        <scheme val="minor"/>
      </rPr>
      <t>贞</t>
    </r>
    <r>
      <rPr>
        <sz val="11"/>
        <color theme="1"/>
        <rFont val="ＭＳ Ｐゴシック"/>
        <family val="3"/>
        <charset val="128"/>
        <scheme val="minor"/>
      </rPr>
      <t>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</si>
  <si>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</si>
  <si>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JIUHETIANXIA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</si>
  <si>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先河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</si>
  <si>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</si>
  <si>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百里杜</t>
    </r>
    <r>
      <rPr>
        <sz val="11"/>
        <color theme="1"/>
        <rFont val="ＭＳ Ｐゴシック"/>
        <family val="3"/>
        <charset val="134"/>
        <scheme val="minor"/>
      </rPr>
      <t>鹃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</si>
  <si>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甫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</si>
  <si>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蜂蜜酒; 开胃酒; 米酒;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</si>
  <si>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黄盖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</si>
  <si>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学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</si>
  <si>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威士忌;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甜酒;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果酒(含酒精)</t>
    </r>
  </si>
  <si>
    <t>禾季三源</t>
  </si>
  <si>
    <r>
      <t>无</t>
    </r>
    <r>
      <rPr>
        <sz val="11"/>
        <color theme="1"/>
        <rFont val="ＭＳ Ｐゴシック"/>
        <family val="3"/>
        <charset val="134"/>
        <scheme val="minor"/>
      </rPr>
      <t>为县顺</t>
    </r>
    <r>
      <rPr>
        <sz val="11"/>
        <color theme="1"/>
        <rFont val="ＭＳ Ｐゴシック"/>
        <family val="3"/>
        <charset val="128"/>
        <scheme val="minor"/>
      </rPr>
      <t>民米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加工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</si>
  <si>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米酒; 伏特加酒; 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</si>
  <si>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眉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</si>
  <si>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西臻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</si>
  <si>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葡萄酒; 白酒; 黄酒; 果酒（含酒精）;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</t>
    </r>
  </si>
  <si>
    <t>匠香来</t>
  </si>
  <si>
    <r>
      <t>闫</t>
    </r>
    <r>
      <rPr>
        <sz val="11"/>
        <color theme="1"/>
        <rFont val="ＭＳ Ｐゴシック"/>
        <family val="3"/>
        <charset val="128"/>
        <scheme val="minor"/>
      </rPr>
      <t>延</t>
    </r>
    <r>
      <rPr>
        <sz val="11"/>
        <color theme="1"/>
        <rFont val="ＭＳ Ｐゴシック"/>
        <family val="3"/>
        <charset val="134"/>
        <scheme val="minor"/>
      </rPr>
      <t>鸽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</si>
  <si>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清酒（日本米酒）; 黄酒; 葡萄酒</t>
    </r>
  </si>
  <si>
    <r>
      <t>温禾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庄</t>
    </r>
  </si>
  <si>
    <r>
      <t>阳泉市福泰酒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</si>
  <si>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露酒; 果酒（含酒精）; 葡萄酒;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水果汽酒;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</si>
  <si>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懂</t>
    </r>
    <r>
      <rPr>
        <sz val="11"/>
        <color theme="1"/>
        <rFont val="ＭＳ Ｐゴシック"/>
        <family val="3"/>
        <charset val="134"/>
        <scheme val="minor"/>
      </rPr>
      <t>爱</t>
    </r>
  </si>
  <si>
    <t>李四弟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</si>
  <si>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开胃酒;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白酒; 黄酒</t>
    </r>
  </si>
  <si>
    <r>
      <t>哥</t>
    </r>
    <r>
      <rPr>
        <sz val="11"/>
        <color theme="1"/>
        <rFont val="ＭＳ Ｐゴシック"/>
        <family val="3"/>
        <charset val="134"/>
        <scheme val="minor"/>
      </rPr>
      <t>俩</t>
    </r>
    <r>
      <rPr>
        <sz val="11"/>
        <color theme="1"/>
        <rFont val="ＭＳ Ｐゴシック"/>
        <family val="3"/>
        <charset val="128"/>
        <scheme val="minor"/>
      </rPr>
      <t>玖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</si>
  <si>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</si>
  <si>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鲲马</t>
  </si>
  <si>
    <r>
      <t xml:space="preserve">白酒; 米酒; 露酒; 清酒（日本米酒）;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</si>
  <si>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t>LANDIN ESTATE</t>
  </si>
  <si>
    <r>
      <t>唯水（上海）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</si>
  <si>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加烈葡萄酒; 汽酒; 白葡萄酒;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威士忌;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</si>
  <si>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恭候以</t>
  </si>
  <si>
    <t>熊才英******************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</si>
  <si>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薄荷酒; 开胃酒; 威士忌; 葡萄酒;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果酒（含酒精）; 白酒;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</si>
  <si>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绿钻风</t>
  </si>
  <si>
    <r>
      <t>黄酒;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</si>
  <si>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品窖遵</t>
  </si>
  <si>
    <t>黄生洪</t>
  </si>
  <si>
    <r>
      <t xml:space="preserve">葡萄酒; 青稞酒;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高粱酒; 黄酒; 白酒; 米酒</t>
    </r>
  </si>
  <si>
    <t>洋陂尚品</t>
  </si>
  <si>
    <r>
      <t>梅州市金穗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</si>
  <si>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葡萄酒; 果酒（含酒精）</t>
    </r>
  </si>
  <si>
    <t>袁家村上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</si>
  <si>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</si>
  <si>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</t>
    </r>
  </si>
  <si>
    <r>
      <t>河北匠牌酒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</si>
  <si>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汽酒;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</si>
  <si>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槽坊主</t>
  </si>
  <si>
    <r>
      <t>杨</t>
    </r>
    <r>
      <rPr>
        <sz val="11"/>
        <color theme="1"/>
        <rFont val="ＭＳ Ｐゴシック"/>
        <family val="3"/>
        <charset val="128"/>
        <scheme val="minor"/>
      </rPr>
      <t>子</t>
    </r>
    <r>
      <rPr>
        <sz val="11"/>
        <color theme="1"/>
        <rFont val="ＭＳ Ｐゴシック"/>
        <family val="3"/>
        <charset val="134"/>
        <scheme val="minor"/>
      </rPr>
      <t>锐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</si>
  <si>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伏特加酒; 白酒;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</si>
  <si>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平凡仁生</t>
  </si>
  <si>
    <r>
      <t>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</si>
  <si>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君道运徽商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</si>
  <si>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亳州市瀚瑞酒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</si>
  <si>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高粱酒;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</si>
  <si>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躺金樽</t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</si>
  <si>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伏特加酒; 威士忌; 白酒;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</si>
  <si>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超点</t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</si>
  <si>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融福宝澄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</si>
  <si>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伏特加酒; 果酒; 水果汽酒;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麦芽威士忌; 威士忌;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混合威士忌酒</t>
    </r>
  </si>
  <si>
    <t>BNOPNKA</t>
  </si>
  <si>
    <r>
      <t>宋</t>
    </r>
    <r>
      <rPr>
        <sz val="11"/>
        <color theme="1"/>
        <rFont val="ＭＳ Ｐゴシック"/>
        <family val="3"/>
        <charset val="134"/>
        <scheme val="minor"/>
      </rPr>
      <t>杨</t>
    </r>
  </si>
  <si>
    <r>
      <t xml:space="preserve">清酒; 高粱酒; 餐后酒（利口酒和烈酒）; 葡萄酒; 葡萄汽酒;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</t>
    </r>
  </si>
  <si>
    <t>盖多多 GASGOO</t>
  </si>
  <si>
    <r>
      <t>上海盖世网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</si>
  <si>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</t>
    </r>
  </si>
  <si>
    <r>
      <t>听</t>
    </r>
    <r>
      <rPr>
        <sz val="11"/>
        <color theme="1"/>
        <rFont val="ＭＳ Ｐゴシック"/>
        <family val="3"/>
        <charset val="134"/>
        <scheme val="minor"/>
      </rPr>
      <t>钟</t>
    </r>
  </si>
  <si>
    <r>
      <t>伏特加酒;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黄酒; 葡萄酒; 威士忌; 果酒（含酒精）</t>
    </r>
  </si>
  <si>
    <t>芝悦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</si>
  <si>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恒运工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</si>
  <si>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米酒; 黄酒; 清酒;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</t>
    </r>
  </si>
  <si>
    <t>凰倍健</t>
  </si>
  <si>
    <r>
      <t>邹</t>
    </r>
    <r>
      <rPr>
        <sz val="11"/>
        <color theme="1"/>
        <rFont val="ＭＳ Ｐゴシック"/>
        <family val="3"/>
        <charset val="128"/>
        <scheme val="minor"/>
      </rPr>
      <t>靖怡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</si>
  <si>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</t>
    </r>
  </si>
  <si>
    <t>逐霞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</si>
  <si>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蜂蜜酒; 伏特加酒;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果酒（含酒精）; 葡萄酒</t>
    </r>
  </si>
  <si>
    <r>
      <t>贤龙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</si>
  <si>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成明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</si>
  <si>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清酒（日本米酒）; 蜂蜜酒;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</si>
  <si>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曜影布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冰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</si>
  <si>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杰卡斯（深圳）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</si>
  <si>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伏特加酒;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</si>
  <si>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宛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</si>
  <si>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卢诗</t>
    </r>
    <r>
      <rPr>
        <sz val="11"/>
        <color theme="1"/>
        <rFont val="ＭＳ Ｐゴシック"/>
        <family val="3"/>
        <charset val="128"/>
        <scheme val="minor"/>
      </rPr>
      <t>清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</si>
  <si>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</si>
  <si>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坊圣四</t>
  </si>
  <si>
    <r>
      <t>上海英</t>
    </r>
    <r>
      <rPr>
        <sz val="11"/>
        <color theme="1"/>
        <rFont val="ＭＳ Ｐゴシック"/>
        <family val="3"/>
        <charset val="134"/>
        <scheme val="minor"/>
      </rPr>
      <t>艺实业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</si>
  <si>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果酒; 威士忌;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</si>
  <si>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梅口爽</t>
  </si>
  <si>
    <r>
      <t>赵</t>
    </r>
    <r>
      <rPr>
        <sz val="11"/>
        <color theme="1"/>
        <rFont val="ＭＳ Ｐゴシック"/>
        <family val="3"/>
        <charset val="128"/>
        <scheme val="minor"/>
      </rPr>
      <t>雯燕</t>
    </r>
  </si>
  <si>
    <r>
      <t>米酒; 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</t>
    </r>
  </si>
  <si>
    <t>YOU RONG SHI PIN</t>
  </si>
  <si>
    <r>
      <t>上海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荣食品有限公司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</si>
  <si>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</si>
  <si>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永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垣</t>
    </r>
  </si>
  <si>
    <r>
      <t>山西隰州永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土特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</si>
  <si>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</t>
    </r>
  </si>
  <si>
    <t>GEHONGXIANWENG</t>
  </si>
  <si>
    <t>仙翁葛洪(广州)健康科技有限公司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</si>
  <si>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白干酒（中国白酒）; 葡萄酒; 果酒; 米酒</t>
    </r>
  </si>
  <si>
    <t>杭州命运之旅科技有限公司</t>
  </si>
  <si>
    <r>
      <t>餐后酒（利口酒和烈酒）; 食用酒精; 伏特加酒;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开胃酒; 果酒（含酒精）</t>
    </r>
  </si>
  <si>
    <r>
      <t>溪李将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</si>
  <si>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邢台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芸溪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</si>
  <si>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烈酒; 白酒;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</t>
    </r>
  </si>
  <si>
    <t>天定谷</t>
  </si>
  <si>
    <t>吉志明</t>
  </si>
  <si>
    <r>
      <t>白酒; 米酒; 食用酒精;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</si>
  <si>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弟宝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</si>
  <si>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吉安市井开区志盛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</si>
  <si>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</si>
  <si>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DORLIY</t>
  </si>
  <si>
    <r>
      <t>邓钦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</si>
  <si>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奶油利口酒; 佐餐酒; 咖啡利口酒; 干型苹果酒; 露酒; 黑醋栗酒; 柑香酒;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冷</t>
    </r>
    <r>
      <rPr>
        <sz val="11"/>
        <color theme="1"/>
        <rFont val="ＭＳ Ｐゴシック"/>
        <family val="3"/>
        <charset val="134"/>
        <scheme val="minor"/>
      </rPr>
      <t>冻</t>
    </r>
    <r>
      <rPr>
        <sz val="11"/>
        <color theme="1"/>
        <rFont val="ＭＳ Ｐゴシック"/>
        <family val="3"/>
        <charset val="128"/>
        <scheme val="minor"/>
      </rPr>
      <t>凝胶状的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</si>
  <si>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CHEFSMART</t>
  </si>
  <si>
    <r>
      <t>上海澳珍国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</si>
  <si>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果酒（含酒精）; 白酒;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</si>
  <si>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金筋</t>
    </r>
    <r>
      <rPr>
        <sz val="11"/>
        <color theme="1"/>
        <rFont val="ＭＳ Ｐゴシック"/>
        <family val="3"/>
        <charset val="134"/>
        <scheme val="minor"/>
      </rPr>
      <t>铁</t>
    </r>
    <r>
      <rPr>
        <sz val="11"/>
        <color theme="1"/>
        <rFont val="ＭＳ Ｐゴシック"/>
        <family val="3"/>
        <charset val="128"/>
        <scheme val="minor"/>
      </rPr>
      <t>骨</t>
    </r>
  </si>
  <si>
    <t>李毅智</t>
  </si>
  <si>
    <r>
      <t>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</si>
  <si>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逸江右</t>
  </si>
  <si>
    <r>
      <t>周</t>
    </r>
    <r>
      <rPr>
        <sz val="11"/>
        <color theme="1"/>
        <rFont val="ＭＳ Ｐゴシック"/>
        <family val="3"/>
        <charset val="134"/>
        <scheme val="minor"/>
      </rPr>
      <t>钢</t>
    </r>
  </si>
  <si>
    <r>
      <t>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伏特加酒; 食用酒精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</si>
  <si>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江右</t>
    </r>
  </si>
  <si>
    <r>
      <t>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果酒（含酒精）; 米酒;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</si>
  <si>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山丘季</t>
  </si>
  <si>
    <r>
      <t xml:space="preserve">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伏特加酒;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果酒（含酒精）</t>
    </r>
  </si>
  <si>
    <t>天青瓷</t>
  </si>
  <si>
    <t>山西青花国酒厂股份有限公司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</si>
  <si>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开胃酒; 米酒;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</si>
  <si>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画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陡箐</t>
    </r>
  </si>
  <si>
    <r>
      <t>六</t>
    </r>
    <r>
      <rPr>
        <sz val="11"/>
        <color theme="1"/>
        <rFont val="ＭＳ Ｐゴシック"/>
        <family val="3"/>
        <charset val="134"/>
        <scheme val="minor"/>
      </rPr>
      <t>盘</t>
    </r>
    <r>
      <rPr>
        <sz val="11"/>
        <color theme="1"/>
        <rFont val="ＭＳ Ｐゴシック"/>
        <family val="3"/>
        <charset val="128"/>
        <scheme val="minor"/>
      </rPr>
      <t>水箐丰旅游开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</si>
  <si>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果酒（含酒精）; 米酒</t>
    </r>
  </si>
  <si>
    <t>宝酒人</t>
  </si>
  <si>
    <r>
      <t>曹</t>
    </r>
    <r>
      <rPr>
        <sz val="11"/>
        <color theme="1"/>
        <rFont val="ＭＳ Ｐゴシック"/>
        <family val="3"/>
        <charset val="134"/>
        <scheme val="minor"/>
      </rPr>
      <t>鲒</t>
    </r>
  </si>
  <si>
    <r>
      <t xml:space="preserve">白酒; 黄酒;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蜂蜜酒</t>
    </r>
  </si>
  <si>
    <t>宋韵儒商文坊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</si>
  <si>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仁德立行文化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</si>
  <si>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</si>
  <si>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灯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</si>
  <si>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</si>
  <si>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监</t>
    </r>
    <r>
      <rPr>
        <sz val="11"/>
        <color theme="1"/>
        <rFont val="ＭＳ Ｐゴシック"/>
        <family val="3"/>
        <charset val="128"/>
        <scheme val="minor"/>
      </rPr>
      <t>利市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恩酒厂（个体工商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</si>
  <si>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威士忌; 白酒</t>
    </r>
  </si>
  <si>
    <r>
      <t>和睦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</si>
  <si>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杭子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</si>
  <si>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清酒（日本米酒）; 白酒; 烈酒; 果酒（含酒精）; 葡萄酒</t>
    </r>
  </si>
  <si>
    <r>
      <t>立源</t>
    </r>
    <r>
      <rPr>
        <sz val="11"/>
        <color theme="1"/>
        <rFont val="ＭＳ Ｐゴシック"/>
        <family val="3"/>
        <charset val="134"/>
        <scheme val="minor"/>
      </rPr>
      <t>娱乐</t>
    </r>
  </si>
  <si>
    <r>
      <t>上海立源</t>
    </r>
    <r>
      <rPr>
        <sz val="11"/>
        <color theme="1"/>
        <rFont val="ＭＳ Ｐゴシック"/>
        <family val="3"/>
        <charset val="134"/>
        <scheme val="minor"/>
      </rPr>
      <t>娱乐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</si>
  <si>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苦味酒; 威士忌; 薄荷酒; 葡萄酒; 苹果酒</t>
    </r>
  </si>
  <si>
    <r>
      <t>五洲宏</t>
    </r>
    <r>
      <rPr>
        <sz val="11"/>
        <color theme="1"/>
        <rFont val="ＭＳ Ｐゴシック"/>
        <family val="3"/>
        <charset val="134"/>
        <scheme val="minor"/>
      </rPr>
      <t>图</t>
    </r>
  </si>
  <si>
    <t>牛良杰</t>
  </si>
  <si>
    <r>
      <t>白酒; 果酒（含酒精）;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</si>
  <si>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蓉</t>
    </r>
    <r>
      <rPr>
        <sz val="11"/>
        <color theme="1"/>
        <rFont val="ＭＳ Ｐゴシック"/>
        <family val="3"/>
        <charset val="134"/>
        <scheme val="minor"/>
      </rPr>
      <t>浓</t>
    </r>
    <r>
      <rPr>
        <sz val="11"/>
        <color theme="1"/>
        <rFont val="ＭＳ Ｐゴシック"/>
        <family val="3"/>
        <charset val="128"/>
        <scheme val="minor"/>
      </rPr>
      <t>源</t>
    </r>
  </si>
  <si>
    <r>
      <t>成都天川蓉茅酒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</si>
  <si>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</si>
  <si>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久朋友</t>
  </si>
  <si>
    <r>
      <t xml:space="preserve">葡萄酒; 黄酒; 白酒; 果酒（含酒精）; 伏特加酒;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</si>
  <si>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纨</t>
    </r>
    <r>
      <rPr>
        <sz val="11"/>
        <color theme="1"/>
        <rFont val="ＭＳ Ｐゴシック"/>
        <family val="3"/>
        <charset val="128"/>
        <scheme val="minor"/>
      </rPr>
      <t>扇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</si>
  <si>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</si>
  <si>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曳光（山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</si>
  <si>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</si>
  <si>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r>
      <t>酒涌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侯</t>
    </r>
  </si>
  <si>
    <r>
      <t>酒涌盛（山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</si>
  <si>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黄酒; 清酒（日本米酒）; 蒸煮提取物（利口酒和烈酒）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</si>
  <si>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氏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味</t>
    </r>
  </si>
  <si>
    <r>
      <t>杭州嘉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</si>
  <si>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蜂蜜酒; 青稞酒;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白酒; 米酒; 黄酒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</si>
  <si>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巧荷</t>
    </r>
  </si>
  <si>
    <r>
      <t>果酒（含酒精）; 蜂蜜酒; 黄酒;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</si>
  <si>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夏茂曾金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</si>
  <si>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曾金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</si>
  <si>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甜酒; 青梅酒; 烈酒; 米酒; 黄酒; 白酒; 葡萄酒</t>
    </r>
  </si>
  <si>
    <t>豪酒人</t>
  </si>
  <si>
    <t>李增磊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</si>
  <si>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威士忌; 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</si>
  <si>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t>淳兄弟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</si>
  <si>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威士忌;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</t>
    </r>
  </si>
  <si>
    <t>深理人</t>
  </si>
  <si>
    <r>
      <t>早安酒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(深圳)集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</si>
  <si>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果酒; 葡萄酒; 白干酒（中国白酒）; 黄酒; 威士忌; 白酒;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</si>
  <si>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邹</t>
    </r>
    <r>
      <rPr>
        <sz val="11"/>
        <color theme="1"/>
        <rFont val="ＭＳ Ｐゴシック"/>
        <family val="3"/>
        <charset val="128"/>
        <scheme val="minor"/>
      </rPr>
      <t>供氿</t>
    </r>
  </si>
  <si>
    <t>李建春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</si>
  <si>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蒸煮提取物（利口酒和烈酒）; 茴香酒; 米酒; 白酒</t>
    </r>
  </si>
  <si>
    <r>
      <t>绍兰</t>
    </r>
    <r>
      <rPr>
        <sz val="11"/>
        <color theme="1"/>
        <rFont val="ＭＳ Ｐゴシック"/>
        <family val="3"/>
        <charset val="128"/>
        <scheme val="minor"/>
      </rPr>
      <t>坊</t>
    </r>
  </si>
  <si>
    <t>金黄林</t>
  </si>
  <si>
    <r>
      <t>汽酒; 黄酒;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米酒; 清酒;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</si>
  <si>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宝典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</si>
  <si>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</si>
  <si>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白干酒（中国白酒）; 蜂蜜酒; 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</si>
  <si>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r>
      <t>8号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</si>
  <si>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拉</t>
    </r>
    <r>
      <rPr>
        <sz val="11"/>
        <color theme="1"/>
        <rFont val="ＭＳ Ｐゴシック"/>
        <family val="3"/>
        <charset val="134"/>
        <scheme val="minor"/>
      </rPr>
      <t>纳库纳</t>
    </r>
    <r>
      <rPr>
        <sz val="11"/>
        <color theme="1"/>
        <rFont val="ＭＳ Ｐゴシック"/>
        <family val="3"/>
        <charset val="128"/>
        <scheme val="minor"/>
      </rPr>
      <t>庄园有限公司</t>
    </r>
  </si>
  <si>
    <t>浴春台</t>
  </si>
  <si>
    <r>
      <t>烟台</t>
    </r>
    <r>
      <rPr>
        <sz val="11"/>
        <color theme="1"/>
        <rFont val="ＭＳ Ｐゴシック"/>
        <family val="3"/>
        <charset val="134"/>
        <scheme val="minor"/>
      </rPr>
      <t>蓝图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</si>
  <si>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米酒;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朗姆酒;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</si>
  <si>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荆</t>
    </r>
    <r>
      <rPr>
        <sz val="11"/>
        <color theme="1"/>
        <rFont val="ＭＳ Ｐゴシック"/>
        <family val="3"/>
        <charset val="128"/>
        <scheme val="minor"/>
      </rPr>
      <t>臻府</t>
    </r>
  </si>
  <si>
    <r>
      <t>抚</t>
    </r>
    <r>
      <rPr>
        <sz val="11"/>
        <color theme="1"/>
        <rFont val="ＭＳ Ｐゴシック"/>
        <family val="3"/>
        <charset val="128"/>
        <scheme val="minor"/>
      </rPr>
      <t>州半山园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</si>
  <si>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食用酒精</t>
    </r>
  </si>
  <si>
    <t>束府·囍宴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</si>
  <si>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之达石化</t>
    </r>
    <r>
      <rPr>
        <sz val="11"/>
        <color theme="1"/>
        <rFont val="ＭＳ Ｐゴシック"/>
        <family val="3"/>
        <charset val="134"/>
        <scheme val="minor"/>
      </rPr>
      <t>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</si>
  <si>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五加皮酒（中国混合烈酒）; 烈酒; 青稞酒</t>
    </r>
  </si>
  <si>
    <r>
      <t>闻莺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</si>
  <si>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佳欣</t>
    </r>
  </si>
  <si>
    <r>
      <t>果酒（含酒精）; 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食用酒精; 黄酒</t>
    </r>
  </si>
  <si>
    <r>
      <t>忘</t>
    </r>
    <r>
      <rPr>
        <sz val="11"/>
        <color theme="1"/>
        <rFont val="ＭＳ Ｐゴシック"/>
        <family val="3"/>
        <charset val="134"/>
        <scheme val="minor"/>
      </rPr>
      <t>忧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</si>
  <si>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彭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玲******************</t>
    </r>
  </si>
  <si>
    <r>
      <t xml:space="preserve">黄酒; 清酒; 威士忌; 米酒; 白酒;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</si>
  <si>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喀福特</t>
  </si>
  <si>
    <r>
      <t>保定大福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</si>
  <si>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葡萄酒; 清酒（日本米酒）;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食用酒精; 果酒（含酒精）</t>
    </r>
  </si>
  <si>
    <t>黄河星星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</si>
  <si>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</si>
  <si>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泸门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</si>
  <si>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明明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</si>
  <si>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果酒（含酒精）;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</si>
  <si>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惊天肚</t>
  </si>
  <si>
    <t>湖南捍味食品科技有限公司</t>
  </si>
  <si>
    <r>
      <t>伏特加酒; 食用酒精; 烈酒;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</si>
  <si>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李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</si>
  <si>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石家庄</t>
    </r>
    <r>
      <rPr>
        <sz val="11"/>
        <color theme="1"/>
        <rFont val="ＭＳ Ｐゴシック"/>
        <family val="3"/>
        <charset val="129"/>
        <scheme val="minor"/>
      </rPr>
      <t>优优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</si>
  <si>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黄酒; 白酒; 食用酒精; 利口酒;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</si>
  <si>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欧卡</t>
    </r>
    <r>
      <rPr>
        <sz val="11"/>
        <color theme="1"/>
        <rFont val="ＭＳ Ｐゴシック"/>
        <family val="3"/>
        <charset val="134"/>
        <scheme val="minor"/>
      </rPr>
      <t>乔</t>
    </r>
  </si>
  <si>
    <r>
      <t>欧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文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</si>
  <si>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清酒; 白酒;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</si>
  <si>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LOUIS CORORRA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</si>
  <si>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德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</si>
  <si>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葡萄酒; 利口酒; 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</si>
  <si>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和福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夏</t>
    </r>
  </si>
  <si>
    <t>梁汝威</t>
  </si>
  <si>
    <r>
      <t>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烈酒; 食用酒精;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</t>
    </r>
  </si>
  <si>
    <r>
      <t>坛巅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</si>
  <si>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林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璇</t>
    </r>
  </si>
  <si>
    <r>
      <t>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</si>
  <si>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中盼</t>
  </si>
  <si>
    <r>
      <t>侯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琳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</si>
  <si>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</si>
  <si>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盛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</si>
  <si>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酒源酒厂</t>
    </r>
  </si>
  <si>
    <r>
      <t>餐后酒（利口酒和烈酒）; 白酒;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</si>
  <si>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t>泉玉娘</t>
  </si>
  <si>
    <r>
      <t>曾培</t>
    </r>
    <r>
      <rPr>
        <sz val="11"/>
        <color theme="1"/>
        <rFont val="ＭＳ Ｐゴシック"/>
        <family val="3"/>
        <charset val="134"/>
        <scheme val="minor"/>
      </rPr>
      <t>实</t>
    </r>
  </si>
  <si>
    <r>
      <t>蜂蜜酒; 白酒; 青稞酒;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</si>
  <si>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r>
      <t>獭</t>
    </r>
    <r>
      <rPr>
        <sz val="11"/>
        <color theme="1"/>
        <rFont val="ＭＳ Ｐゴシック"/>
        <family val="3"/>
        <charset val="128"/>
        <scheme val="minor"/>
      </rPr>
      <t>取</t>
    </r>
  </si>
  <si>
    <t>廖解英</t>
  </si>
  <si>
    <t>威士忌; 白酒; 烈酒; 米酒; 梅酒; 高粱酒; 酸酒（低等葡萄酒）; 甜酒; 清酒; 果酒（含酒精）</t>
  </si>
  <si>
    <r>
      <t>知</t>
    </r>
    <r>
      <rPr>
        <sz val="11"/>
        <color theme="1"/>
        <rFont val="ＭＳ Ｐゴシック"/>
        <family val="3"/>
        <charset val="129"/>
        <scheme val="minor"/>
      </rPr>
      <t>姬</t>
    </r>
  </si>
  <si>
    <t>白酒; 酸酒（低等葡萄酒）; 威士忌; 烈酒; 梅酒; 清酒; 甜酒; 果酒（含酒精）; 高粱酒; 米酒</t>
  </si>
  <si>
    <t>固陶酒</t>
  </si>
  <si>
    <t>朱蒙成</t>
  </si>
  <si>
    <r>
      <t>米酒; 威士忌; 果酒; 白酒; 开胃酒; 葡萄酒; 高粱酒;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</si>
  <si>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USTCERS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</si>
  <si>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果酒; 高粱酒; 黄酒; 威士忌; 米酒</t>
    </r>
  </si>
  <si>
    <t>洞庄</t>
  </si>
  <si>
    <r>
      <t xml:space="preserve">黄酒;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</si>
  <si>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逐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醇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</si>
  <si>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义红</t>
    </r>
    <r>
      <rPr>
        <sz val="11"/>
        <color theme="1"/>
        <rFont val="ＭＳ Ｐゴシック"/>
        <family val="3"/>
        <charset val="128"/>
        <scheme val="minor"/>
      </rPr>
      <t>逐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</si>
  <si>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葡萄酒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</si>
  <si>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尚星</t>
    </r>
  </si>
  <si>
    <r>
      <t xml:space="preserve">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苹果酒; 黄酒; 米酒; 薄荷酒; 果酒; 葡萄酒; 白酒</t>
    </r>
  </si>
  <si>
    <t>黄河月亮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</si>
  <si>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葡萄酒; 食用酒精; 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</si>
  <si>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晋</t>
    </r>
    <r>
      <rPr>
        <sz val="11"/>
        <color theme="1"/>
        <rFont val="ＭＳ Ｐゴシック"/>
        <family val="3"/>
        <charset val="134"/>
        <scheme val="minor"/>
      </rPr>
      <t>勋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</si>
  <si>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</si>
  <si>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r>
      <t>揽</t>
    </r>
    <r>
      <rPr>
        <sz val="11"/>
        <color theme="1"/>
        <rFont val="ＭＳ Ｐゴシック"/>
        <family val="3"/>
        <charset val="128"/>
        <scheme val="minor"/>
      </rPr>
      <t>金·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刻</t>
    </r>
  </si>
  <si>
    <r>
      <t>揽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刻（南京）科技有限公司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</si>
  <si>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</si>
  <si>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花深</t>
    </r>
    <r>
      <rPr>
        <sz val="11"/>
        <color theme="1"/>
        <rFont val="ＭＳ Ｐゴシック"/>
        <family val="3"/>
        <charset val="134"/>
        <scheme val="minor"/>
      </rPr>
      <t>处</t>
    </r>
  </si>
  <si>
    <r>
      <t>中外名庄（北京）酒</t>
    </r>
    <r>
      <rPr>
        <sz val="11"/>
        <color theme="1"/>
        <rFont val="ＭＳ Ｐゴシック"/>
        <family val="3"/>
        <charset val="134"/>
        <scheme val="minor"/>
      </rPr>
      <t>业经纪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</si>
  <si>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汽酒;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</si>
  <si>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采多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</si>
  <si>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采多（上海）数字科技有限公司</t>
    </r>
  </si>
  <si>
    <r>
      <t xml:space="preserve">白酒; 伏特加酒; 朗姆酒;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苹果酒; 葡萄酒</t>
    </r>
  </si>
  <si>
    <t>黄河太阳</t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</si>
  <si>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</si>
  <si>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角港</t>
    </r>
  </si>
  <si>
    <r>
      <t>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葡萄酒; 白酒</t>
    </r>
  </si>
  <si>
    <t>仁酩工匠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</si>
  <si>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市野人酒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</si>
  <si>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米酒; 黄酒; 葡萄酒; 白酒; 果酒; 清酒（日本米酒）;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</si>
  <si>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三魅珍水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</si>
  <si>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州鼎</t>
    </r>
    <r>
      <rPr>
        <sz val="11"/>
        <color theme="1"/>
        <rFont val="ＭＳ Ｐゴシック"/>
        <family val="3"/>
        <charset val="134"/>
        <scheme val="minor"/>
      </rPr>
      <t>颖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</si>
  <si>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清酒（日本米酒）;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</si>
  <si>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杨记银</t>
  </si>
  <si>
    <t>刘莉</t>
  </si>
  <si>
    <r>
      <t xml:space="preserve">清酒（日本米酒）; 米酒; 高粱酒; 白葡萄酒; 白酒; 朗姆酒;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果酒（含酒精）</t>
    </r>
  </si>
  <si>
    <t>金菇园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</si>
  <si>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鑫生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</si>
  <si>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开胃酒; 黄酒</t>
    </r>
  </si>
  <si>
    <t>添一</t>
  </si>
  <si>
    <r>
      <t>大</t>
    </r>
    <r>
      <rPr>
        <sz val="11"/>
        <color theme="1"/>
        <rFont val="ＭＳ Ｐゴシック"/>
        <family val="3"/>
        <charset val="134"/>
        <scheme val="minor"/>
      </rPr>
      <t>连凯</t>
    </r>
    <r>
      <rPr>
        <sz val="11"/>
        <color theme="1"/>
        <rFont val="ＭＳ Ｐゴシック"/>
        <family val="3"/>
        <charset val="128"/>
        <scheme val="minor"/>
      </rPr>
      <t>达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</si>
  <si>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含酒精的气泡水; 葡萄酒; 清酒（日本米酒）; 开胃酒</t>
    </r>
  </si>
  <si>
    <t>ARASL</t>
  </si>
  <si>
    <r>
      <t>食</t>
    </r>
    <r>
      <rPr>
        <sz val="11"/>
        <color theme="1"/>
        <rFont val="ＭＳ Ｐゴシック"/>
        <family val="3"/>
        <charset val="134"/>
        <scheme val="minor"/>
      </rPr>
      <t>铁兽</t>
    </r>
    <r>
      <rPr>
        <sz val="11"/>
        <color theme="1"/>
        <rFont val="ＭＳ Ｐゴシック"/>
        <family val="3"/>
        <charset val="128"/>
        <scheme val="minor"/>
      </rPr>
      <t>（北京）品牌管理有限公司</t>
    </r>
  </si>
  <si>
    <r>
      <t>利口酒; 白酒;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</si>
  <si>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小甘</t>
    </r>
  </si>
  <si>
    <r>
      <t>伦</t>
    </r>
    <r>
      <rPr>
        <sz val="11"/>
        <color theme="1"/>
        <rFont val="ＭＳ Ｐゴシック"/>
        <family val="3"/>
        <charset val="128"/>
        <scheme val="minor"/>
      </rPr>
      <t>喊</t>
    </r>
  </si>
  <si>
    <r>
      <t xml:space="preserve">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果酒; 葡萄酒; 清酒（日本米酒）</t>
    </r>
  </si>
  <si>
    <r>
      <t>源洪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</si>
  <si>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徐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</si>
  <si>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梨酒; 朗姆酒;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威士忌</t>
    </r>
  </si>
  <si>
    <t>杏令天下</t>
  </si>
  <si>
    <t>相海峰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</si>
  <si>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烈酒; 白酒; 葡萄酒; 黄酒; 威士忌</t>
    </r>
  </si>
  <si>
    <t>搏千金</t>
  </si>
  <si>
    <r>
      <t>河南舒杉商</t>
    </r>
    <r>
      <rPr>
        <sz val="11"/>
        <color theme="1"/>
        <rFont val="ＭＳ Ｐゴシック"/>
        <family val="3"/>
        <charset val="134"/>
        <scheme val="minor"/>
      </rPr>
      <t>业项</t>
    </r>
    <r>
      <rPr>
        <sz val="11"/>
        <color theme="1"/>
        <rFont val="ＭＳ Ｐゴシック"/>
        <family val="3"/>
        <charset val="128"/>
        <scheme val="minor"/>
      </rPr>
      <t>目策划有限公司</t>
    </r>
  </si>
  <si>
    <r>
      <t>白酒; 青稞酒;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五加皮酒（中国混合烈酒）; 白干酒（中国白酒）;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</si>
  <si>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葆丹清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</si>
  <si>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信宏仁医</t>
    </r>
    <r>
      <rPr>
        <sz val="11"/>
        <color theme="1"/>
        <rFont val="ＭＳ Ｐゴシック"/>
        <family val="3"/>
        <charset val="134"/>
        <scheme val="minor"/>
      </rPr>
      <t>药连锁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</si>
  <si>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五加皮酒（中国混合烈酒）; 白酒; 蜂蜜酒;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黄酒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</si>
  <si>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凌同源甄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</si>
  <si>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青梅酒</t>
    </r>
  </si>
  <si>
    <r>
      <t>楠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凰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</si>
  <si>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楠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凰科技有限公司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</si>
  <si>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青稞酒;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</si>
  <si>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潭市酉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</si>
  <si>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州国香王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</si>
  <si>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清酒; 米酒</t>
    </r>
  </si>
  <si>
    <t>百老男神</t>
  </si>
  <si>
    <r>
      <t>泗阳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康盛酒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</si>
  <si>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茴芹酒（利口酒）;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苦味酒;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</si>
  <si>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泉樽吟</t>
  </si>
  <si>
    <t>黄秋梅</t>
  </si>
  <si>
    <r>
      <t>威士忌; 伏特加酒;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葡萄酒</t>
    </r>
  </si>
  <si>
    <t>孟召生</t>
  </si>
  <si>
    <t>禾本丰</t>
  </si>
  <si>
    <r>
      <t>金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市婺城区吉禾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易商行(个体工商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</si>
  <si>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白酒;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汽酒</t>
    </r>
  </si>
  <si>
    <t>蛮王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</si>
  <si>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州蛮王酒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</si>
  <si>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白酒; 高粱酒; 果酒; 白干酒（中国白酒）; 葡萄酒; 黄酒; 米酒</t>
    </r>
  </si>
  <si>
    <t>六感王</t>
  </si>
  <si>
    <r>
      <t>陈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</si>
  <si>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含酒精的气泡水; 威士忌; 白酒;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</si>
  <si>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宴杰</t>
  </si>
  <si>
    <t>关云杰******************</t>
  </si>
  <si>
    <r>
      <t>葡萄酒; 蜂蜜酒;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</si>
  <si>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秘</t>
    </r>
    <r>
      <rPr>
        <sz val="11"/>
        <color theme="1"/>
        <rFont val="ＭＳ Ｐゴシック"/>
        <family val="3"/>
        <charset val="134"/>
        <scheme val="minor"/>
      </rPr>
      <t>尝</t>
    </r>
  </si>
  <si>
    <t>曾阳洋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</si>
  <si>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甘蔗制烈酒; 米酒; 葡萄酒</t>
    </r>
  </si>
  <si>
    <r>
      <t>杏山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</si>
  <si>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涛数字科技有限公司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</si>
  <si>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食用酒精</t>
    </r>
  </si>
  <si>
    <t>宋花瓷</t>
  </si>
  <si>
    <r>
      <t>山西宋花瓷酒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</si>
  <si>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蜂蜜酒; 果酒（含酒精）; 葡萄酒; 黄酒; 利口酒; 米酒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</si>
  <si>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小度</t>
    </r>
  </si>
  <si>
    <r>
      <t>白酒; 果酒;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</si>
  <si>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米酒; 葡萄酒; 青稞酒; 蜂蜜酒; 利口酒</t>
    </r>
  </si>
  <si>
    <t>常沙娜的礼物</t>
  </si>
  <si>
    <r>
      <t>北京常沙娜敦煌</t>
    </r>
    <r>
      <rPr>
        <sz val="11"/>
        <color theme="1"/>
        <rFont val="ＭＳ Ｐゴシック"/>
        <family val="3"/>
        <charset val="134"/>
        <scheme val="minor"/>
      </rPr>
      <t>艺术设计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</si>
  <si>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清酒; 黄酒</t>
    </r>
  </si>
  <si>
    <r>
      <t>阿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莎</t>
    </r>
  </si>
  <si>
    <r>
      <t>葡萄酒;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白酒; 利口酒</t>
    </r>
  </si>
  <si>
    <t>王正豪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</si>
  <si>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州醉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</si>
  <si>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餐后酒（利口酒和烈酒）;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</si>
  <si>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沪上青花酒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</si>
  <si>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>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水果汽酒;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</si>
  <si>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草原其其格</t>
  </si>
  <si>
    <t>付文慧</t>
  </si>
  <si>
    <r>
      <t>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</si>
  <si>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皙泊</t>
    </r>
    <r>
      <rPr>
        <sz val="11"/>
        <color theme="1"/>
        <rFont val="ＭＳ Ｐゴシック"/>
        <family val="3"/>
        <charset val="134"/>
        <scheme val="minor"/>
      </rPr>
      <t>丽娅</t>
    </r>
  </si>
  <si>
    <r>
      <t>魏美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</si>
  <si>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</si>
  <si>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溪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杏</t>
    </r>
    <r>
      <rPr>
        <sz val="11"/>
        <color theme="1"/>
        <rFont val="ＭＳ Ｐゴシック"/>
        <family val="3"/>
        <charset val="134"/>
        <scheme val="minor"/>
      </rPr>
      <t>盏</t>
    </r>
  </si>
  <si>
    <r>
      <t>米酒;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食用酒精;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</si>
  <si>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园区博事达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</si>
  <si>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伏特加酒;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</t>
    </r>
  </si>
  <si>
    <t>桂湖礼物</t>
  </si>
  <si>
    <r>
      <t>成都香城桂湖酒文化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</si>
  <si>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高粱酒; 烈酒; 果酒;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蜂蜜酒; 葡萄酒; 清酒</t>
    </r>
  </si>
  <si>
    <r>
      <t>崩山</t>
    </r>
    <r>
      <rPr>
        <sz val="11"/>
        <color theme="1"/>
        <rFont val="ＭＳ Ｐゴシック"/>
        <family val="3"/>
        <charset val="134"/>
        <scheme val="minor"/>
      </rPr>
      <t>劲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</si>
  <si>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州知舍酒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</si>
  <si>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青稞酒; 葡萄酒</t>
    </r>
  </si>
  <si>
    <t>西域名人</t>
  </si>
  <si>
    <r>
      <t>鞠香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</si>
  <si>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 xml:space="preserve">葡萄酒; 伏特加酒; 白酒;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青稞酒</t>
    </r>
  </si>
  <si>
    <t>经纬壶记</t>
  </si>
  <si>
    <t>三沙艾文生物科技有限公司</t>
  </si>
  <si>
    <r>
      <t xml:space="preserve">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黄酒; 高粱酒; 食用酒精; 苦艾酒; 果酒; 葡萄酒</t>
    </r>
  </si>
  <si>
    <r>
      <t>米酒; 白酒; 青梅酒;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</si>
  <si>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LIGHTNING SPEED</t>
  </si>
  <si>
    <r>
      <t>海南自</t>
    </r>
    <r>
      <rPr>
        <sz val="11"/>
        <color theme="1"/>
        <rFont val="ＭＳ Ｐゴシック"/>
        <family val="3"/>
        <charset val="134"/>
        <scheme val="minor"/>
      </rPr>
      <t>娱</t>
    </r>
    <r>
      <rPr>
        <sz val="11"/>
        <color theme="1"/>
        <rFont val="ＭＳ Ｐゴシック"/>
        <family val="3"/>
        <charset val="128"/>
        <scheme val="minor"/>
      </rPr>
      <t>自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</si>
  <si>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麦芽威士忌; 起泡白葡萄酒;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</si>
  <si>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大耳耳</t>
    </r>
    <r>
      <rPr>
        <sz val="11"/>
        <color theme="1"/>
        <rFont val="ＭＳ Ｐゴシック"/>
        <family val="3"/>
        <charset val="134"/>
        <scheme val="minor"/>
      </rPr>
      <t>环</t>
    </r>
  </si>
  <si>
    <t>秦光杰</t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</si>
  <si>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</si>
  <si>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t>筑老不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</si>
  <si>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州不老筑酒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</si>
  <si>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黄酒;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</si>
  <si>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小微微好</t>
  </si>
  <si>
    <r>
      <t>云南益年食品有限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</si>
  <si>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青稞酒; 梅酒; 高粱酒; 蒸煮提取物（利口酒和烈酒）; 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果酒; 露酒</t>
    </r>
  </si>
  <si>
    <t>BEI LIANG DAO 北</t>
  </si>
  <si>
    <r>
      <t>梁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</si>
  <si>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</si>
  <si>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降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</si>
  <si>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庆现</t>
    </r>
    <r>
      <rPr>
        <sz val="11"/>
        <color theme="1"/>
        <rFont val="ＭＳ Ｐゴシック"/>
        <family val="3"/>
        <charset val="128"/>
        <scheme val="minor"/>
      </rPr>
      <t>在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</si>
  <si>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伏特加酒; 葡萄酒; 清酒;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</si>
  <si>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关用</t>
  </si>
  <si>
    <r>
      <t>吉林浩</t>
    </r>
    <r>
      <rPr>
        <sz val="11"/>
        <color theme="1"/>
        <rFont val="ＭＳ Ｐゴシック"/>
        <family val="3"/>
        <charset val="134"/>
        <scheme val="minor"/>
      </rPr>
      <t>兴药业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</si>
  <si>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柑香酒;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茴香酒（利口酒）; 薄荷酒; 茴芹酒（利口酒）; 开胃酒; 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利口酒</t>
    </r>
  </si>
  <si>
    <r>
      <t>振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</si>
  <si>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文</t>
    </r>
    <r>
      <rPr>
        <sz val="11"/>
        <color theme="1"/>
        <rFont val="ＭＳ Ｐゴシック"/>
        <family val="3"/>
        <charset val="134"/>
        <scheme val="minor"/>
      </rPr>
      <t>辉鹏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</si>
  <si>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朗姆酒;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伏特加酒;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</si>
  <si>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年美</t>
    </r>
  </si>
  <si>
    <t>朱元杰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</si>
  <si>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开胃酒; 烈酒;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</si>
  <si>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尚弗</t>
  </si>
  <si>
    <r>
      <t>上海尚佛食品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</si>
  <si>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</t>
    </r>
  </si>
  <si>
    <t>妙言至径</t>
  </si>
  <si>
    <r>
      <t>成都蜀</t>
    </r>
    <r>
      <rPr>
        <sz val="11"/>
        <color theme="1"/>
        <rFont val="ＭＳ Ｐゴシック"/>
        <family val="3"/>
        <charset val="134"/>
        <scheme val="minor"/>
      </rPr>
      <t>酝贸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</si>
  <si>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果酒; 威士忌; 米酒; 朗姆酒; 黄酒; 清酒;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白酒</t>
    </r>
  </si>
  <si>
    <r>
      <t>皇矜</t>
    </r>
    <r>
      <rPr>
        <sz val="11"/>
        <color theme="1"/>
        <rFont val="ＭＳ Ｐゴシック"/>
        <family val="3"/>
        <charset val="134"/>
        <scheme val="minor"/>
      </rPr>
      <t>粬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</si>
  <si>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东齐鲁</t>
    </r>
    <r>
      <rPr>
        <sz val="11"/>
        <color theme="1"/>
        <rFont val="ＭＳ Ｐゴシック"/>
        <family val="3"/>
        <charset val="128"/>
        <scheme val="minor"/>
      </rPr>
      <t>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</si>
  <si>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果酒; 葡萄酒; 清酒; 威士忌; 白酒; 米酒; 烈酒; 青稞酒; 黄酒</t>
    </r>
  </si>
  <si>
    <t>七五之醉</t>
  </si>
  <si>
    <t>刘志建</t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</si>
  <si>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</si>
  <si>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北粮洞</t>
  </si>
  <si>
    <r>
      <t>钟</t>
    </r>
    <r>
      <rPr>
        <sz val="11"/>
        <color theme="1"/>
        <rFont val="ＭＳ Ｐゴシック"/>
        <family val="3"/>
        <charset val="128"/>
        <scheme val="minor"/>
      </rPr>
      <t>婷婷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</si>
  <si>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</t>
    </r>
  </si>
  <si>
    <t>港上茗都</t>
  </si>
  <si>
    <r>
      <t>昊达</t>
    </r>
    <r>
      <rPr>
        <sz val="11"/>
        <color theme="1"/>
        <rFont val="ＭＳ Ｐゴシック"/>
        <family val="3"/>
        <charset val="134"/>
        <scheme val="minor"/>
      </rPr>
      <t>资产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</si>
  <si>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威士忌;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日本梅子酒;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</si>
  <si>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r>
      <t>达妮温柔</t>
    </r>
    <r>
      <rPr>
        <sz val="11"/>
        <color theme="1"/>
        <rFont val="ＭＳ Ｐゴシック"/>
        <family val="3"/>
        <charset val="134"/>
        <scheme val="minor"/>
      </rPr>
      <t>纯</t>
    </r>
  </si>
  <si>
    <r>
      <t>广西大明山天然食品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</si>
  <si>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蒸煮提取物（利口酒和烈酒）</t>
    </r>
  </si>
  <si>
    <t>龟鹤岁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</si>
  <si>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</t>
    </r>
  </si>
  <si>
    <r>
      <t>满红</t>
    </r>
    <r>
      <rPr>
        <sz val="11"/>
        <color theme="1"/>
        <rFont val="ＭＳ Ｐゴシック"/>
        <family val="3"/>
        <charset val="128"/>
        <scheme val="minor"/>
      </rPr>
      <t>亭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</si>
  <si>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</si>
  <si>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青稞酒;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</si>
  <si>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宋翌</t>
  </si>
  <si>
    <r>
      <t>宋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娟******************</t>
    </r>
  </si>
  <si>
    <r>
      <t>蒸煮提取物（利口酒和烈酒）; 黄酒; 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</si>
  <si>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西</t>
    </r>
    <r>
      <rPr>
        <sz val="11"/>
        <color theme="1"/>
        <rFont val="ＭＳ Ｐゴシック"/>
        <family val="3"/>
        <charset val="134"/>
        <scheme val="minor"/>
      </rPr>
      <t>郧</t>
    </r>
    <r>
      <rPr>
        <sz val="11"/>
        <color theme="1"/>
        <rFont val="ＭＳ Ｐゴシック"/>
        <family val="3"/>
        <charset val="128"/>
        <scheme val="minor"/>
      </rPr>
      <t>七夕美人</t>
    </r>
  </si>
  <si>
    <r>
      <t>郧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县莲</t>
    </r>
    <r>
      <rPr>
        <sz val="11"/>
        <color theme="1"/>
        <rFont val="ＭＳ Ｐゴシック"/>
        <family val="3"/>
        <charset val="128"/>
        <scheme val="minor"/>
      </rPr>
      <t>花甜</t>
    </r>
    <r>
      <rPr>
        <sz val="11"/>
        <color theme="1"/>
        <rFont val="ＭＳ Ｐゴシック"/>
        <family val="3"/>
        <charset val="134"/>
        <scheme val="minor"/>
      </rPr>
      <t>秆</t>
    </r>
    <r>
      <rPr>
        <sz val="11"/>
        <color theme="1"/>
        <rFont val="ＭＳ Ｐゴシック"/>
        <family val="3"/>
        <charset val="128"/>
        <scheme val="minor"/>
      </rPr>
      <t>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</si>
  <si>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果酒; 米酒;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青梅酒; 白酒</t>
    </r>
  </si>
  <si>
    <t>PAYTE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</si>
  <si>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富可立国</t>
    </r>
    <r>
      <rPr>
        <sz val="11"/>
        <color theme="1"/>
        <rFont val="ＭＳ Ｐゴシック"/>
        <family val="3"/>
        <charset val="134"/>
        <scheme val="minor"/>
      </rPr>
      <t>际进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</si>
  <si>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蜂蜜酒;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梨酒;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</t>
    </r>
  </si>
  <si>
    <r>
      <t>范梅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</si>
  <si>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>深圳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藏世界海网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</si>
  <si>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食用酒精; 米酒; 白酒; 利口酒;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蜂蜜酒; 果酒（含酒精）</t>
    </r>
  </si>
  <si>
    <t>拉曼尼康第 LAMANI KANTIE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</si>
  <si>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州池甑有度酒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</si>
  <si>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果酒（含酒精）; 威士忌; 朗姆酒; 白酒;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</si>
  <si>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富源达</t>
  </si>
  <si>
    <r>
      <t>广州福源达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</si>
  <si>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</si>
  <si>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鼎良春</t>
  </si>
  <si>
    <r>
      <t>比德斯（广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阀门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</si>
  <si>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蒸煮提取物（利口酒和烈酒）; 白酒</t>
    </r>
  </si>
  <si>
    <r>
      <t>尚友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</si>
  <si>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宁夏葡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葡萄酒有限公司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</si>
  <si>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苹果酒</t>
    </r>
  </si>
  <si>
    <t>九涯丹清</t>
  </si>
  <si>
    <t>林琳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</si>
  <si>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汽酒</t>
    </r>
  </si>
  <si>
    <t>DRAM MOR</t>
  </si>
  <si>
    <r>
      <t>德拉姆莫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</si>
  <si>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混合威士忌酒; 麦芽威士忌;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</si>
  <si>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扎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河</t>
    </r>
  </si>
  <si>
    <r>
      <t>高粱酒;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</t>
    </r>
  </si>
  <si>
    <t>疆社</t>
  </si>
  <si>
    <r>
      <t>李明</t>
    </r>
    <r>
      <rPr>
        <sz val="11"/>
        <color theme="1"/>
        <rFont val="ＭＳ Ｐゴシック"/>
        <family val="3"/>
        <charset val="134"/>
        <scheme val="minor"/>
      </rPr>
      <t>娇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</si>
  <si>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米酒; 伏特加酒; 白酒</t>
    </r>
  </si>
  <si>
    <t>君粮道</t>
  </si>
  <si>
    <r>
      <t>杨</t>
    </r>
    <r>
      <rPr>
        <sz val="11"/>
        <color theme="1"/>
        <rFont val="ＭＳ Ｐゴシック"/>
        <family val="3"/>
        <charset val="128"/>
        <scheme val="minor"/>
      </rPr>
      <t>永碧</t>
    </r>
  </si>
  <si>
    <r>
      <t>黄酒;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</si>
  <si>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楚洹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</si>
  <si>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辰苒科技有限公司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</si>
  <si>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白酒; 食用酒精; 果酒（含酒精）; 黄酒; 米酒</t>
    </r>
  </si>
  <si>
    <r>
      <t>中吉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</si>
  <si>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柏川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</si>
  <si>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青稞酒; 烈酒;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</si>
  <si>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外七酒香源</t>
  </si>
  <si>
    <r>
      <t>郑</t>
    </r>
    <r>
      <rPr>
        <sz val="11"/>
        <color theme="1"/>
        <rFont val="ＭＳ Ｐゴシック"/>
        <family val="3"/>
        <charset val="128"/>
        <scheme val="minor"/>
      </rPr>
      <t>旭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</si>
  <si>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葡萄酒;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</si>
  <si>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票</t>
    </r>
  </si>
  <si>
    <t>侯雷亮******************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</si>
  <si>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</si>
  <si>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祇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</si>
  <si>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玉姝</t>
    </r>
  </si>
  <si>
    <r>
      <t xml:space="preserve">黄酒; 清酒;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</si>
  <si>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庆乡</t>
    </r>
    <r>
      <rPr>
        <sz val="11"/>
        <color theme="1"/>
        <rFont val="ＭＳ Ｐゴシック"/>
        <family val="3"/>
        <charset val="128"/>
        <scheme val="minor"/>
      </rPr>
      <t>米郎食品有限公司</t>
    </r>
  </si>
  <si>
    <r>
      <t>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果酒（含酒精）; 苹果酒; 白酒; 米酒; 黄酒; 餐后酒（利口酒和烈酒）</t>
    </r>
  </si>
  <si>
    <r>
      <t>豹</t>
    </r>
    <r>
      <rPr>
        <sz val="11"/>
        <color theme="1"/>
        <rFont val="ＭＳ Ｐゴシック"/>
        <family val="3"/>
        <charset val="134"/>
        <scheme val="minor"/>
      </rPr>
      <t>跃</t>
    </r>
    <r>
      <rPr>
        <sz val="11"/>
        <color theme="1"/>
        <rFont val="ＭＳ Ｐゴシック"/>
        <family val="3"/>
        <charset val="128"/>
        <scheme val="minor"/>
      </rPr>
      <t>南岭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</si>
  <si>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</t>
    </r>
  </si>
  <si>
    <t>君竺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</si>
  <si>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</si>
  <si>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雪峰宝石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</si>
  <si>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莆田市雪峰宝石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</si>
  <si>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葡萄酒;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</si>
  <si>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小河田园</t>
    </r>
    <r>
      <rPr>
        <sz val="11"/>
        <color theme="1"/>
        <rFont val="ＭＳ Ｐゴシック"/>
        <family val="3"/>
        <charset val="134"/>
        <scheme val="minor"/>
      </rPr>
      <t>涧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</si>
  <si>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部新区董家</t>
    </r>
    <r>
      <rPr>
        <sz val="11"/>
        <color theme="1"/>
        <rFont val="ＭＳ Ｐゴシック"/>
        <family val="3"/>
        <charset val="129"/>
        <scheme val="minor"/>
      </rPr>
      <t>埂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小河村股份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合作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合社</t>
    </r>
  </si>
  <si>
    <r>
      <t>白酒; 清酒;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烈酒; 果酒（含酒精）; 蜂蜜酒; 草莓酒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</si>
  <si>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开胃酒;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</si>
  <si>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GUTELITE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</si>
  <si>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瑞生物科技有限公司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</si>
  <si>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酸酒（低等葡萄酒）</t>
    </r>
  </si>
  <si>
    <t>口粮祖</t>
  </si>
  <si>
    <r>
      <t>张</t>
    </r>
    <r>
      <rPr>
        <sz val="11"/>
        <color theme="1"/>
        <rFont val="ＭＳ Ｐゴシック"/>
        <family val="3"/>
        <charset val="128"/>
        <scheme val="minor"/>
      </rPr>
      <t>璐</t>
    </r>
    <r>
      <rPr>
        <sz val="11"/>
        <color theme="1"/>
        <rFont val="ＭＳ Ｐゴシック"/>
        <family val="3"/>
        <charset val="134"/>
        <scheme val="minor"/>
      </rPr>
      <t>颖</t>
    </r>
  </si>
  <si>
    <r>
      <t>高粱酒;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白酒;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</si>
  <si>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刀郎志</t>
  </si>
  <si>
    <r>
      <t>新疆刀郎餐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文化股份有限公司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</si>
  <si>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</si>
  <si>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太堡古酒</t>
  </si>
  <si>
    <r>
      <t>李</t>
    </r>
    <r>
      <rPr>
        <sz val="11"/>
        <color theme="1"/>
        <rFont val="ＭＳ Ｐゴシック"/>
        <family val="3"/>
        <charset val="134"/>
        <scheme val="minor"/>
      </rPr>
      <t>娅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</si>
  <si>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苦味酒;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葡萄酒</t>
    </r>
  </si>
  <si>
    <t>楚柯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</si>
  <si>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白酒</t>
    </r>
  </si>
  <si>
    <r>
      <t>旺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北</t>
    </r>
  </si>
  <si>
    <r>
      <t>徐</t>
    </r>
    <r>
      <rPr>
        <sz val="11"/>
        <color theme="1"/>
        <rFont val="ＭＳ Ｐゴシック"/>
        <family val="3"/>
        <charset val="134"/>
        <scheme val="minor"/>
      </rPr>
      <t>显维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</si>
  <si>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开胃酒;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</si>
  <si>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恰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廷</t>
    </r>
  </si>
  <si>
    <r>
      <t>林良</t>
    </r>
    <r>
      <rPr>
        <sz val="11"/>
        <color theme="1"/>
        <rFont val="ＭＳ Ｐゴシック"/>
        <family val="3"/>
        <charset val="134"/>
        <scheme val="minor"/>
      </rPr>
      <t>赞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</si>
  <si>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黄酒; 青稞酒;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清酒（日本米酒）</t>
    </r>
  </si>
  <si>
    <t>黔之炉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</si>
  <si>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瞳康心世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光学科技有限公司</t>
    </r>
  </si>
  <si>
    <r>
      <t>含酒精的气泡水;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伏特加酒; 朗姆酒; 威士忌; 葡萄酒</t>
    </r>
  </si>
  <si>
    <t>珀蜜</t>
  </si>
  <si>
    <t>朱俊玲******************</t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</si>
  <si>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梨酒;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</si>
  <si>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基格巴菲</t>
  </si>
  <si>
    <t>朱蕾</t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</si>
  <si>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威士忌; 伏特加酒; 蒸煮提取物（利口酒和烈酒）;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</si>
  <si>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天地虎腰</t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</si>
  <si>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葡萄酒;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</t>
    </r>
  </si>
  <si>
    <r>
      <t>狮</t>
    </r>
    <r>
      <rPr>
        <sz val="11"/>
        <color theme="1"/>
        <rFont val="ＭＳ Ｐゴシック"/>
        <family val="3"/>
        <charset val="128"/>
        <scheme val="minor"/>
      </rPr>
      <t>吼中原</t>
    </r>
  </si>
  <si>
    <r>
      <t>米酒;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</si>
  <si>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钦</t>
    </r>
    <r>
      <rPr>
        <sz val="11"/>
        <color theme="1"/>
        <rFont val="ＭＳ Ｐゴシック"/>
        <family val="3"/>
        <charset val="128"/>
        <scheme val="minor"/>
      </rPr>
      <t>山玫</t>
    </r>
  </si>
  <si>
    <t>叶娜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</si>
  <si>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甜酒; 烈酒;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</t>
    </r>
  </si>
  <si>
    <t>红凤鸣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</si>
  <si>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西西岐</t>
    </r>
    <r>
      <rPr>
        <sz val="11"/>
        <color theme="1"/>
        <rFont val="ＭＳ Ｐゴシック"/>
        <family val="3"/>
        <charset val="134"/>
        <scheme val="minor"/>
      </rPr>
      <t>凤鸣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</si>
  <si>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果酒; 甜酒; 高粱酒;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</si>
  <si>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神草崖</t>
  </si>
  <si>
    <r>
      <t>明</t>
    </r>
    <r>
      <rPr>
        <sz val="11"/>
        <color theme="1"/>
        <rFont val="ＭＳ Ｐゴシック"/>
        <family val="3"/>
        <charset val="129"/>
        <scheme val="minor"/>
      </rPr>
      <t>洁洁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</si>
  <si>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威士忌; 清酒（日本米酒）; 茴香酒（利口酒）; 朗姆酒; 白酒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</si>
  <si>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秋月</t>
    </r>
    <r>
      <rPr>
        <sz val="11"/>
        <color theme="1"/>
        <rFont val="ＭＳ Ｐゴシック"/>
        <family val="3"/>
        <charset val="134"/>
        <scheme val="minor"/>
      </rPr>
      <t>澜</t>
    </r>
  </si>
  <si>
    <t>高阳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</si>
  <si>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朗姆酒; 白酒; 食用酒精;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青稞酒</t>
    </r>
  </si>
  <si>
    <r>
      <t>民希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谷</t>
    </r>
  </si>
  <si>
    <t>湖南民希科技有限公司</t>
  </si>
  <si>
    <r>
      <t>果酒（含酒精）;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甜酒; 利口酒; 葡萄酒</t>
    </r>
  </si>
  <si>
    <t>圣赤匠</t>
  </si>
  <si>
    <r>
      <t>四川曦若商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</si>
  <si>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高粱酒; 白干酒（中国白酒）; 米酒;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</si>
  <si>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雪</t>
    </r>
  </si>
  <si>
    <t>余浪</t>
  </si>
  <si>
    <r>
      <t>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餐后酒（利口酒和烈酒）; 果酒（含酒精）</t>
    </r>
  </si>
  <si>
    <t>苗然堂</t>
  </si>
  <si>
    <t>王宝珍</t>
  </si>
  <si>
    <r>
      <t xml:space="preserve">黄酒; 白酒; 果酒; 米酒; 白干酒（中国白酒）; 含酒精的气泡水;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</si>
  <si>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r>
      <t>春阳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</si>
  <si>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春阳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酒庄有限公司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</si>
  <si>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</si>
  <si>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t>余百味</t>
  </si>
  <si>
    <r>
      <t>宁德市余根</t>
    </r>
    <r>
      <rPr>
        <sz val="11"/>
        <color theme="1"/>
        <rFont val="ＭＳ Ｐゴシック"/>
        <family val="3"/>
        <charset val="134"/>
        <scheme val="minor"/>
      </rPr>
      <t>锋贸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</si>
  <si>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薄荷酒; 白酒; 黄酒; 清酒（日本米酒）;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朗姆酒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</si>
  <si>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窖魂</t>
    </r>
  </si>
  <si>
    <t>王芳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</si>
  <si>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</si>
  <si>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</si>
  <si>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葡萄酒; 利口酒; 黄酒; 白酒;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蜂蜜酒; 开胃酒; 果酒（含酒精）</t>
    </r>
  </si>
  <si>
    <t>AB</t>
  </si>
  <si>
    <r>
      <t>广州小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句科技有限公司</t>
    </r>
  </si>
  <si>
    <r>
      <t>葡萄酒;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</si>
  <si>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高宗</t>
    </r>
  </si>
  <si>
    <t>金允磊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</si>
  <si>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烈酒;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利口酒</t>
    </r>
  </si>
  <si>
    <t>阿勒法柔</t>
  </si>
  <si>
    <r>
      <t>乌鲁</t>
    </r>
    <r>
      <rPr>
        <sz val="11"/>
        <color theme="1"/>
        <rFont val="ＭＳ Ｐゴシック"/>
        <family val="3"/>
        <charset val="128"/>
        <scheme val="minor"/>
      </rPr>
      <t>木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市鑫</t>
    </r>
    <r>
      <rPr>
        <sz val="11"/>
        <color theme="1"/>
        <rFont val="ＭＳ Ｐゴシック"/>
        <family val="3"/>
        <charset val="134"/>
        <scheme val="minor"/>
      </rPr>
      <t>澜鸿</t>
    </r>
    <r>
      <rPr>
        <sz val="11"/>
        <color theme="1"/>
        <rFont val="ＭＳ Ｐゴシック"/>
        <family val="3"/>
        <charset val="128"/>
        <scheme val="minor"/>
      </rPr>
      <t>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</si>
  <si>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杜松子酒; 果酒; 白酒; 朗姆酒;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</si>
  <si>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台品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</si>
  <si>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谢韦</t>
    </r>
    <r>
      <rPr>
        <sz val="11"/>
        <color theme="1"/>
        <rFont val="ＭＳ Ｐゴシック"/>
        <family val="3"/>
        <charset val="128"/>
        <scheme val="minor"/>
      </rPr>
      <t>熙</t>
    </r>
  </si>
  <si>
    <r>
      <t>白酒; 米酒;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餐后酒（利口酒和烈酒）; 果酒（含酒精）;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</si>
  <si>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项</t>
    </r>
    <r>
      <rPr>
        <sz val="11"/>
        <color theme="1"/>
        <rFont val="ＭＳ Ｐゴシック"/>
        <family val="3"/>
        <charset val="128"/>
        <scheme val="minor"/>
      </rPr>
      <t>妃醉</t>
    </r>
  </si>
  <si>
    <r>
      <t>宿迁金泓福酒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</si>
  <si>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白干酒（中国白酒）; 白酒</t>
    </r>
  </si>
  <si>
    <t>FJ JI TUAN</t>
  </si>
  <si>
    <r>
      <t>汾阳市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粮白酒批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零售有限公司</t>
    </r>
  </si>
  <si>
    <r>
      <t xml:space="preserve">食用酒精;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青稞酒; 草莓酒; 高粱酒</t>
    </r>
  </si>
  <si>
    <t>MAGIC SHINE</t>
  </si>
  <si>
    <r>
      <t>刘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和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</si>
  <si>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</t>
    </r>
  </si>
  <si>
    <r>
      <t>玛</t>
    </r>
    <r>
      <rPr>
        <sz val="11"/>
        <color theme="1"/>
        <rFont val="ＭＳ Ｐゴシック"/>
        <family val="3"/>
        <charset val="128"/>
        <scheme val="minor"/>
      </rPr>
      <t>莎</t>
    </r>
    <r>
      <rPr>
        <sz val="11"/>
        <color theme="1"/>
        <rFont val="ＭＳ Ｐゴシック"/>
        <family val="3"/>
        <charset val="134"/>
        <scheme val="minor"/>
      </rPr>
      <t>诺娅</t>
    </r>
    <r>
      <rPr>
        <sz val="11"/>
        <color theme="1"/>
        <rFont val="ＭＳ Ｐゴシック"/>
        <family val="3"/>
        <charset val="128"/>
        <scheme val="minor"/>
      </rPr>
      <t>坡地</t>
    </r>
  </si>
  <si>
    <t>刘元成</t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</si>
  <si>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汽酒;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</si>
  <si>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澳斯丁</t>
  </si>
  <si>
    <r>
      <t>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清酒（日本米酒）; 利口酒; 威士忌; 果酒（含酒精）; 苹果酒</t>
    </r>
  </si>
  <si>
    <t>匠八荒</t>
  </si>
  <si>
    <t>曹津雨</t>
  </si>
  <si>
    <r>
      <t xml:space="preserve">烈酒;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白酒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</si>
  <si>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享堂</t>
    </r>
  </si>
  <si>
    <r>
      <t>安徽扶元堂商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</si>
  <si>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</si>
  <si>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保利荣耀</t>
  </si>
  <si>
    <r>
      <t>小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壳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媒股份有限公司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</si>
  <si>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</si>
  <si>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屿</t>
    </r>
    <r>
      <rPr>
        <sz val="11"/>
        <color theme="1"/>
        <rFont val="ＭＳ Ｐゴシック"/>
        <family val="3"/>
        <charset val="128"/>
        <scheme val="minor"/>
      </rPr>
      <t>藏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</si>
  <si>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祖酒厂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</si>
  <si>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高粱酒;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蒸煮提取物（利口酒和烈酒）; 混合威士忌酒;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</t>
    </r>
  </si>
  <si>
    <t>明心谷 静心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</si>
  <si>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明心谷生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</si>
  <si>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米酒;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白酒; 食用酒精; 葡萄酒; 五加皮酒（中国混合烈酒）</t>
    </r>
  </si>
  <si>
    <t>淙帝</t>
  </si>
  <si>
    <r>
      <t>杨汉</t>
    </r>
    <r>
      <rPr>
        <sz val="11"/>
        <color theme="1"/>
        <rFont val="ＭＳ Ｐゴシック"/>
        <family val="3"/>
        <charset val="128"/>
        <scheme val="minor"/>
      </rPr>
      <t>茂</t>
    </r>
  </si>
  <si>
    <r>
      <t>葡萄酒; 清酒（日本米酒）; 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</si>
  <si>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r>
      <t>宁蒗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格姆酒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</si>
  <si>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朗姆酒; 青稞酒; 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</si>
  <si>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艺术</t>
    </r>
    <r>
      <rPr>
        <sz val="11"/>
        <color theme="1"/>
        <rFont val="ＭＳ Ｐゴシック"/>
        <family val="3"/>
        <charset val="128"/>
        <scheme val="minor"/>
      </rPr>
      <t>之炉</t>
    </r>
  </si>
  <si>
    <r>
      <t>襄阳帆松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保科技有限公司</t>
    </r>
  </si>
  <si>
    <r>
      <t>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</si>
  <si>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里</t>
    </r>
    <r>
      <rPr>
        <sz val="11"/>
        <color theme="1"/>
        <rFont val="ＭＳ Ｐゴシック"/>
        <family val="3"/>
        <charset val="134"/>
        <scheme val="minor"/>
      </rPr>
      <t>过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</si>
  <si>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节</t>
    </r>
    <r>
      <rPr>
        <sz val="11"/>
        <color theme="1"/>
        <rFont val="ＭＳ Ｐゴシック"/>
        <family val="3"/>
        <charset val="128"/>
        <scheme val="minor"/>
      </rPr>
      <t>尚礼文化科技有限公司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</si>
  <si>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烈酒; 白干酒（中国白酒）; 蜂蜜酒;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米酒; 白酒</t>
    </r>
  </si>
  <si>
    <t>拾位</t>
  </si>
  <si>
    <r>
      <t>深圳市和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</si>
  <si>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葡萄潘趣酒;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</si>
  <si>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啸</t>
    </r>
  </si>
  <si>
    <r>
      <t>威士忌; 果酒; 烈酒;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</si>
  <si>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深圳市南山区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展促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</si>
  <si>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苹果酒; 白酒; 米酒;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</t>
    </r>
  </si>
  <si>
    <r>
      <t>好旺</t>
    </r>
    <r>
      <rPr>
        <sz val="11"/>
        <color theme="1"/>
        <rFont val="ＭＳ Ｐゴシック"/>
        <family val="3"/>
        <charset val="134"/>
        <scheme val="minor"/>
      </rPr>
      <t>屿</t>
    </r>
  </si>
  <si>
    <t>吴子清</t>
  </si>
  <si>
    <r>
      <t>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</si>
  <si>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匠古</t>
    </r>
    <r>
      <rPr>
        <sz val="11"/>
        <color theme="1"/>
        <rFont val="ＭＳ Ｐゴシック"/>
        <family val="3"/>
        <charset val="134"/>
        <scheme val="minor"/>
      </rPr>
      <t>论</t>
    </r>
    <r>
      <rPr>
        <sz val="11"/>
        <color theme="1"/>
        <rFont val="ＭＳ Ｐゴシック"/>
        <family val="3"/>
        <charset val="128"/>
        <scheme val="minor"/>
      </rPr>
      <t>金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</si>
  <si>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烈酒; 威士忌; 利口酒; 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</si>
  <si>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F8</t>
  </si>
  <si>
    <r>
      <t>侯</t>
    </r>
    <r>
      <rPr>
        <sz val="11"/>
        <color theme="1"/>
        <rFont val="ＭＳ Ｐゴシック"/>
        <family val="3"/>
        <charset val="134"/>
        <scheme val="minor"/>
      </rPr>
      <t>跃</t>
    </r>
    <r>
      <rPr>
        <sz val="11"/>
        <color theme="1"/>
        <rFont val="ＭＳ Ｐゴシック"/>
        <family val="3"/>
        <charset val="128"/>
        <scheme val="minor"/>
      </rPr>
      <t>才</t>
    </r>
  </si>
  <si>
    <r>
      <t xml:space="preserve">露酒; 黄酒; 清酒; 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</t>
    </r>
  </si>
  <si>
    <r>
      <t>竹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力</t>
    </r>
  </si>
  <si>
    <r>
      <t>四川竹之韵生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活竹酒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</si>
  <si>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米酒;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白酒</t>
    </r>
  </si>
  <si>
    <t>六公池</t>
  </si>
  <si>
    <r>
      <t>马</t>
    </r>
    <r>
      <rPr>
        <sz val="11"/>
        <color theme="1"/>
        <rFont val="ＭＳ Ｐゴシック"/>
        <family val="3"/>
        <charset val="128"/>
        <scheme val="minor"/>
      </rPr>
      <t>鞍山市平王水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养殖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</si>
  <si>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米酒; 开胃酒; 葡萄酒; 食用酒精; 果酒（含酒精）; 白酒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</si>
  <si>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白干酒（中国白酒）; 米酒;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清酒（日本米酒）</t>
    </r>
  </si>
  <si>
    <t>古川淡雅</t>
  </si>
  <si>
    <r>
      <t>四川省古川酒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</si>
  <si>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气泡酒; 果酒; 米酒</t>
    </r>
  </si>
  <si>
    <r>
      <t>椒口</t>
    </r>
    <r>
      <rPr>
        <sz val="11"/>
        <color theme="1"/>
        <rFont val="ＭＳ Ｐゴシック"/>
        <family val="3"/>
        <charset val="134"/>
        <scheme val="minor"/>
      </rPr>
      <t>赞</t>
    </r>
  </si>
  <si>
    <t>刘敏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</si>
  <si>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米酒; 朗姆酒;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</si>
  <si>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湖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有礼</t>
    </r>
  </si>
  <si>
    <r>
      <t>博</t>
    </r>
    <r>
      <rPr>
        <sz val="11"/>
        <color theme="1"/>
        <rFont val="ＭＳ Ｐゴシック"/>
        <family val="3"/>
        <charset val="134"/>
        <scheme val="minor"/>
      </rPr>
      <t>罗县</t>
    </r>
    <r>
      <rPr>
        <sz val="11"/>
        <color theme="1"/>
        <rFont val="ＭＳ Ｐゴシック"/>
        <family val="3"/>
        <charset val="128"/>
        <scheme val="minor"/>
      </rPr>
      <t>湖</t>
    </r>
    <r>
      <rPr>
        <sz val="11"/>
        <color theme="1"/>
        <rFont val="ＭＳ Ｐゴシック"/>
        <family val="3"/>
        <charset val="134"/>
        <scheme val="minor"/>
      </rPr>
      <t>镇实业发</t>
    </r>
    <r>
      <rPr>
        <sz val="11"/>
        <color theme="1"/>
        <rFont val="ＭＳ Ｐゴシック"/>
        <family val="3"/>
        <charset val="128"/>
        <scheme val="minor"/>
      </rPr>
      <t>展公司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</si>
  <si>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蜂蜜酒; 米酒; 白酒;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</si>
  <si>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巅</t>
    </r>
    <r>
      <rPr>
        <sz val="11"/>
        <color theme="1"/>
        <rFont val="ＭＳ Ｐゴシック"/>
        <family val="3"/>
        <charset val="128"/>
        <scheme val="minor"/>
      </rPr>
      <t>峰味道</t>
    </r>
  </si>
  <si>
    <t>蔡芹</t>
  </si>
  <si>
    <t>葡萄酒; 甜酒; 草本型利口酒; 清酒; 汽酒; 白酒; 威士忌; 米酒; 果酒; 黄酒</t>
  </si>
  <si>
    <r>
      <t>璞</t>
    </r>
    <r>
      <rPr>
        <sz val="11"/>
        <color theme="1"/>
        <rFont val="ＭＳ Ｐゴシック"/>
        <family val="3"/>
        <charset val="134"/>
        <scheme val="minor"/>
      </rPr>
      <t>鲜</t>
    </r>
  </si>
  <si>
    <t>徐翠翠</t>
  </si>
  <si>
    <r>
      <t>白酒;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</si>
  <si>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玖制熊</t>
  </si>
  <si>
    <r>
      <t>林口森宝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</si>
  <si>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>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</si>
  <si>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嵯峨千仞</t>
  </si>
  <si>
    <t>赵轩</t>
  </si>
  <si>
    <r>
      <t>黄酒;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葡萄酒; 果酒（含酒精）; 米酒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</si>
  <si>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老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</si>
  <si>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 xml:space="preserve">果酒（含酒精）;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蒸煮提取物（利口酒和烈酒）; 葡萄酒</t>
    </r>
  </si>
  <si>
    <t>拙耕酒庄</t>
  </si>
  <si>
    <r>
      <t>亳州市胡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</si>
  <si>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食用酒精; 黄酒; 汽酒;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</si>
  <si>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承祖</t>
    </r>
  </si>
  <si>
    <r>
      <t>利口酒; 果酒; 威士忌; 高粱酒;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</si>
  <si>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合香山</t>
  </si>
  <si>
    <r>
      <t>中山市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利物</t>
    </r>
    <r>
      <rPr>
        <sz val="11"/>
        <color theme="1"/>
        <rFont val="ＭＳ Ｐゴシック"/>
        <family val="3"/>
        <charset val="134"/>
        <scheme val="minor"/>
      </rPr>
      <t>资贸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</si>
  <si>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茴香酒（利口酒）;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</si>
  <si>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鳄岛</t>
    </r>
  </si>
  <si>
    <r>
      <t>白酒; 清酒（日本米酒）; 果酒（含酒精）;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伏特加酒; 威士忌;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</si>
  <si>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丁力士</t>
  </si>
  <si>
    <t>字母数字控股(深圳)有限公司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</si>
  <si>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果酒（含酒精）;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</si>
  <si>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百居香</t>
  </si>
  <si>
    <r>
      <t>湖北光韵照明</t>
    </r>
    <r>
      <rPr>
        <sz val="11"/>
        <color theme="1"/>
        <rFont val="ＭＳ Ｐゴシック"/>
        <family val="3"/>
        <charset val="134"/>
        <scheme val="minor"/>
      </rPr>
      <t>设备销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</si>
  <si>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利口酒</t>
    </r>
  </si>
  <si>
    <r>
      <t>记</t>
    </r>
    <r>
      <rPr>
        <sz val="11"/>
        <color theme="1"/>
        <rFont val="ＭＳ Ｐゴシック"/>
        <family val="3"/>
        <charset val="128"/>
        <scheme val="minor"/>
      </rPr>
      <t>良尚</t>
    </r>
  </si>
  <si>
    <r>
      <t>隐</t>
    </r>
    <r>
      <rPr>
        <sz val="11"/>
        <color theme="1"/>
        <rFont val="ＭＳ Ｐゴシック"/>
        <family val="3"/>
        <charset val="128"/>
        <scheme val="minor"/>
      </rPr>
      <t>冠控股（深圳）有限公司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</si>
  <si>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蜂蜜酒; 黄酒; 米酒; 苹果酒;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</si>
  <si>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元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名</t>
    </r>
  </si>
  <si>
    <t>李坤</t>
  </si>
  <si>
    <r>
      <t xml:space="preserve">利口酒; 米酒; 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食用酒精;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</si>
  <si>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蔚你而莱</t>
  </si>
  <si>
    <t>曹志康</t>
  </si>
  <si>
    <r>
      <t xml:space="preserve">汽酒; 葡萄酒; 利口酒;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米酒; 黄酒; 梅酒</t>
    </r>
  </si>
  <si>
    <r>
      <t>稳赢</t>
    </r>
    <r>
      <rPr>
        <sz val="11"/>
        <color theme="1"/>
        <rFont val="ＭＳ Ｐゴシック"/>
        <family val="3"/>
        <charset val="128"/>
        <scheme val="minor"/>
      </rPr>
      <t>匠</t>
    </r>
  </si>
  <si>
    <r>
      <t>付</t>
    </r>
    <r>
      <rPr>
        <sz val="11"/>
        <color theme="1"/>
        <rFont val="ＭＳ Ｐゴシック"/>
        <family val="3"/>
        <charset val="134"/>
        <scheme val="minor"/>
      </rPr>
      <t>跃跃</t>
    </r>
  </si>
  <si>
    <r>
      <t>米酒;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葡萄酒</t>
    </r>
  </si>
  <si>
    <r>
      <t>山西三元酒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</si>
  <si>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米酒; 葡萄酒; 白酒</t>
    </r>
  </si>
  <si>
    <r>
      <t>席小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</si>
  <si>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果酒（含酒精）; 清酒（日本米酒）;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</t>
    </r>
  </si>
  <si>
    <r>
      <t>陇</t>
    </r>
    <r>
      <rPr>
        <sz val="11"/>
        <color theme="1"/>
        <rFont val="ＭＳ Ｐゴシック"/>
        <family val="3"/>
        <charset val="128"/>
        <scheme val="minor"/>
      </rPr>
      <t>供辰星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</si>
  <si>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肃兴</t>
    </r>
    <r>
      <rPr>
        <sz val="11"/>
        <color theme="1"/>
        <rFont val="ＭＳ Ｐゴシック"/>
        <family val="3"/>
        <charset val="128"/>
        <scheme val="minor"/>
      </rPr>
      <t>合易行汽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租</t>
    </r>
    <r>
      <rPr>
        <sz val="11"/>
        <color theme="1"/>
        <rFont val="ＭＳ Ｐゴシック"/>
        <family val="3"/>
        <charset val="134"/>
        <scheme val="minor"/>
      </rPr>
      <t>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</si>
  <si>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蜂蜜酒;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</si>
  <si>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r>
      <t>百仁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</si>
  <si>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文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</si>
  <si>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</si>
  <si>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明心谷 良心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</si>
  <si>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米酒; 食用酒精; 白酒; 青稞酒; 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五加皮酒（中国混合烈酒）; 葡萄酒</t>
    </r>
  </si>
  <si>
    <t>HEXXRO</t>
  </si>
  <si>
    <r>
      <t>新疆和瑞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展投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</si>
  <si>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葡萄酒</t>
    </r>
  </si>
  <si>
    <r>
      <t>至樽</t>
    </r>
    <r>
      <rPr>
        <sz val="11"/>
        <color theme="1"/>
        <rFont val="ＭＳ Ｐゴシック"/>
        <family val="3"/>
        <charset val="134"/>
        <scheme val="minor"/>
      </rPr>
      <t>赐</t>
    </r>
  </si>
  <si>
    <t>李素英</t>
  </si>
  <si>
    <r>
      <t xml:space="preserve">黄酒; 白酒;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清酒（日本米酒）; 米酒</t>
    </r>
  </si>
  <si>
    <t>森精草</t>
  </si>
  <si>
    <r>
      <t>元</t>
    </r>
    <r>
      <rPr>
        <sz val="11"/>
        <color theme="1"/>
        <rFont val="ＭＳ Ｐゴシック"/>
        <family val="3"/>
        <charset val="134"/>
        <scheme val="minor"/>
      </rPr>
      <t>谋</t>
    </r>
    <r>
      <rPr>
        <sz val="11"/>
        <color theme="1"/>
        <rFont val="ＭＳ Ｐゴシック"/>
        <family val="3"/>
        <charset val="128"/>
        <scheme val="minor"/>
      </rPr>
      <t>民鼎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</si>
  <si>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果酒（含酒精）; 甜酒;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甘蔗制烈酒</t>
    </r>
  </si>
  <si>
    <t>崔凡</t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</si>
  <si>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</si>
  <si>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HENG GOODWILL</t>
  </si>
  <si>
    <r>
      <t>镇</t>
    </r>
    <r>
      <rPr>
        <sz val="11"/>
        <color theme="1"/>
        <rFont val="ＭＳ Ｐゴシック"/>
        <family val="3"/>
        <charset val="128"/>
        <scheme val="minor"/>
      </rPr>
      <t>江恒达昌食品有限公司</t>
    </r>
  </si>
  <si>
    <r>
      <t xml:space="preserve">果酒（含酒精）;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</si>
  <si>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花</t>
    </r>
    <r>
      <rPr>
        <sz val="11"/>
        <color theme="1"/>
        <rFont val="ＭＳ Ｐゴシック"/>
        <family val="3"/>
        <charset val="134"/>
        <scheme val="minor"/>
      </rPr>
      <t>珑</t>
    </r>
  </si>
  <si>
    <r>
      <t>上海有</t>
    </r>
    <r>
      <rPr>
        <sz val="11"/>
        <color theme="1"/>
        <rFont val="ＭＳ Ｐゴシック"/>
        <family val="3"/>
        <charset val="134"/>
        <scheme val="minor"/>
      </rPr>
      <t>弹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</si>
  <si>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伏特加酒; 果酒（含酒精）; 葡萄酒; 威士忌;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</t>
    </r>
  </si>
  <si>
    <r>
      <t>顾</t>
    </r>
    <r>
      <rPr>
        <sz val="11"/>
        <color theme="1"/>
        <rFont val="ＭＳ Ｐゴシック"/>
        <family val="3"/>
        <charset val="128"/>
        <scheme val="minor"/>
      </rPr>
      <t>少棠</t>
    </r>
  </si>
  <si>
    <r>
      <t>成都三板</t>
    </r>
    <r>
      <rPr>
        <sz val="11"/>
        <color theme="1"/>
        <rFont val="ＭＳ Ｐゴシック"/>
        <family val="3"/>
        <charset val="134"/>
        <scheme val="minor"/>
      </rPr>
      <t>砖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</si>
  <si>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黄酒; 清酒; 米酒;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食用酒精; 葡萄酒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</si>
  <si>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都忘</t>
    </r>
    <r>
      <rPr>
        <sz val="11"/>
        <color theme="1"/>
        <rFont val="ＭＳ Ｐゴシック"/>
        <family val="3"/>
        <charset val="134"/>
        <scheme val="minor"/>
      </rPr>
      <t>忧</t>
    </r>
  </si>
  <si>
    <r>
      <t>珠海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都制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</si>
  <si>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</si>
  <si>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技呈</t>
  </si>
  <si>
    <r>
      <t>张颖</t>
    </r>
    <r>
      <rPr>
        <sz val="11"/>
        <color theme="1"/>
        <rFont val="ＭＳ Ｐゴシック"/>
        <family val="3"/>
        <charset val="128"/>
        <scheme val="minor"/>
      </rPr>
      <t>欣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</si>
  <si>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白酒; 黄酒; 果酒（含酒精）;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</si>
  <si>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t>金南珍</t>
  </si>
  <si>
    <r>
      <t>黄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</si>
  <si>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 xml:space="preserve">黄酒; 开胃酒; 白酒; 米酒; 白干酒（中国白酒）;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</si>
  <si>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闽</t>
    </r>
    <r>
      <rPr>
        <sz val="11"/>
        <color theme="1"/>
        <rFont val="ＭＳ Ｐゴシック"/>
        <family val="3"/>
        <charset val="128"/>
        <scheme val="minor"/>
      </rPr>
      <t>榜</t>
    </r>
  </si>
  <si>
    <t>应义锋</t>
  </si>
  <si>
    <r>
      <t>威士忌;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米酒; 黄酒;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果酒(含酒精); 葡萄酒</t>
    </r>
  </si>
  <si>
    <r>
      <t>州意甘</t>
    </r>
    <r>
      <rPr>
        <sz val="11"/>
        <color theme="1"/>
        <rFont val="ＭＳ Ｐゴシック"/>
        <family val="3"/>
        <charset val="134"/>
        <scheme val="minor"/>
      </rPr>
      <t>诗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</si>
  <si>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掖市涵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建筑</t>
    </r>
    <r>
      <rPr>
        <sz val="11"/>
        <color theme="1"/>
        <rFont val="ＭＳ Ｐゴシック"/>
        <family val="3"/>
        <charset val="134"/>
        <scheme val="minor"/>
      </rPr>
      <t>劳务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</si>
  <si>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梨酒; 米酒; 食用酒精; 葡萄酒</t>
    </r>
  </si>
  <si>
    <t>小枝道</t>
  </si>
  <si>
    <r>
      <t>北京千之道信息技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</si>
  <si>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葡萄酒; 汽酒; 高粱酒; 白酒; 开胃酒; 米酒;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</si>
  <si>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t>娌</t>
  </si>
  <si>
    <r>
      <t>常熟市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南街道一起</t>
    </r>
    <r>
      <rPr>
        <sz val="11"/>
        <color theme="1"/>
        <rFont val="ＭＳ Ｐゴシック"/>
        <family val="3"/>
        <charset val="129"/>
        <scheme val="minor"/>
      </rPr>
      <t>嗨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易商行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</si>
  <si>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果酒（含酒精）; 黄酒</t>
    </r>
  </si>
  <si>
    <r>
      <t>凰</t>
    </r>
    <r>
      <rPr>
        <sz val="11"/>
        <color theme="1"/>
        <rFont val="ＭＳ Ｐゴシック"/>
        <family val="3"/>
        <charset val="134"/>
        <scheme val="minor"/>
      </rPr>
      <t>绵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</si>
  <si>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玲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</si>
  <si>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葡萄酒; 高粱酒;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黄酒; 威士忌; 米酒</t>
    </r>
  </si>
  <si>
    <t>OSITREE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</si>
  <si>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华图</t>
    </r>
    <r>
      <rPr>
        <sz val="11"/>
        <color theme="1"/>
        <rFont val="ＭＳ Ｐゴシック"/>
        <family val="3"/>
        <charset val="128"/>
        <scheme val="minor"/>
      </rPr>
      <t>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</si>
  <si>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含酒精的气泡水; 米酒;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</si>
  <si>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淮色天香</t>
  </si>
  <si>
    <r>
      <t>张</t>
    </r>
    <r>
      <rPr>
        <sz val="11"/>
        <color theme="1"/>
        <rFont val="ＭＳ Ｐゴシック"/>
        <family val="3"/>
        <charset val="128"/>
        <scheme val="minor"/>
      </rPr>
      <t>和</t>
    </r>
  </si>
  <si>
    <r>
      <t>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威士忌; 甜酒; 白酒;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果酒(含酒精)</t>
    </r>
  </si>
  <si>
    <r>
      <t>小糕昭</t>
    </r>
    <r>
      <rPr>
        <sz val="11"/>
        <color theme="1"/>
        <rFont val="ＭＳ Ｐゴシック"/>
        <family val="3"/>
        <charset val="134"/>
        <scheme val="minor"/>
      </rPr>
      <t>仪</t>
    </r>
  </si>
  <si>
    <r>
      <t>上海食</t>
    </r>
    <r>
      <rPr>
        <sz val="11"/>
        <color theme="1"/>
        <rFont val="ＭＳ Ｐゴシック"/>
        <family val="3"/>
        <charset val="134"/>
        <scheme val="minor"/>
      </rPr>
      <t>锦贸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</si>
  <si>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苹果酒;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青梅酒; 蜂蜜酒;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含酒精的气泡水; 梨酒</t>
    </r>
  </si>
  <si>
    <r>
      <t>桂厂</t>
    </r>
    <r>
      <rPr>
        <sz val="11"/>
        <color theme="1"/>
        <rFont val="ＭＳ Ｐゴシック"/>
        <family val="3"/>
        <charset val="134"/>
        <scheme val="minor"/>
      </rPr>
      <t>长</t>
    </r>
  </si>
  <si>
    <t>徐婧</t>
  </si>
  <si>
    <r>
      <t>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</si>
  <si>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M8</t>
  </si>
  <si>
    <t>唐珠</t>
  </si>
  <si>
    <r>
      <t>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</t>
    </r>
  </si>
  <si>
    <r>
      <t>嘉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渡</t>
    </r>
  </si>
  <si>
    <r>
      <t>广西新圣文化旅游投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</si>
  <si>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</si>
  <si>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淮榜</t>
  </si>
  <si>
    <r>
      <t>果酒(含酒精); 威士忌;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葡萄酒; 米酒</t>
    </r>
  </si>
  <si>
    <t>酷可奇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</si>
  <si>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市卡芙娜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</si>
  <si>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</si>
  <si>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小他家</t>
  </si>
  <si>
    <r>
      <t>张</t>
    </r>
    <r>
      <rPr>
        <sz val="11"/>
        <color theme="1"/>
        <rFont val="ＭＳ Ｐゴシック"/>
        <family val="3"/>
        <charset val="128"/>
        <scheme val="minor"/>
      </rPr>
      <t>子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</si>
  <si>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黄酒;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</si>
  <si>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蓓香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方种子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</si>
  <si>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州蓓香焙香文化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</si>
  <si>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</si>
  <si>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百喜</t>
    </r>
    <r>
      <rPr>
        <sz val="11"/>
        <color theme="1"/>
        <rFont val="ＭＳ Ｐゴシック"/>
        <family val="3"/>
        <charset val="134"/>
        <scheme val="minor"/>
      </rPr>
      <t>纳财</t>
    </r>
  </si>
  <si>
    <r>
      <t>巩志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</si>
  <si>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食用酒精; 露酒; 米酒; 开胃酒; 朗姆酒</t>
    </r>
  </si>
  <si>
    <r>
      <t>沪上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酒人</t>
    </r>
  </si>
  <si>
    <r>
      <t>上海沪申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酒人酒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</si>
  <si>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食用酒精; 葡萄酒;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酸酒（低等葡萄酒）</t>
    </r>
  </si>
  <si>
    <t>酒小士</t>
  </si>
  <si>
    <r>
      <t>罗</t>
    </r>
    <r>
      <rPr>
        <sz val="11"/>
        <color theme="1"/>
        <rFont val="ＭＳ Ｐゴシック"/>
        <family val="3"/>
        <charset val="128"/>
        <scheme val="minor"/>
      </rPr>
      <t>全会</t>
    </r>
  </si>
  <si>
    <r>
      <t>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食用酒精;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</si>
  <si>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王妃</t>
    </r>
    <r>
      <rPr>
        <sz val="11"/>
        <color theme="1"/>
        <rFont val="ＭＳ Ｐゴシック"/>
        <family val="3"/>
        <charset val="134"/>
        <scheme val="minor"/>
      </rPr>
      <t>驾</t>
    </r>
    <r>
      <rPr>
        <sz val="11"/>
        <color theme="1"/>
        <rFont val="ＭＳ Ｐゴシック"/>
        <family val="3"/>
        <charset val="128"/>
        <scheme val="minor"/>
      </rPr>
      <t>到 PRINCESS ARRIVED</t>
    </r>
  </si>
  <si>
    <t>戴俊涛</t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</si>
  <si>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蜂蜜酒</t>
    </r>
  </si>
  <si>
    <t>寐美</t>
  </si>
  <si>
    <r>
      <t>河北捷</t>
    </r>
    <r>
      <rPr>
        <sz val="11"/>
        <color theme="1"/>
        <rFont val="ＭＳ Ｐゴシック"/>
        <family val="3"/>
        <charset val="134"/>
        <scheme val="minor"/>
      </rPr>
      <t>聪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</si>
  <si>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</si>
  <si>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加奈子</t>
  </si>
  <si>
    <r>
      <t>醇</t>
    </r>
    <r>
      <rPr>
        <sz val="11"/>
        <color theme="1"/>
        <rFont val="ＭＳ Ｐゴシック"/>
        <family val="3"/>
        <charset val="134"/>
        <scheme val="minor"/>
      </rPr>
      <t>贸轩</t>
    </r>
    <r>
      <rPr>
        <sz val="11"/>
        <color theme="1"/>
        <rFont val="ＭＳ Ｐゴシック"/>
        <family val="3"/>
        <charset val="128"/>
        <scheme val="minor"/>
      </rPr>
      <t>（上海）供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</si>
  <si>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</si>
  <si>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宴帝</t>
    </r>
  </si>
  <si>
    <r>
      <t>威士忌; 米酒;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甜酒; 葡萄酒; 果酒(含酒精);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</t>
    </r>
  </si>
  <si>
    <t>大彝娘</t>
  </si>
  <si>
    <r>
      <t>云南</t>
    </r>
    <r>
      <rPr>
        <sz val="11"/>
        <color theme="1"/>
        <rFont val="ＭＳ Ｐゴシック"/>
        <family val="3"/>
        <charset val="134"/>
        <scheme val="minor"/>
      </rPr>
      <t>跃</t>
    </r>
    <r>
      <rPr>
        <sz val="11"/>
        <color theme="1"/>
        <rFont val="ＭＳ Ｐゴシック"/>
        <family val="3"/>
        <charset val="128"/>
        <scheme val="minor"/>
      </rPr>
      <t>达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</si>
  <si>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杜松子酒;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青稞酒</t>
    </r>
  </si>
  <si>
    <t>慈甄</t>
  </si>
  <si>
    <t>李斌</t>
  </si>
  <si>
    <r>
      <t>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苦味酒;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</si>
  <si>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萃肴臻品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</si>
  <si>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甜酒; 葡萄酒; 果酒</t>
    </r>
  </si>
  <si>
    <t>心灵王子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</si>
  <si>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清酒（日本米酒）; 薄荷酒</t>
    </r>
  </si>
  <si>
    <t>当夕</t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</si>
  <si>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威士忌; 白酒; 伏特加酒; 果酒（含酒精）;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</si>
  <si>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YI JIU MI XIANG</t>
  </si>
  <si>
    <r>
      <t>北京礼物商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</si>
  <si>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葡萄酒; 威士忌; 黄酒; 白酒; 清酒;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</si>
  <si>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鸿图丝</t>
    </r>
    <r>
      <rPr>
        <sz val="11"/>
        <color theme="1"/>
        <rFont val="ＭＳ Ｐゴシック"/>
        <family val="3"/>
        <charset val="128"/>
        <scheme val="minor"/>
      </rPr>
      <t>路</t>
    </r>
  </si>
  <si>
    <r>
      <t>米酒; 葡萄酒;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果酒(含酒精); 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</t>
    </r>
  </si>
  <si>
    <t>津香滋</t>
  </si>
  <si>
    <t>余礼涛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</si>
  <si>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</si>
  <si>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琼</t>
    </r>
    <r>
      <rPr>
        <sz val="11"/>
        <color theme="1"/>
        <rFont val="ＭＳ Ｐゴシック"/>
        <family val="3"/>
        <charset val="128"/>
        <scheme val="minor"/>
      </rPr>
      <t>爵王者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</si>
  <si>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家口康祥</t>
    </r>
    <r>
      <rPr>
        <sz val="11"/>
        <color theme="1"/>
        <rFont val="ＭＳ Ｐゴシック"/>
        <family val="3"/>
        <charset val="134"/>
        <scheme val="minor"/>
      </rPr>
      <t>钢结</t>
    </r>
    <r>
      <rPr>
        <sz val="11"/>
        <color theme="1"/>
        <rFont val="ＭＳ Ｐゴシック"/>
        <family val="3"/>
        <charset val="128"/>
        <scheme val="minor"/>
      </rPr>
      <t>构工程有限公司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</si>
  <si>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露酒; 果酒（含酒精）; 葡萄酒; 利口酒; 清酒; 白酒</t>
    </r>
  </si>
  <si>
    <t>元蓬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</si>
  <si>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白酒; 伏特加酒;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白干酒（中国白酒）;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</si>
  <si>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升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果 酒厂</t>
    </r>
  </si>
  <si>
    <r>
      <t>白园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</si>
  <si>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水果汽酒;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</si>
  <si>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常祝</t>
  </si>
  <si>
    <r>
      <t>张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</si>
  <si>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食用酒精; 青稞酒;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</si>
  <si>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州省品</t>
    </r>
    <r>
      <rPr>
        <sz val="11"/>
        <color theme="1"/>
        <rFont val="ＭＳ Ｐゴシック"/>
        <family val="3"/>
        <charset val="134"/>
        <scheme val="minor"/>
      </rPr>
      <t>质酿</t>
    </r>
    <r>
      <rPr>
        <sz val="11"/>
        <color theme="1"/>
        <rFont val="ＭＳ Ｐゴシック"/>
        <family val="3"/>
        <charset val="128"/>
        <scheme val="minor"/>
      </rPr>
      <t>酒技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研究院</t>
    </r>
  </si>
  <si>
    <r>
      <t>清酒（日本米酒）; 白酒; 黄酒;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米酒</t>
    </r>
  </si>
  <si>
    <r>
      <t>合福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</si>
  <si>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福(福鼎)文化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</si>
  <si>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果酒（含酒精）;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</si>
  <si>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赤中美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</si>
  <si>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威士忌; 米酒; 白酒; 黄酒; 果酒(含酒精);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</si>
  <si>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红头树</t>
  </si>
  <si>
    <r>
      <t>太原市京美源生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便利</t>
    </r>
    <r>
      <rPr>
        <sz val="11"/>
        <color theme="1"/>
        <rFont val="ＭＳ Ｐゴシック"/>
        <family val="3"/>
        <charset val="134"/>
        <scheme val="minor"/>
      </rPr>
      <t>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</si>
  <si>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</si>
  <si>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正康美</t>
  </si>
  <si>
    <r>
      <t>广州信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</si>
  <si>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露酒; 葡萄酒; 苹果酒; 威士忌; 黄酒; 果酒（含酒精）</t>
    </r>
  </si>
  <si>
    <t>露力可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</si>
  <si>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狙网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</si>
  <si>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青稞酒; 白酒</t>
    </r>
  </si>
  <si>
    <t>古黔仙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</si>
  <si>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黄酒; 葡萄酒; 果酒(含酒精);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</si>
  <si>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商宏</t>
    </r>
    <r>
      <rPr>
        <sz val="11"/>
        <color theme="1"/>
        <rFont val="ＭＳ Ｐゴシック"/>
        <family val="3"/>
        <charset val="134"/>
        <scheme val="minor"/>
      </rPr>
      <t>图</t>
    </r>
  </si>
  <si>
    <r>
      <t>赖鹏</t>
    </r>
    <r>
      <rPr>
        <sz val="11"/>
        <color theme="1"/>
        <rFont val="ＭＳ Ｐゴシック"/>
        <family val="3"/>
        <charset val="128"/>
        <scheme val="minor"/>
      </rPr>
      <t>先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</si>
  <si>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果酒（含酒精）; 苹果酒; 葡萄酒; 露酒</t>
    </r>
  </si>
  <si>
    <r>
      <t>缔</t>
    </r>
    <r>
      <rPr>
        <sz val="11"/>
        <color theme="1"/>
        <rFont val="ＭＳ Ｐゴシック"/>
        <family val="3"/>
        <charset val="128"/>
        <scheme val="minor"/>
      </rPr>
      <t>月森 DEYESON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</si>
  <si>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国浩</t>
    </r>
  </si>
  <si>
    <r>
      <t xml:space="preserve">利口酒;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清酒（日本米酒）;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</si>
  <si>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黔碑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</si>
  <si>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</si>
  <si>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栏缥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</si>
  <si>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海南山</t>
    </r>
    <r>
      <rPr>
        <sz val="11"/>
        <color theme="1"/>
        <rFont val="ＭＳ Ｐゴシック"/>
        <family val="3"/>
        <charset val="134"/>
        <scheme val="minor"/>
      </rPr>
      <t>栏</t>
    </r>
    <r>
      <rPr>
        <sz val="11"/>
        <color theme="1"/>
        <rFont val="ＭＳ Ｐゴシック"/>
        <family val="3"/>
        <charset val="128"/>
        <scheme val="minor"/>
      </rPr>
      <t>酒庄有限公司</t>
    </r>
  </si>
  <si>
    <r>
      <t>汽酒;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</t>
    </r>
  </si>
  <si>
    <t>南宋一株草</t>
  </si>
  <si>
    <r>
      <t>杭州加</t>
    </r>
    <r>
      <rPr>
        <sz val="11"/>
        <color theme="1"/>
        <rFont val="ＭＳ Ｐゴシック"/>
        <family val="3"/>
        <charset val="134"/>
        <scheme val="minor"/>
      </rPr>
      <t>时赛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</si>
  <si>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梅酒; 米酒; 开胃酒; 高粱酒;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</si>
  <si>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t>青小士</t>
  </si>
  <si>
    <r>
      <t>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黄酒</t>
    </r>
  </si>
  <si>
    <r>
      <t>陈颜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</si>
  <si>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北京金谷圣泉商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</si>
  <si>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茴香酒（利口酒）; 威士忌</t>
    </r>
  </si>
  <si>
    <r>
      <t>春不</t>
    </r>
    <r>
      <rPr>
        <sz val="11"/>
        <color theme="1"/>
        <rFont val="ＭＳ Ｐゴシック"/>
        <family val="3"/>
        <charset val="134"/>
        <scheme val="minor"/>
      </rPr>
      <t>归</t>
    </r>
  </si>
  <si>
    <r>
      <t>烈酒; 清酒（日本米酒）;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</si>
  <si>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李相玲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</si>
  <si>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</si>
  <si>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云泰妃</t>
  </si>
  <si>
    <r>
      <t>丁光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</si>
  <si>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高粱酒; 果酒; 白酒; 米酒; 甜果酒;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</si>
  <si>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勝</t>
    </r>
  </si>
  <si>
    <r>
      <t>邢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</si>
  <si>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果酒（含酒精）; 清酒; 白酒;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高粱酒; 米酒</t>
    </r>
  </si>
  <si>
    <t>吉力神</t>
  </si>
  <si>
    <r>
      <t xml:space="preserve">白酒; 葡萄酒;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</si>
  <si>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驰骋</t>
    </r>
    <r>
      <rPr>
        <sz val="11"/>
        <color theme="1"/>
        <rFont val="ＭＳ Ｐゴシック"/>
        <family val="3"/>
        <charset val="128"/>
        <scheme val="minor"/>
      </rPr>
      <t>中原</t>
    </r>
  </si>
  <si>
    <r>
      <t>庄建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</si>
  <si>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开胃酒;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果酒（含酒精）; 黄酒; 清酒; 白干酒（中国白酒）</t>
    </r>
  </si>
  <si>
    <t>仓颉</t>
  </si>
  <si>
    <r>
      <t>白水</t>
    </r>
    <r>
      <rPr>
        <sz val="11"/>
        <color theme="1"/>
        <rFont val="ＭＳ Ｐゴシック"/>
        <family val="3"/>
        <charset val="134"/>
        <scheme val="minor"/>
      </rPr>
      <t>仓颉</t>
    </r>
    <r>
      <rPr>
        <sz val="11"/>
        <color theme="1"/>
        <rFont val="ＭＳ Ｐゴシック"/>
        <family val="3"/>
        <charset val="128"/>
        <scheme val="minor"/>
      </rPr>
      <t>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</si>
  <si>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苹果酒; 果酒;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白酒; 葡萄酒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</si>
  <si>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栏</t>
    </r>
    <r>
      <rPr>
        <sz val="11"/>
        <color theme="1"/>
        <rFont val="ＭＳ Ｐゴシック"/>
        <family val="3"/>
        <charset val="128"/>
        <scheme val="minor"/>
      </rPr>
      <t>孤往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</si>
  <si>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苦味酒;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</si>
  <si>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每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点</t>
    </r>
  </si>
  <si>
    <r>
      <t>曾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宝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</si>
  <si>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葡萄酒; 梅酒; 烈酒; 果酒; 米酒; 白酒; 甜酒; 高粱酒</t>
    </r>
  </si>
  <si>
    <t>TOPT</t>
  </si>
  <si>
    <t>李睿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</si>
  <si>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伏特加酒; 果酒（含酒精）; 威士忌;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</si>
  <si>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MYSTIC MOJO</t>
  </si>
  <si>
    <r>
      <t>蓬莱仙湖酒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</si>
  <si>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酸酒（低等葡萄酒）;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</si>
  <si>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瑞喆</t>
  </si>
  <si>
    <r>
      <t>温仲</t>
    </r>
    <r>
      <rPr>
        <sz val="11"/>
        <color theme="1"/>
        <rFont val="ＭＳ Ｐゴシック"/>
        <family val="3"/>
        <charset val="134"/>
        <scheme val="minor"/>
      </rPr>
      <t>为</t>
    </r>
  </si>
  <si>
    <r>
      <t>果酒（含酒精）; 利口酒;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</si>
  <si>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浣</t>
    </r>
    <r>
      <rPr>
        <sz val="11"/>
        <color theme="1"/>
        <rFont val="ＭＳ Ｐゴシック"/>
        <family val="3"/>
        <charset val="134"/>
        <scheme val="minor"/>
      </rPr>
      <t>砚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</si>
  <si>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苦味酒; 米酒; 白酒; 开胃酒; 汽酒</t>
    </r>
  </si>
  <si>
    <r>
      <t>义结</t>
    </r>
    <r>
      <rPr>
        <sz val="11"/>
        <color theme="1"/>
        <rFont val="ＭＳ Ｐゴシック"/>
        <family val="3"/>
        <charset val="128"/>
        <scheme val="minor"/>
      </rPr>
      <t>桃源</t>
    </r>
  </si>
  <si>
    <t>黄新云</t>
  </si>
  <si>
    <r>
      <t xml:space="preserve">葡萄酒; 清酒（日本米酒）; 白酒; 开胃酒; 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</si>
  <si>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化祝</t>
    </r>
    <r>
      <rPr>
        <sz val="11"/>
        <color theme="1"/>
        <rFont val="ＭＳ Ｐゴシック"/>
        <family val="3"/>
        <charset val="134"/>
        <scheme val="minor"/>
      </rPr>
      <t>琼酿</t>
    </r>
  </si>
  <si>
    <r>
      <t>谭</t>
    </r>
    <r>
      <rPr>
        <sz val="11"/>
        <color theme="1"/>
        <rFont val="ＭＳ Ｐゴシック"/>
        <family val="3"/>
        <charset val="128"/>
        <scheme val="minor"/>
      </rPr>
      <t>化祝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</si>
  <si>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</t>
    </r>
  </si>
  <si>
    <t>范式</t>
  </si>
  <si>
    <r>
      <t>第四范式（北京）技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</si>
  <si>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</si>
  <si>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栏浇书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</si>
  <si>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苦味酒;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汽酒; 威士忌; 米酒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</si>
  <si>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栏</t>
    </r>
    <r>
      <rPr>
        <sz val="11"/>
        <color theme="1"/>
        <rFont val="ＭＳ Ｐゴシック"/>
        <family val="3"/>
        <charset val="128"/>
        <scheme val="minor"/>
      </rPr>
      <t>醒石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</si>
  <si>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苦味酒;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白酒; 威士忌</t>
    </r>
  </si>
  <si>
    <t>漱句</t>
  </si>
  <si>
    <r>
      <t>苦味酒;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威士忌; 白酒; 米酒</t>
    </r>
  </si>
  <si>
    <r>
      <t>米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勝</t>
    </r>
  </si>
  <si>
    <r>
      <t>米酒; 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果酒（含酒精）; 高粱酒;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</si>
  <si>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豪亨士 HOUHENSIY</t>
  </si>
  <si>
    <r>
      <t>方</t>
    </r>
    <r>
      <rPr>
        <sz val="11"/>
        <color theme="1"/>
        <rFont val="ＭＳ Ｐゴシック"/>
        <family val="3"/>
        <charset val="134"/>
        <scheme val="minor"/>
      </rPr>
      <t>贞发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</si>
  <si>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</si>
  <si>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t>OFFROOM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</si>
  <si>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莞关机房子商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</si>
  <si>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米酒; 含酒精的气泡水;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</si>
  <si>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寒沽</t>
  </si>
  <si>
    <r>
      <t>苦味酒;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汽酒;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</si>
  <si>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路易</t>
    </r>
    <r>
      <rPr>
        <sz val="11"/>
        <color theme="1"/>
        <rFont val="ＭＳ Ｐゴシック"/>
        <family val="3"/>
        <charset val="134"/>
        <scheme val="minor"/>
      </rPr>
      <t>简</t>
    </r>
    <r>
      <rPr>
        <sz val="11"/>
        <color theme="1"/>
        <rFont val="ＭＳ Ｐゴシック"/>
        <family val="3"/>
        <charset val="128"/>
        <scheme val="minor"/>
      </rPr>
      <t>奕</t>
    </r>
  </si>
  <si>
    <t>瞿冬明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</si>
  <si>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清酒（日本米酒）;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</t>
    </r>
  </si>
  <si>
    <t>稻佳人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</si>
  <si>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米酒;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清酒; 黄酒</t>
    </r>
  </si>
  <si>
    <r>
      <t>苍</t>
    </r>
    <r>
      <rPr>
        <sz val="11"/>
        <color theme="1"/>
        <rFont val="ＭＳ Ｐゴシック"/>
        <family val="3"/>
        <charset val="128"/>
        <scheme val="minor"/>
      </rPr>
      <t>圣酒</t>
    </r>
  </si>
  <si>
    <r>
      <t xml:space="preserve">苹果酒; 葡萄酒;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</si>
  <si>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精玉液</t>
    </r>
  </si>
  <si>
    <r>
      <t>广西百年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潭文化有限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</si>
  <si>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葡萄酒; 黄酒; 米酒</t>
    </r>
  </si>
  <si>
    <t>囊幽</t>
  </si>
  <si>
    <r>
      <t>汽酒; 苦味酒; 白酒; 开胃酒;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</si>
  <si>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宣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胖哥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</si>
  <si>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胖胖</t>
    </r>
  </si>
  <si>
    <r>
      <t>汽酒;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黄酒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</si>
  <si>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栏</t>
    </r>
    <r>
      <rPr>
        <sz val="11"/>
        <color theme="1"/>
        <rFont val="ＭＳ Ｐゴシック"/>
        <family val="3"/>
        <charset val="128"/>
        <scheme val="minor"/>
      </rPr>
      <t>味象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</si>
  <si>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苦味酒;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</t>
    </r>
  </si>
  <si>
    <t>品梵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</si>
  <si>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米酒; 苦味酒; 开胃酒; 威士忌; 黄酒</t>
    </r>
  </si>
  <si>
    <t>垢固</t>
  </si>
  <si>
    <r>
      <t>云天行旅游（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</si>
  <si>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米酒;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白干酒（中国白酒）; 高粱酒; 烈酒; 白酒;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 xml:space="preserve">酒; 日式甜米酒; 烈性干酒; 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</si>
  <si>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明珠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</si>
  <si>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翃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</si>
  <si>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含酒精的气泡水;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</si>
  <si>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长铺</t>
  </si>
  <si>
    <r>
      <t>罗</t>
    </r>
    <r>
      <rPr>
        <sz val="11"/>
        <color theme="1"/>
        <rFont val="ＭＳ Ｐゴシック"/>
        <family val="3"/>
        <charset val="128"/>
        <scheme val="minor"/>
      </rPr>
      <t>素君</t>
    </r>
  </si>
  <si>
    <r>
      <t>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烈酒; 高粱酒;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</t>
    </r>
  </si>
  <si>
    <r>
      <t>比俄庄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酒坊</t>
    </r>
  </si>
  <si>
    <t>郭宏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</si>
  <si>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烈酒; 刺五加酒; 白干酒（中国白酒）; 葡萄酒;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</si>
  <si>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林山珍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</si>
  <si>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林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融（四川）生</t>
    </r>
    <r>
      <rPr>
        <sz val="11"/>
        <color theme="1"/>
        <rFont val="ＭＳ Ｐゴシック"/>
        <family val="3"/>
        <charset val="134"/>
        <scheme val="minor"/>
      </rPr>
      <t>态环</t>
    </r>
    <r>
      <rPr>
        <sz val="11"/>
        <color theme="1"/>
        <rFont val="ＭＳ Ｐゴシック"/>
        <family val="3"/>
        <charset val="128"/>
        <scheme val="minor"/>
      </rPr>
      <t>境建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</si>
  <si>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露酒</t>
    </r>
  </si>
  <si>
    <t>知本源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</si>
  <si>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州知本源酒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</si>
  <si>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蒸煮提取物（利口酒和烈酒）; 米酒; 白干酒（中国白酒）;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蜂蜜酒; 果酒（含酒精）</t>
    </r>
  </si>
  <si>
    <t>HAITUO2198</t>
  </si>
  <si>
    <r>
      <t>北京北控置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</si>
  <si>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</si>
  <si>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t>宋泰昌</t>
  </si>
  <si>
    <r>
      <t>郑</t>
    </r>
    <r>
      <rPr>
        <sz val="11"/>
        <color theme="1"/>
        <rFont val="ＭＳ Ｐゴシック"/>
        <family val="3"/>
        <charset val="128"/>
        <scheme val="minor"/>
      </rPr>
      <t>少娟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</si>
  <si>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葡萄酒; 黄酒</t>
    </r>
  </si>
  <si>
    <t>味台醇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</si>
  <si>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市味台醇酒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</si>
  <si>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开胃酒</t>
    </r>
  </si>
  <si>
    <t>我能量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</si>
  <si>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疯</t>
    </r>
    <r>
      <rPr>
        <sz val="11"/>
        <color theme="1"/>
        <rFont val="ＭＳ Ｐゴシック"/>
        <family val="3"/>
        <charset val="128"/>
        <scheme val="minor"/>
      </rPr>
      <t>狂老虎酒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</si>
  <si>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白酒; 葡萄酒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</si>
  <si>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双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</si>
  <si>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沐琳</t>
    </r>
  </si>
  <si>
    <r>
      <t xml:space="preserve">葡萄酒; 清酒（日本米酒）;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白酒; 果酒（含酒精）</t>
    </r>
  </si>
  <si>
    <r>
      <t>衡昌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</si>
  <si>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甜果酒;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白干酒（中国白酒）; 黄酒; 利口酒</t>
    </r>
  </si>
  <si>
    <t>林海横道</t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</si>
  <si>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汽酒; 刺五加酒;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</si>
  <si>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湖匠湘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</si>
  <si>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州文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</si>
  <si>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</si>
  <si>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饭</t>
    </r>
    <r>
      <rPr>
        <sz val="11"/>
        <color theme="1"/>
        <rFont val="ＭＳ Ｐゴシック"/>
        <family val="3"/>
        <charset val="128"/>
        <scheme val="minor"/>
      </rPr>
      <t>探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</si>
  <si>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</si>
  <si>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徽</t>
    </r>
    <r>
      <rPr>
        <sz val="11"/>
        <color theme="1"/>
        <rFont val="ＭＳ Ｐゴシック"/>
        <family val="3"/>
        <charset val="134"/>
        <scheme val="minor"/>
      </rPr>
      <t>阅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</si>
  <si>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醉美文化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</si>
  <si>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蒸煮提取物（利口酒和烈酒）; 高粱酒;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</si>
  <si>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襄阳一派酒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</si>
  <si>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苦味酒; 白酒; 黄酒; 开胃酒</t>
    </r>
  </si>
  <si>
    <t>水晶雨 CRYSTAL RAIN</t>
  </si>
  <si>
    <r>
      <t>衢州</t>
    </r>
    <r>
      <rPr>
        <sz val="11"/>
        <color theme="1"/>
        <rFont val="ＭＳ Ｐゴシック"/>
        <family val="3"/>
        <charset val="134"/>
        <scheme val="minor"/>
      </rPr>
      <t>烛</t>
    </r>
    <r>
      <rPr>
        <sz val="11"/>
        <color theme="1"/>
        <rFont val="ＭＳ Ｐゴシック"/>
        <family val="3"/>
        <charset val="128"/>
        <scheme val="minor"/>
      </rPr>
      <t>光有机食品有限公司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</si>
  <si>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米酒; 白酒</t>
    </r>
  </si>
  <si>
    <t>管尊尊</t>
  </si>
  <si>
    <r>
      <t>王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</si>
  <si>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威士忌; 米酒;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</t>
    </r>
  </si>
  <si>
    <r>
      <t>台</t>
    </r>
    <r>
      <rPr>
        <sz val="11"/>
        <color theme="1"/>
        <rFont val="ＭＳ Ｐゴシック"/>
        <family val="3"/>
        <charset val="134"/>
        <scheme val="minor"/>
      </rPr>
      <t>谭</t>
    </r>
    <r>
      <rPr>
        <sz val="11"/>
        <color theme="1"/>
        <rFont val="ＭＳ Ｐゴシック"/>
        <family val="3"/>
        <charset val="128"/>
        <scheme val="minor"/>
      </rPr>
      <t>源</t>
    </r>
  </si>
  <si>
    <r>
      <t>北京酒追誉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</si>
  <si>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白干酒（中国白酒）;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</t>
    </r>
  </si>
  <si>
    <t>梦依茜</t>
  </si>
  <si>
    <r>
      <t>上海梦哥商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</si>
  <si>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起泡白葡萄酒;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白葡萄酒; 黄酒; 甜酒; 葡萄酒</t>
    </r>
  </si>
  <si>
    <t>佰草怡人</t>
  </si>
  <si>
    <r>
      <t xml:space="preserve">清酒（日本米酒）;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梨酒; 白酒; 果酒（含酒精）; 葡萄酒; 餐后酒（利口酒和烈酒）</t>
    </r>
  </si>
  <si>
    <t>岭之南萃</t>
  </si>
  <si>
    <t>上海映悦会展策划有限公司</t>
  </si>
  <si>
    <r>
      <t xml:space="preserve">威士忌;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清酒（日本米酒）</t>
    </r>
  </si>
  <si>
    <r>
      <t xml:space="preserve">KALE RILL </t>
    </r>
    <r>
      <rPr>
        <sz val="11"/>
        <color theme="1"/>
        <rFont val="ＭＳ Ｐゴシック"/>
        <family val="3"/>
        <charset val="134"/>
        <scheme val="minor"/>
      </rPr>
      <t>凯乐</t>
    </r>
    <r>
      <rPr>
        <sz val="11"/>
        <color theme="1"/>
        <rFont val="ＭＳ Ｐゴシック"/>
        <family val="3"/>
        <charset val="128"/>
        <scheme val="minor"/>
      </rPr>
      <t>溪</t>
    </r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</si>
  <si>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白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庄葡萄酒有限公司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</si>
  <si>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米酒; 葡萄酒</t>
    </r>
  </si>
  <si>
    <t>藏金生玉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</si>
  <si>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白酒; 伏特加酒;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米酒</t>
    </r>
  </si>
  <si>
    <t>陆伟</t>
  </si>
  <si>
    <r>
      <t>烈酒;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蜂蜜酒;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杜松子酒; 白酒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</si>
  <si>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地院</t>
    </r>
  </si>
  <si>
    <t>吉林大学</t>
  </si>
  <si>
    <r>
      <t xml:space="preserve">薄荷酒; 果酒（含酒精）; 汽酒; 利口酒;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</si>
  <si>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市食品安全工作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合会</t>
    </r>
  </si>
  <si>
    <r>
      <t xml:space="preserve">开胃酒; 葡萄酒; 米酒;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</si>
  <si>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白九佬</t>
  </si>
  <si>
    <r>
      <t>黄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</si>
  <si>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>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葡萄酒; 清酒（日本米酒）; 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</si>
  <si>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DRC 得</t>
    </r>
    <r>
      <rPr>
        <sz val="11"/>
        <color theme="1"/>
        <rFont val="ＭＳ Ｐゴシック"/>
        <family val="3"/>
        <charset val="134"/>
        <scheme val="minor"/>
      </rPr>
      <t>灿</t>
    </r>
  </si>
  <si>
    <r>
      <t>谢东</t>
    </r>
    <r>
      <rPr>
        <sz val="11"/>
        <color theme="1"/>
        <rFont val="ＭＳ Ｐゴシック"/>
        <family val="3"/>
        <charset val="128"/>
        <scheme val="minor"/>
      </rPr>
      <t>妮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</si>
  <si>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伏特加酒;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</si>
  <si>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歙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</si>
  <si>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中枢</t>
    </r>
    <r>
      <rPr>
        <sz val="11"/>
        <color theme="1"/>
        <rFont val="ＭＳ Ｐゴシック"/>
        <family val="3"/>
        <charset val="134"/>
        <scheme val="minor"/>
      </rPr>
      <t>农业产业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</si>
  <si>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白酒;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黄酒</t>
    </r>
  </si>
  <si>
    <t>九感邀月</t>
  </si>
  <si>
    <t>莆田市五牛科技有限公司</t>
  </si>
  <si>
    <r>
      <t>朗姆酒; 白酒; 威士忌; 黄酒;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</t>
    </r>
  </si>
  <si>
    <r>
      <t>禾云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</si>
  <si>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云禾供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（昆明）有限公司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</si>
  <si>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佐餐酒</t>
    </r>
  </si>
  <si>
    <t>正半山正茗</t>
  </si>
  <si>
    <r>
      <t>远</t>
    </r>
    <r>
      <rPr>
        <sz val="11"/>
        <color theme="1"/>
        <rFont val="ＭＳ Ｐゴシック"/>
        <family val="3"/>
        <charset val="128"/>
        <scheme val="minor"/>
      </rPr>
      <t>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盘</t>
    </r>
    <r>
      <rPr>
        <sz val="11"/>
        <color theme="1"/>
        <rFont val="ＭＳ Ｐゴシック"/>
        <family val="3"/>
        <charset val="128"/>
        <scheme val="minor"/>
      </rPr>
      <t>岭酒厂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</si>
  <si>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</t>
    </r>
  </si>
  <si>
    <t>律清瓷</t>
  </si>
  <si>
    <r>
      <t>绵</t>
    </r>
    <r>
      <rPr>
        <sz val="11"/>
        <color theme="1"/>
        <rFont val="ＭＳ Ｐゴシック"/>
        <family val="3"/>
        <charset val="128"/>
        <scheme val="minor"/>
      </rPr>
      <t>竹</t>
    </r>
    <r>
      <rPr>
        <sz val="11"/>
        <color theme="1"/>
        <rFont val="ＭＳ Ｐゴシック"/>
        <family val="3"/>
        <charset val="134"/>
        <scheme val="minor"/>
      </rPr>
      <t>浓</t>
    </r>
    <r>
      <rPr>
        <sz val="11"/>
        <color theme="1"/>
        <rFont val="ＭＳ Ｐゴシック"/>
        <family val="3"/>
        <charset val="128"/>
        <scheme val="minor"/>
      </rPr>
      <t>香瑰宝酒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</si>
  <si>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</si>
  <si>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潞清瓷</t>
  </si>
  <si>
    <r>
      <t xml:space="preserve">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</si>
  <si>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珍禾酒</t>
  </si>
  <si>
    <r>
      <t>陈</t>
    </r>
    <r>
      <rPr>
        <sz val="11"/>
        <color theme="1"/>
        <rFont val="ＭＳ Ｐゴシック"/>
        <family val="3"/>
        <charset val="128"/>
        <scheme val="minor"/>
      </rPr>
      <t>瑞</t>
    </r>
    <r>
      <rPr>
        <sz val="11"/>
        <color theme="1"/>
        <rFont val="ＭＳ Ｐゴシック"/>
        <family val="3"/>
        <charset val="134"/>
        <scheme val="minor"/>
      </rPr>
      <t>显</t>
    </r>
  </si>
  <si>
    <r>
      <t xml:space="preserve">青稞酒; 食用酒精;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白酒; 汽酒; 白干酒（中国白酒）; 餐后酒（利口酒和烈酒）;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</si>
  <si>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密辞</t>
  </si>
  <si>
    <r>
      <t>井</t>
    </r>
    <r>
      <rPr>
        <sz val="11"/>
        <color theme="1"/>
        <rFont val="ＭＳ Ｐゴシック"/>
        <family val="3"/>
        <charset val="134"/>
        <scheme val="minor"/>
      </rPr>
      <t>焕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</si>
  <si>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 xml:space="preserve">葡萄酒; 白酒; 餐后酒（利口酒和烈酒）; 果酒（含酒精）;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青稞酒;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</si>
  <si>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t>LINALUO</t>
  </si>
  <si>
    <r>
      <t>罗</t>
    </r>
    <r>
      <rPr>
        <sz val="11"/>
        <color theme="1"/>
        <rFont val="ＭＳ Ｐゴシック"/>
        <family val="3"/>
        <charset val="128"/>
        <scheme val="minor"/>
      </rPr>
      <t>梦翔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</si>
  <si>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朗姆酒;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</si>
  <si>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粱山川</t>
  </si>
  <si>
    <r>
      <t>苏</t>
    </r>
    <r>
      <rPr>
        <sz val="11"/>
        <color theme="1"/>
        <rFont val="ＭＳ Ｐゴシック"/>
        <family val="3"/>
        <charset val="128"/>
        <scheme val="minor"/>
      </rPr>
      <t>瑞</t>
    </r>
  </si>
  <si>
    <r>
      <t>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</si>
  <si>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秘</t>
    </r>
    <r>
      <rPr>
        <sz val="11"/>
        <color theme="1"/>
        <rFont val="ＭＳ Ｐゴシック"/>
        <family val="3"/>
        <charset val="134"/>
        <scheme val="minor"/>
      </rPr>
      <t>载</t>
    </r>
  </si>
  <si>
    <r>
      <t>潘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</si>
  <si>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</si>
  <si>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涪犇</t>
  </si>
  <si>
    <t>黄学均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</si>
  <si>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威士忌; 米酒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</si>
  <si>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澜驰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</si>
  <si>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春达商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</si>
  <si>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食用酒精; 青稞酒;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</t>
    </r>
  </si>
  <si>
    <t>BUBBLE PLANET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</si>
  <si>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角网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</si>
  <si>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含酒精的气泡水;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葡萄酒</t>
    </r>
  </si>
  <si>
    <t>沂蒙荐</t>
  </si>
  <si>
    <r>
      <t>高</t>
    </r>
    <r>
      <rPr>
        <sz val="11"/>
        <color theme="1"/>
        <rFont val="ＭＳ Ｐゴシック"/>
        <family val="3"/>
        <charset val="134"/>
        <scheme val="minor"/>
      </rPr>
      <t>鸿飞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</si>
  <si>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</t>
    </r>
  </si>
  <si>
    <t>冉林禾土黄牛</t>
  </si>
  <si>
    <r>
      <t>冉桄</t>
    </r>
    <r>
      <rPr>
        <sz val="11"/>
        <color theme="1"/>
        <rFont val="ＭＳ Ｐゴシック"/>
        <family val="3"/>
        <charset val="134"/>
        <scheme val="minor"/>
      </rPr>
      <t>铭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</si>
  <si>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开胃酒; 黄酒; 青稞酒</t>
    </r>
  </si>
  <si>
    <r>
      <t>古稀</t>
    </r>
    <r>
      <rPr>
        <sz val="11"/>
        <color theme="1"/>
        <rFont val="ＭＳ Ｐゴシック"/>
        <family val="3"/>
        <charset val="134"/>
        <scheme val="minor"/>
      </rPr>
      <t>红鲤</t>
    </r>
  </si>
  <si>
    <r>
      <t>深圳</t>
    </r>
    <r>
      <rPr>
        <sz val="11"/>
        <color theme="1"/>
        <rFont val="ＭＳ Ｐゴシック"/>
        <family val="3"/>
        <charset val="134"/>
        <scheme val="minor"/>
      </rPr>
      <t>润玺创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</si>
  <si>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葡萄酒</t>
    </r>
  </si>
  <si>
    <r>
      <t>华记</t>
    </r>
    <r>
      <rPr>
        <sz val="11"/>
        <color theme="1"/>
        <rFont val="ＭＳ Ｐゴシック"/>
        <family val="3"/>
        <charset val="128"/>
        <scheme val="minor"/>
      </rPr>
      <t>黄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</si>
  <si>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莞市九合智包装材料有限公司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</si>
  <si>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高粱酒; 白酒; 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</si>
  <si>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林智</t>
    </r>
    <r>
      <rPr>
        <sz val="11"/>
        <color theme="1"/>
        <rFont val="ＭＳ Ｐゴシック"/>
        <family val="3"/>
        <charset val="134"/>
        <scheme val="minor"/>
      </rPr>
      <t>艺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</si>
  <si>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</si>
  <si>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t>皖清瓷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</si>
  <si>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食用酒精;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</si>
  <si>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粟云液</t>
  </si>
  <si>
    <r>
      <t>宿迁德福酒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</si>
  <si>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白酒; 高粱酒; 食用酒精</t>
    </r>
  </si>
  <si>
    <r>
      <t>淙</t>
    </r>
    <r>
      <rPr>
        <sz val="11"/>
        <color theme="1"/>
        <rFont val="ＭＳ Ｐゴシック"/>
        <family val="3"/>
        <charset val="134"/>
        <scheme val="minor"/>
      </rPr>
      <t>鸣鸣</t>
    </r>
  </si>
  <si>
    <r>
      <t>深圳市焦糖互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</si>
  <si>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果酒（含酒精）; 威士忌;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</si>
  <si>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北京何伊庭科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</si>
  <si>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白酒; 伏特加酒; 威士忌; 米酒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</si>
  <si>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菊</t>
    </r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</si>
  <si>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食用酒精; 果酒（含酒精）</t>
    </r>
  </si>
  <si>
    <r>
      <t>慧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</si>
  <si>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</si>
  <si>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</si>
  <si>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惠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</si>
  <si>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白酒;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</si>
  <si>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彩陶福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</si>
  <si>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州珍沙窖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</si>
  <si>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果酒（含酒精）;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</si>
  <si>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群山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</si>
  <si>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伏特加酒; 果酒（含酒精）; 葡萄酒</t>
    </r>
  </si>
  <si>
    <t>八方大同</t>
  </si>
  <si>
    <r>
      <t>黄酒;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果酒（含酒精）; 清酒（日本米酒）;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</si>
  <si>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宏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未来</t>
    </r>
  </si>
  <si>
    <t>刘春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</si>
  <si>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</si>
  <si>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忘</t>
    </r>
    <r>
      <rPr>
        <sz val="11"/>
        <color theme="1"/>
        <rFont val="ＭＳ Ｐゴシック"/>
        <family val="3"/>
        <charset val="134"/>
        <scheme val="minor"/>
      </rPr>
      <t>尘间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</si>
  <si>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</si>
  <si>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</t>
    </r>
  </si>
  <si>
    <t>佳禾谷多</t>
  </si>
  <si>
    <r>
      <t>北京谷多餐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</si>
  <si>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梨酒; 白酒; 烈酒; 清酒; 果酒</t>
    </r>
  </si>
  <si>
    <t>BARANGLI</t>
  </si>
  <si>
    <r>
      <t>刘玉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</si>
  <si>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威士忌; 果酒; 葡萄酒;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朗姆酒; 白葡萄酒;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</si>
  <si>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天源泰</t>
  </si>
  <si>
    <t>余波</t>
  </si>
  <si>
    <t>果酒; 清酒; 汽酒; 威士忌; 草本型利口酒; 甜酒; 白酒; 米酒; 黄酒; 葡萄酒</t>
  </si>
  <si>
    <t>皇献川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</si>
  <si>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梨酒;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</si>
  <si>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西</t>
    </r>
    <r>
      <rPr>
        <sz val="11"/>
        <color theme="1"/>
        <rFont val="ＭＳ Ｐゴシック"/>
        <family val="3"/>
        <charset val="134"/>
        <scheme val="minor"/>
      </rPr>
      <t>鹤</t>
    </r>
  </si>
  <si>
    <r>
      <t>北京司南互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</si>
  <si>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薄荷酒; 苹果酒; 汽酒;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</si>
  <si>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家酒</t>
    </r>
    <r>
      <rPr>
        <sz val="11"/>
        <color theme="1"/>
        <rFont val="ＭＳ Ｐゴシック"/>
        <family val="3"/>
        <charset val="134"/>
        <scheme val="minor"/>
      </rPr>
      <t>铺</t>
    </r>
  </si>
  <si>
    <t>乐军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</si>
  <si>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清酒（日本米酒）</t>
    </r>
  </si>
  <si>
    <r>
      <t>出</t>
    </r>
    <r>
      <rPr>
        <sz val="11"/>
        <color theme="1"/>
        <rFont val="ＭＳ Ｐゴシック"/>
        <family val="3"/>
        <charset val="134"/>
        <scheme val="minor"/>
      </rPr>
      <t>坝</t>
    </r>
    <r>
      <rPr>
        <sz val="11"/>
        <color theme="1"/>
        <rFont val="ＭＳ Ｐゴシック"/>
        <family val="3"/>
        <charset val="128"/>
        <scheme val="minor"/>
      </rPr>
      <t>河</t>
    </r>
  </si>
  <si>
    <r>
      <t>大邑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大明家庭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</si>
  <si>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青梅酒;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</si>
  <si>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深圳市探索家工</t>
    </r>
    <r>
      <rPr>
        <sz val="11"/>
        <color theme="1"/>
        <rFont val="ＭＳ Ｐゴシック"/>
        <family val="3"/>
        <charset val="134"/>
        <scheme val="minor"/>
      </rPr>
      <t>业设计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</si>
  <si>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威士忌; 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</si>
  <si>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凡汐</t>
    </r>
  </si>
  <si>
    <r>
      <t>赫章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玉婷商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</si>
  <si>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</si>
  <si>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赢</t>
    </r>
    <r>
      <rPr>
        <sz val="11"/>
        <color theme="1"/>
        <rFont val="ＭＳ Ｐゴシック"/>
        <family val="3"/>
        <charset val="128"/>
        <scheme val="minor"/>
      </rPr>
      <t>窖福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</si>
  <si>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</si>
  <si>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漷</t>
    </r>
    <r>
      <rPr>
        <sz val="11"/>
        <color theme="1"/>
        <rFont val="ＭＳ Ｐゴシック"/>
        <family val="3"/>
        <charset val="128"/>
        <scheme val="minor"/>
      </rPr>
      <t>州运河印象</t>
    </r>
  </si>
  <si>
    <r>
      <t>北京</t>
    </r>
    <r>
      <rPr>
        <sz val="11"/>
        <color theme="1"/>
        <rFont val="ＭＳ Ｐゴシック"/>
        <family val="3"/>
        <charset val="129"/>
        <scheme val="minor"/>
      </rPr>
      <t>漷</t>
    </r>
    <r>
      <rPr>
        <sz val="11"/>
        <color theme="1"/>
        <rFont val="ＭＳ Ｐゴシック"/>
        <family val="3"/>
        <charset val="128"/>
        <scheme val="minor"/>
      </rPr>
      <t>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</si>
  <si>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</si>
  <si>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作民</t>
  </si>
  <si>
    <r>
      <t>郑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</si>
  <si>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果酒（含酒精）; 白酒; 黄酒; 食用酒精; 伏特加酒;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</t>
    </r>
  </si>
  <si>
    <t>金邑娓袋鼠</t>
  </si>
  <si>
    <r>
      <t>深圳市智果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</si>
  <si>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清酒; 食用酒精;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</si>
  <si>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始丰溪</t>
  </si>
  <si>
    <r>
      <t>上海滑梯文化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</si>
  <si>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</si>
  <si>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微增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</si>
  <si>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善晟食品有限公司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</si>
  <si>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青梅酒; 朗姆酒; 威士忌; 果酒（含酒精）; 混合威士忌酒;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</si>
  <si>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酒鼎鼎</t>
  </si>
  <si>
    <r>
      <t>北京三航建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</si>
  <si>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果酒（含酒精）; 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</si>
  <si>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知己序</t>
  </si>
  <si>
    <r>
      <t>吴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霞</t>
    </r>
  </si>
  <si>
    <r>
      <t>米酒; 清酒（日本米酒）; 葡萄酒; 黄酒; 梅酒;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</si>
  <si>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西伯爵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</si>
  <si>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黄酒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</si>
  <si>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之将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</si>
  <si>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</si>
  <si>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</si>
  <si>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比俄庄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</si>
  <si>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刺五加酒;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葡萄酒; 汽酒; 白酒; 烈酒; 果酒（含酒精）</t>
    </r>
  </si>
  <si>
    <t>舻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</si>
  <si>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市漫稞日用百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</si>
  <si>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葡萄酒; 黄酒; 清酒（日本米酒）; 薄荷酒; 白酒</t>
    </r>
  </si>
  <si>
    <r>
      <t>涤</t>
    </r>
    <r>
      <rPr>
        <sz val="11"/>
        <color theme="1"/>
        <rFont val="ＭＳ Ｐゴシック"/>
        <family val="3"/>
        <charset val="128"/>
        <scheme val="minor"/>
      </rPr>
      <t>慕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</si>
  <si>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涤</t>
    </r>
    <r>
      <rPr>
        <sz val="11"/>
        <color theme="1"/>
        <rFont val="ＭＳ Ｐゴシック"/>
        <family val="3"/>
        <charset val="128"/>
        <scheme val="minor"/>
      </rPr>
      <t>慕科技有限公司</t>
    </r>
  </si>
  <si>
    <r>
      <t xml:space="preserve">白酒;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</si>
  <si>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食氿坊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</si>
  <si>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酒佳人商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</si>
  <si>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</si>
  <si>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r>
      <t>壹何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隆</t>
    </r>
  </si>
  <si>
    <t>王珏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</si>
  <si>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白葡萄酒; 果酒; 葡萄酒; 混合威士忌酒; 烈酒;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</si>
  <si>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沣农</t>
    </r>
    <r>
      <rPr>
        <sz val="11"/>
        <color theme="1"/>
        <rFont val="ＭＳ Ｐゴシック"/>
        <family val="3"/>
        <charset val="128"/>
        <scheme val="minor"/>
      </rPr>
      <t>好未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</si>
  <si>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庆沣农</t>
    </r>
    <r>
      <rPr>
        <sz val="11"/>
        <color theme="1"/>
        <rFont val="ＭＳ Ｐゴシック"/>
        <family val="3"/>
        <charset val="128"/>
        <scheme val="minor"/>
      </rPr>
      <t>好味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</si>
  <si>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朗姆酒; 食用酒精; 白酒; 开胃酒; 苦味酒; 利口酒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</si>
  <si>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龙腾飞</t>
    </r>
    <r>
      <rPr>
        <sz val="11"/>
        <color theme="1"/>
        <rFont val="ＭＳ Ｐゴシック"/>
        <family val="3"/>
        <charset val="128"/>
        <scheme val="minor"/>
      </rPr>
      <t>·晋</t>
    </r>
    <r>
      <rPr>
        <sz val="11"/>
        <color theme="1"/>
        <rFont val="ＭＳ Ｐゴシック"/>
        <family val="3"/>
        <charset val="134"/>
        <scheme val="minor"/>
      </rPr>
      <t>龙腾飞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</si>
  <si>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东汉</t>
    </r>
    <r>
      <rPr>
        <sz val="11"/>
        <color theme="1"/>
        <rFont val="ＭＳ Ｐゴシック"/>
        <family val="3"/>
        <charset val="128"/>
        <scheme val="minor"/>
      </rPr>
      <t>将成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</si>
  <si>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食用酒精;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</si>
  <si>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维纳</t>
    </r>
    <r>
      <rPr>
        <sz val="11"/>
        <color theme="1"/>
        <rFont val="ＭＳ Ｐゴシック"/>
        <family val="3"/>
        <charset val="128"/>
        <scheme val="minor"/>
      </rPr>
      <t>斯女神 VENUS GODDESS</t>
    </r>
  </si>
  <si>
    <r>
      <t>四川天下</t>
    </r>
    <r>
      <rPr>
        <sz val="11"/>
        <color theme="1"/>
        <rFont val="ＭＳ Ｐゴシック"/>
        <family val="3"/>
        <charset val="134"/>
        <scheme val="minor"/>
      </rPr>
      <t>战</t>
    </r>
    <r>
      <rPr>
        <sz val="11"/>
        <color theme="1"/>
        <rFont val="ＭＳ Ｐゴシック"/>
        <family val="3"/>
        <charset val="128"/>
        <scheme val="minor"/>
      </rPr>
      <t>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</si>
  <si>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</si>
  <si>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鼎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</si>
  <si>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海南杭坤投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</si>
  <si>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</si>
  <si>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寸山居</t>
  </si>
  <si>
    <r>
      <t>天津百年藤国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</si>
  <si>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伏特加酒;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</si>
  <si>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桂天朝</t>
  </si>
  <si>
    <r>
      <t>米酒; 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</si>
  <si>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白匠扳手</t>
  </si>
  <si>
    <r>
      <t>董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太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</si>
  <si>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利口酒; 米酒</t>
    </r>
  </si>
  <si>
    <t>吉滔</t>
  </si>
  <si>
    <t>刘健忠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</si>
  <si>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</si>
  <si>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章道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</si>
  <si>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市江云</t>
    </r>
    <r>
      <rPr>
        <sz val="11"/>
        <color theme="1"/>
        <rFont val="ＭＳ Ｐゴシック"/>
        <family val="3"/>
        <charset val="134"/>
        <scheme val="minor"/>
      </rPr>
      <t>汇贸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</si>
  <si>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</si>
  <si>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器相非凡</t>
  </si>
  <si>
    <r>
      <t>练</t>
    </r>
    <r>
      <rPr>
        <sz val="11"/>
        <color theme="1"/>
        <rFont val="ＭＳ Ｐゴシック"/>
        <family val="3"/>
        <charset val="128"/>
        <scheme val="minor"/>
      </rPr>
      <t>俊柳</t>
    </r>
  </si>
  <si>
    <r>
      <t xml:space="preserve">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果酒（含酒精）</t>
    </r>
  </si>
  <si>
    <r>
      <t>苏龙腾飞</t>
    </r>
    <r>
      <rPr>
        <sz val="11"/>
        <color theme="1"/>
        <rFont val="ＭＳ Ｐゴシック"/>
        <family val="3"/>
        <charset val="128"/>
        <scheme val="minor"/>
      </rPr>
      <t>·蜀</t>
    </r>
    <r>
      <rPr>
        <sz val="11"/>
        <color theme="1"/>
        <rFont val="ＭＳ Ｐゴシック"/>
        <family val="3"/>
        <charset val="134"/>
        <scheme val="minor"/>
      </rPr>
      <t>龙腾飞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</si>
  <si>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食用酒精; 葡萄酒;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</si>
  <si>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湘大嫂</t>
  </si>
  <si>
    <r>
      <t>河南三只象餐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</si>
  <si>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青稞酒; 黄酒; 葡萄酒; 威士忌; 露酒</t>
    </r>
  </si>
  <si>
    <r>
      <t>甲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来</t>
    </r>
    <r>
      <rPr>
        <sz val="11"/>
        <color theme="1"/>
        <rFont val="ＭＳ Ｐゴシック"/>
        <family val="3"/>
        <charset val="134"/>
        <scheme val="minor"/>
      </rPr>
      <t>仪</t>
    </r>
  </si>
  <si>
    <r>
      <t>四川蜀国古坊酒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</si>
  <si>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</t>
    </r>
  </si>
  <si>
    <t>季傅味源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</si>
  <si>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西博客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</si>
  <si>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含酒精的气泡水;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</si>
  <si>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D</t>
  </si>
  <si>
    <r>
      <t>自</t>
    </r>
    <r>
      <rPr>
        <sz val="11"/>
        <color theme="1"/>
        <rFont val="ＭＳ Ｐゴシック"/>
        <family val="3"/>
        <charset val="134"/>
        <scheme val="minor"/>
      </rPr>
      <t>贡盐</t>
    </r>
    <r>
      <rPr>
        <sz val="11"/>
        <color theme="1"/>
        <rFont val="ＭＳ Ｐゴシック"/>
        <family val="3"/>
        <charset val="128"/>
        <scheme val="minor"/>
      </rPr>
      <t>食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</si>
  <si>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蜂蜜酒;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米酒; 薄荷酒; 汽酒; 葡萄酒</t>
    </r>
  </si>
  <si>
    <t>中清天下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</si>
  <si>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</si>
  <si>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HEINEKEN</t>
  </si>
  <si>
    <r>
      <t>喜力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酒厂有限公司</t>
    </r>
  </si>
  <si>
    <r>
      <t>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</si>
  <si>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朗</t>
    </r>
  </si>
  <si>
    <r>
      <t>胡彦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</si>
  <si>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威士忌; 葡萄酒; 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高粱酒;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</si>
  <si>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有容大家</t>
  </si>
  <si>
    <r>
      <t>四川宜昊供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</si>
  <si>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 xml:space="preserve">薄荷酒; 威士忌; 黄酒;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苹果酒</t>
    </r>
  </si>
  <si>
    <t>TOLD</t>
  </si>
  <si>
    <t>浙江麦高品牌管理有限公司</t>
  </si>
  <si>
    <r>
      <t>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</si>
  <si>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不凡大器</t>
  </si>
  <si>
    <r>
      <t>陈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</si>
  <si>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蜂蜜酒; 米酒; 黄酒; 白酒; 果酒（含酒精）; 威士忌; 伏特加酒</t>
    </r>
  </si>
  <si>
    <t>金城易酒批</t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</si>
  <si>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智启明途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</si>
  <si>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</si>
  <si>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吉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来</t>
    </r>
    <r>
      <rPr>
        <sz val="11"/>
        <color theme="1"/>
        <rFont val="ＭＳ Ｐゴシック"/>
        <family val="3"/>
        <charset val="134"/>
        <scheme val="minor"/>
      </rPr>
      <t>仪</t>
    </r>
  </si>
  <si>
    <r>
      <t>果酒（含酒精）;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</si>
  <si>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t>雎卅古</t>
  </si>
  <si>
    <r>
      <t xml:space="preserve">佐餐酒; 伏特加酒; 白干酒（中国白酒）;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露酒</t>
    </r>
  </si>
  <si>
    <t>壹本初</t>
  </si>
  <si>
    <t>潘守志</t>
  </si>
  <si>
    <r>
      <t xml:space="preserve">黄酒; 果酒（含酒精）; 威士忌; 米酒;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水果汽酒; 白酒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</si>
  <si>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</si>
  <si>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步周酒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</si>
  <si>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米酒; 黄酒;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餐后酒（利口酒和烈酒）;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</si>
  <si>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龙腾飞</t>
    </r>
    <r>
      <rPr>
        <sz val="11"/>
        <color theme="1"/>
        <rFont val="ＭＳ Ｐゴシック"/>
        <family val="3"/>
        <charset val="128"/>
        <scheme val="minor"/>
      </rPr>
      <t>·津</t>
    </r>
    <r>
      <rPr>
        <sz val="11"/>
        <color theme="1"/>
        <rFont val="ＭＳ Ｐゴシック"/>
        <family val="3"/>
        <charset val="134"/>
        <scheme val="minor"/>
      </rPr>
      <t>龙腾飞</t>
    </r>
  </si>
  <si>
    <r>
      <t>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</t>
    </r>
  </si>
  <si>
    <t>北同扁氏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</si>
  <si>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舒怡美商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</si>
  <si>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草本型利口酒; 阿蒙蒂拉多白葡萄酒; 甘蔗制烈酒; 加有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 xml:space="preserve">生素的朗姆酒; 白干酒（中国白酒）;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</si>
  <si>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正摩</t>
  </si>
  <si>
    <t>付俊瑞</t>
  </si>
  <si>
    <r>
      <t>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伏特加酒;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</si>
  <si>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馨佩名酒</t>
  </si>
  <si>
    <t>王彬</t>
  </si>
  <si>
    <r>
      <t>葡萄酒;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高粱酒;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</t>
    </r>
  </si>
  <si>
    <t>水利万家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</si>
  <si>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州省青曌酒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</si>
  <si>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开胃酒; 威士忌; 薄荷酒</t>
    </r>
  </si>
  <si>
    <r>
      <t>奇</t>
    </r>
    <r>
      <rPr>
        <sz val="11"/>
        <color theme="1"/>
        <rFont val="ＭＳ Ｐゴシック"/>
        <family val="3"/>
        <charset val="129"/>
        <scheme val="minor"/>
      </rPr>
      <t>喵</t>
    </r>
    <r>
      <rPr>
        <sz val="11"/>
        <color theme="1"/>
        <rFont val="ＭＳ Ｐゴシック"/>
        <family val="3"/>
        <charset val="128"/>
        <scheme val="minor"/>
      </rPr>
      <t>君故事</t>
    </r>
  </si>
  <si>
    <r>
      <t>湖南崇麟网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</si>
  <si>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薄荷酒; 果酒（含酒精）; 葡萄酒;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</si>
  <si>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氿五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人</t>
    </r>
  </si>
  <si>
    <t>祁桂明</t>
  </si>
  <si>
    <r>
      <t>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</si>
  <si>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品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</t>
    </r>
  </si>
  <si>
    <t>于紫微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</si>
  <si>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蜂蜜酒; 食用酒精;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</t>
    </r>
  </si>
  <si>
    <t>勐捧甘潭</t>
  </si>
  <si>
    <r>
      <t>王建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</si>
  <si>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米酒; 白酒; 甘蔗制烈酒; 果酒（含酒精）; 清酒;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</si>
  <si>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萸加熊猫</t>
  </si>
  <si>
    <r>
      <t>佛坪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食品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检测检验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</si>
  <si>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白酒; 蜂蜜酒;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</si>
  <si>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苏</t>
    </r>
    <r>
      <rPr>
        <sz val="11"/>
        <color theme="1"/>
        <rFont val="ＭＳ Ｐゴシック"/>
        <family val="3"/>
        <charset val="129"/>
        <scheme val="minor"/>
      </rPr>
      <t>朵朵</t>
    </r>
  </si>
  <si>
    <t>浦鑫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</si>
  <si>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食用酒精; 汽酒; 葡萄酒</t>
    </r>
  </si>
  <si>
    <t>昌来福</t>
  </si>
  <si>
    <r>
      <t>夏俊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</si>
  <si>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</si>
  <si>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t>无由春堂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</si>
  <si>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和悦庄酒店管理有限公司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</si>
  <si>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</t>
    </r>
  </si>
  <si>
    <r>
      <t>晋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来</t>
    </r>
    <r>
      <rPr>
        <sz val="11"/>
        <color theme="1"/>
        <rFont val="ＭＳ Ｐゴシック"/>
        <family val="3"/>
        <charset val="134"/>
        <scheme val="minor"/>
      </rPr>
      <t>仪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</si>
  <si>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</si>
  <si>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来</t>
    </r>
    <r>
      <rPr>
        <sz val="11"/>
        <color theme="1"/>
        <rFont val="ＭＳ Ｐゴシック"/>
        <family val="3"/>
        <charset val="134"/>
        <scheme val="minor"/>
      </rPr>
      <t>仪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</si>
  <si>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食用酒精; 清酒（日本米酒）</t>
    </r>
  </si>
  <si>
    <r>
      <t>翔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来</t>
    </r>
    <r>
      <rPr>
        <sz val="11"/>
        <color theme="1"/>
        <rFont val="ＭＳ Ｐゴシック"/>
        <family val="3"/>
        <charset val="134"/>
        <scheme val="minor"/>
      </rPr>
      <t>仪</t>
    </r>
  </si>
  <si>
    <r>
      <t>葡萄酒;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</si>
  <si>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二糯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</si>
  <si>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梁平大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白酒有限公司</t>
    </r>
  </si>
  <si>
    <r>
      <t>白干酒（中国白酒）;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食用酒精</t>
    </r>
  </si>
  <si>
    <t>ZHANGXINLI</t>
  </si>
  <si>
    <r>
      <t>深圳桃不是桃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</si>
  <si>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利口酒; 果酒（含酒精）;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</si>
  <si>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 xml:space="preserve">果酒; 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</si>
  <si>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八谷有方</t>
  </si>
  <si>
    <r>
      <t>亳州市恩后堂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</si>
  <si>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利口酒; 黄酒; 果酒; 米酒; 青稞酒;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</si>
  <si>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ASAT</t>
  </si>
  <si>
    <t>吴光江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</si>
  <si>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黄酒; 果酒（含酒精）; 葡萄酒</t>
    </r>
  </si>
  <si>
    <r>
      <t>花校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</si>
  <si>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广州市温暖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</si>
  <si>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</t>
    </r>
  </si>
  <si>
    <t>圣活</t>
  </si>
  <si>
    <r>
      <t>陈</t>
    </r>
    <r>
      <rPr>
        <sz val="11"/>
        <color theme="1"/>
        <rFont val="ＭＳ Ｐゴシック"/>
        <family val="3"/>
        <charset val="128"/>
        <scheme val="minor"/>
      </rPr>
      <t>三平</t>
    </r>
  </si>
  <si>
    <t>葡萄酒; 清酒; 白酒; 果酒; 威士忌; 米酒; 黄酒; 草本型利口酒; 汽酒; 甜酒</t>
  </si>
  <si>
    <r>
      <t>玺</t>
    </r>
    <r>
      <rPr>
        <sz val="11"/>
        <color theme="1"/>
        <rFont val="ＭＳ Ｐゴシック"/>
        <family val="3"/>
        <charset val="128"/>
        <scheme val="minor"/>
      </rPr>
      <t>奥</t>
    </r>
  </si>
  <si>
    <r>
      <t>甜酒; 烈酒; 葡萄酒;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威士忌</t>
    </r>
  </si>
  <si>
    <t>光金亭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</si>
  <si>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浓</t>
    </r>
    <r>
      <rPr>
        <sz val="11"/>
        <color theme="1"/>
        <rFont val="ＭＳ Ｐゴシック"/>
        <family val="3"/>
        <charset val="128"/>
        <scheme val="minor"/>
      </rPr>
      <t>香瑰宝酒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</si>
  <si>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</si>
  <si>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盛地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</si>
  <si>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邦康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</si>
  <si>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梅酒;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烈酒</t>
    </r>
  </si>
  <si>
    <r>
      <t>餐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兄</t>
    </r>
  </si>
  <si>
    <r>
      <t>都江堰宝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佳餐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</si>
  <si>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葡萄酒; 蜂蜜酒;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</si>
  <si>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秦韵七仔</t>
  </si>
  <si>
    <r>
      <t>白酒;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蜂蜜酒</t>
    </r>
  </si>
  <si>
    <r>
      <t>老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来</t>
    </r>
    <r>
      <rPr>
        <sz val="11"/>
        <color theme="1"/>
        <rFont val="ＭＳ Ｐゴシック"/>
        <family val="3"/>
        <charset val="134"/>
        <scheme val="minor"/>
      </rPr>
      <t>仪</t>
    </r>
    <r>
      <rPr>
        <sz val="11"/>
        <color theme="1"/>
        <rFont val="ＭＳ Ｐゴシック"/>
        <family val="3"/>
        <charset val="128"/>
        <scheme val="minor"/>
      </rPr>
      <t>·老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来</t>
    </r>
    <r>
      <rPr>
        <sz val="11"/>
        <color theme="1"/>
        <rFont val="ＭＳ Ｐゴシック"/>
        <family val="3"/>
        <charset val="134"/>
        <scheme val="minor"/>
      </rPr>
      <t>仪</t>
    </r>
  </si>
  <si>
    <r>
      <t>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食用酒精; 果酒（含酒精）; 葡萄酒</t>
    </r>
  </si>
  <si>
    <r>
      <t>玺凤</t>
    </r>
    <r>
      <rPr>
        <sz val="11"/>
        <color theme="1"/>
        <rFont val="ＭＳ Ｐゴシック"/>
        <family val="3"/>
        <charset val="128"/>
        <scheme val="minor"/>
      </rPr>
      <t>来</t>
    </r>
    <r>
      <rPr>
        <sz val="11"/>
        <color theme="1"/>
        <rFont val="ＭＳ Ｐゴシック"/>
        <family val="3"/>
        <charset val="134"/>
        <scheme val="minor"/>
      </rPr>
      <t>仪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</si>
  <si>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果酒（含酒精）</t>
    </r>
  </si>
  <si>
    <t>仰彩坊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</si>
  <si>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食用酒精;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</si>
  <si>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骊</t>
    </r>
    <r>
      <rPr>
        <sz val="11"/>
        <color theme="1"/>
        <rFont val="ＭＳ Ｐゴシック"/>
        <family val="3"/>
        <charset val="128"/>
        <scheme val="minor"/>
      </rPr>
      <t>珠夏怡</t>
    </r>
  </si>
  <si>
    <r>
      <t>北京青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士其文化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</si>
  <si>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黄酒;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草本型利口酒;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烈酒;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</si>
  <si>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胶韵秋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</si>
  <si>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草本型利口酒;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高粱酒; 白干酒（中国白酒）; 果酒（含酒精）;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</t>
    </r>
  </si>
  <si>
    <r>
      <t>隆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</si>
  <si>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善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</si>
  <si>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威士忌;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</si>
  <si>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泉述</t>
  </si>
  <si>
    <r>
      <t>莫玉</t>
    </r>
    <r>
      <rPr>
        <sz val="11"/>
        <color theme="1"/>
        <rFont val="ＭＳ Ｐゴシック"/>
        <family val="3"/>
        <charset val="134"/>
        <scheme val="minor"/>
      </rPr>
      <t>钊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</si>
  <si>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威士忌;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清酒（日本米酒）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</si>
  <si>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婵</t>
    </r>
  </si>
  <si>
    <r>
      <t>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</si>
  <si>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TUSNALGUITAS</t>
  </si>
  <si>
    <r>
      <t>宝德加·</t>
    </r>
    <r>
      <rPr>
        <sz val="11"/>
        <color theme="1"/>
        <rFont val="ＭＳ Ｐゴシック"/>
        <family val="3"/>
        <charset val="134"/>
        <scheme val="minor"/>
      </rPr>
      <t>韦</t>
    </r>
    <r>
      <rPr>
        <sz val="11"/>
        <color theme="1"/>
        <rFont val="ＭＳ Ｐゴシック"/>
        <family val="3"/>
        <charset val="128"/>
        <scheme val="minor"/>
      </rPr>
      <t>尼多·阿圭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</si>
  <si>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糜藏瑞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</si>
  <si>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鄯善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梦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食品商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</si>
  <si>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食用酒精;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</si>
  <si>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给</t>
    </r>
  </si>
  <si>
    <t>罗庆华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</si>
  <si>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</si>
  <si>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涮掌柜</t>
  </si>
  <si>
    <r>
      <t>北京数字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智能科技有限公司</t>
    </r>
  </si>
  <si>
    <r>
      <t xml:space="preserve">汽酒; 清酒;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</si>
  <si>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梁辰大吉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</si>
  <si>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开胃酒; 葡萄酒;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</si>
  <si>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魂赤子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</si>
  <si>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敏</t>
    </r>
  </si>
  <si>
    <r>
      <t>食用酒精;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米酒;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</t>
    </r>
  </si>
  <si>
    <t>粟民同醉</t>
  </si>
  <si>
    <r>
      <t>邹</t>
    </r>
    <r>
      <rPr>
        <sz val="11"/>
        <color theme="1"/>
        <rFont val="ＭＳ Ｐゴシック"/>
        <family val="3"/>
        <charset val="128"/>
        <scheme val="minor"/>
      </rPr>
      <t>友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</si>
  <si>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朗姆酒;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蜂蜜酒; 清酒（日本米酒）</t>
    </r>
  </si>
  <si>
    <t>楼台梦</t>
  </si>
  <si>
    <r>
      <t>黄敏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</si>
  <si>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开胃酒; 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清酒（日本米酒）;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</si>
  <si>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群花制</t>
    </r>
    <r>
      <rPr>
        <sz val="11"/>
        <color theme="1"/>
        <rFont val="ＭＳ Ｐゴシック"/>
        <family val="3"/>
        <charset val="134"/>
        <scheme val="minor"/>
      </rPr>
      <t>药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</si>
  <si>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士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</si>
  <si>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</si>
  <si>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云外客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</si>
  <si>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东润</t>
    </r>
    <r>
      <rPr>
        <sz val="11"/>
        <color theme="1"/>
        <rFont val="ＭＳ Ｐゴシック"/>
        <family val="3"/>
        <charset val="128"/>
        <scheme val="minor"/>
      </rPr>
      <t>达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</si>
  <si>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</si>
  <si>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杏天呈运</t>
  </si>
  <si>
    <r>
      <t>闫</t>
    </r>
    <r>
      <rPr>
        <sz val="11"/>
        <color theme="1"/>
        <rFont val="ＭＳ Ｐゴシック"/>
        <family val="3"/>
        <charset val="128"/>
        <scheme val="minor"/>
      </rPr>
      <t>冠逸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</si>
  <si>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汽酒; 开胃酒; 果酒（含酒精）;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</si>
  <si>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SHEN SHI · QILING</t>
  </si>
  <si>
    <t>山西蜃世奇灵生物科技有限公司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</si>
  <si>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烈酒; 黄酒; 白干酒（中国白酒）; 露酒;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</si>
  <si>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七彩秦川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</si>
  <si>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西秦川酒酒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</si>
  <si>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蜂蜜酒;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</si>
  <si>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百人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</si>
  <si>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</si>
  <si>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</si>
  <si>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总顾</t>
    </r>
    <r>
      <rPr>
        <sz val="11"/>
        <color theme="1"/>
        <rFont val="ＭＳ Ｐゴシック"/>
        <family val="3"/>
        <charset val="128"/>
        <scheme val="minor"/>
      </rPr>
      <t>李珏保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</si>
  <si>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昉阿保京</t>
    </r>
    <r>
      <rPr>
        <sz val="11"/>
        <color theme="1"/>
        <rFont val="ＭＳ Ｐゴシック"/>
        <family val="3"/>
        <charset val="134"/>
        <scheme val="minor"/>
      </rPr>
      <t>迈贸</t>
    </r>
    <r>
      <rPr>
        <sz val="11"/>
        <color theme="1"/>
        <rFont val="ＭＳ Ｐゴシック"/>
        <family val="3"/>
        <charset val="128"/>
        <scheme val="minor"/>
      </rPr>
      <t>易（湖北）有限公司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</si>
  <si>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清酒（日本米酒）;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</si>
  <si>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壶</t>
    </r>
    <r>
      <rPr>
        <sz val="11"/>
        <color theme="1"/>
        <rFont val="ＭＳ Ｐゴシック"/>
        <family val="3"/>
        <charset val="128"/>
        <scheme val="minor"/>
      </rPr>
      <t>中唐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</si>
  <si>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清酒（日本米酒）; 果酒（含酒精）; 开胃酒; 黄酒; 白酒; 烈酒;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</si>
  <si>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蜃世奇灵</t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</si>
  <si>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白干酒（中国白酒）; 开胃酒; 烈酒;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高粱酒</t>
    </r>
  </si>
  <si>
    <r>
      <t>趋势</t>
    </r>
    <r>
      <rPr>
        <sz val="11"/>
        <color theme="1"/>
        <rFont val="ＭＳ Ｐゴシック"/>
        <family val="3"/>
        <charset val="128"/>
        <scheme val="minor"/>
      </rPr>
      <t>巡航</t>
    </r>
  </si>
  <si>
    <r>
      <t>田</t>
    </r>
    <r>
      <rPr>
        <sz val="11"/>
        <color theme="1"/>
        <rFont val="ＭＳ Ｐゴシック"/>
        <family val="3"/>
        <charset val="134"/>
        <scheme val="minor"/>
      </rPr>
      <t>刚</t>
    </r>
    <r>
      <rPr>
        <sz val="11"/>
        <color theme="1"/>
        <rFont val="ＭＳ Ｐゴシック"/>
        <family val="3"/>
        <charset val="128"/>
        <scheme val="minor"/>
      </rPr>
      <t>耀</t>
    </r>
  </si>
  <si>
    <r>
      <t xml:space="preserve">果酒（含酒精）;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</si>
  <si>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溢品惊人</t>
  </si>
  <si>
    <r>
      <t>赵</t>
    </r>
    <r>
      <rPr>
        <sz val="11"/>
        <color theme="1"/>
        <rFont val="ＭＳ Ｐゴシック"/>
        <family val="3"/>
        <charset val="128"/>
        <scheme val="minor"/>
      </rPr>
      <t>景婷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</si>
  <si>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果酒（含酒精）; 米酒;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</si>
  <si>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京西儒藏</t>
  </si>
  <si>
    <r>
      <t>北京京西万寿食品供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</si>
  <si>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</si>
  <si>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</si>
  <si>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YEAH I DO YES I DO 一世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多</t>
    </r>
  </si>
  <si>
    <t>肖桂芳</t>
  </si>
  <si>
    <r>
      <t xml:space="preserve">白酒; 日本梅子酒;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含酒精的气泡水; 朗姆酒</t>
    </r>
  </si>
  <si>
    <r>
      <t>乐荟</t>
    </r>
    <r>
      <rPr>
        <sz val="11"/>
        <color theme="1"/>
        <rFont val="ＭＳ Ｐゴシック"/>
        <family val="3"/>
        <charset val="128"/>
        <scheme val="minor"/>
      </rPr>
      <t>谷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</si>
  <si>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西南</t>
    </r>
    <r>
      <rPr>
        <sz val="11"/>
        <color theme="1"/>
        <rFont val="ＭＳ Ｐゴシック"/>
        <family val="3"/>
        <charset val="134"/>
        <scheme val="minor"/>
      </rPr>
      <t>飞鸿实业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</si>
  <si>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</si>
  <si>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奇灵蜃世</t>
  </si>
  <si>
    <r>
      <t>黄酒; 烈酒;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开胃酒;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</si>
  <si>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r>
      <t>崂</t>
    </r>
    <r>
      <rPr>
        <sz val="11"/>
        <color theme="1"/>
        <rFont val="ＭＳ Ｐゴシック"/>
        <family val="3"/>
        <charset val="128"/>
        <scheme val="minor"/>
      </rPr>
      <t>鼎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涎春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</si>
  <si>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太和春酒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</si>
  <si>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甜酒; 白酒; 高粱酒;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</si>
  <si>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SHENSHI·QILING</t>
  </si>
  <si>
    <r>
      <t>白酒; 白干酒（中国白酒）; 高粱酒; 开胃酒; 烈酒;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</si>
  <si>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清花</t>
    </r>
  </si>
  <si>
    <t>董震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</si>
  <si>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黄酒;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</si>
  <si>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九忘</t>
    </r>
    <r>
      <rPr>
        <sz val="11"/>
        <color theme="1"/>
        <rFont val="ＭＳ Ｐゴシック"/>
        <family val="3"/>
        <charset val="134"/>
        <scheme val="minor"/>
      </rPr>
      <t>尘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</si>
  <si>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开胃酒; 清酒（日本米酒）;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</si>
  <si>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众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月湖</t>
    </r>
  </si>
  <si>
    <t>宁波月湖文化研究院</t>
  </si>
  <si>
    <r>
      <t>果酒;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烈酒</t>
    </r>
  </si>
  <si>
    <t>正易峰</t>
  </si>
  <si>
    <r>
      <t>石家庄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建商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</si>
  <si>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果酒; 米酒; 葡萄酒</t>
    </r>
  </si>
  <si>
    <t>洪宝易康</t>
  </si>
  <si>
    <r>
      <t>顾</t>
    </r>
    <r>
      <rPr>
        <sz val="11"/>
        <color theme="1"/>
        <rFont val="ＭＳ Ｐゴシック"/>
        <family val="3"/>
        <charset val="128"/>
        <scheme val="minor"/>
      </rPr>
      <t>浩然</t>
    </r>
  </si>
  <si>
    <r>
      <t>葡萄酒; 梨酒;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利口酒;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</si>
  <si>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渔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觅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</si>
  <si>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春城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</si>
  <si>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白酒; 开胃酒; 黄酒; 水果汽酒;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威士忌</t>
    </r>
  </si>
  <si>
    <r>
      <t>中子国</t>
    </r>
    <r>
      <rPr>
        <sz val="11"/>
        <color theme="1"/>
        <rFont val="ＭＳ Ｐゴシック"/>
        <family val="3"/>
        <charset val="134"/>
        <scheme val="minor"/>
      </rPr>
      <t>际实业</t>
    </r>
    <r>
      <rPr>
        <sz val="11"/>
        <color theme="1"/>
        <rFont val="ＭＳ Ｐゴシック"/>
        <family val="3"/>
        <charset val="128"/>
        <scheme val="minor"/>
      </rPr>
      <t>控股（广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</si>
  <si>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草莓酒;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苦艾酒; 薄荷酒</t>
    </r>
  </si>
  <si>
    <r>
      <t>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高粱酒; 露酒</t>
    </r>
  </si>
  <si>
    <t>灵奇蜃世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</si>
  <si>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白干酒（中国白酒）; 露酒;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烈酒; 开胃酒; 白酒; 高粱酒</t>
    </r>
  </si>
  <si>
    <t>赤乾水</t>
  </si>
  <si>
    <r>
      <t>清酒（日本米酒）;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开胃酒;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</si>
  <si>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陶都刘邦</t>
  </si>
  <si>
    <r>
      <t>菏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市定陶区陶都酒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</si>
  <si>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黄酒; 利口酒</t>
    </r>
  </si>
  <si>
    <t>蜃氏奇灵</t>
  </si>
  <si>
    <r>
      <t>烈酒; 高粱酒; 开胃酒;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白干酒（中国白酒）</t>
    </r>
  </si>
  <si>
    <r>
      <t>上海震一餐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</si>
  <si>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</si>
  <si>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宴虹</t>
  </si>
  <si>
    <r>
      <t>石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</si>
  <si>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威士忌; 食用酒精;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葡萄酒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</si>
  <si>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万皇</t>
    </r>
  </si>
  <si>
    <r>
      <t>漯河茅五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</si>
  <si>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果酒（含酒精）; 葡萄酒</t>
    </r>
  </si>
  <si>
    <t>徽蟹航</t>
  </si>
  <si>
    <r>
      <t>上海徽蟹航国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</si>
  <si>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</t>
    </r>
  </si>
  <si>
    <t>凰帝君</t>
  </si>
  <si>
    <r>
      <t>洛阳市洛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区</t>
    </r>
    <r>
      <rPr>
        <sz val="11"/>
        <color theme="1"/>
        <rFont val="ＭＳ Ｐゴシック"/>
        <family val="3"/>
        <charset val="134"/>
        <scheme val="minor"/>
      </rPr>
      <t>祯</t>
    </r>
    <r>
      <rPr>
        <sz val="11"/>
        <color theme="1"/>
        <rFont val="ＭＳ Ｐゴシック"/>
        <family val="3"/>
        <charset val="128"/>
        <scheme val="minor"/>
      </rPr>
      <t>宜百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</si>
  <si>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</si>
  <si>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成</t>
    </r>
  </si>
  <si>
    <r>
      <t xml:space="preserve">清酒; 蜂蜜酒;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开胃酒; 白酒</t>
    </r>
  </si>
  <si>
    <r>
      <t>涿林</t>
    </r>
    <r>
      <rPr>
        <sz val="11"/>
        <color theme="1"/>
        <rFont val="ＭＳ Ｐゴシック"/>
        <family val="3"/>
        <charset val="134"/>
        <scheme val="minor"/>
      </rPr>
      <t>岛</t>
    </r>
  </si>
  <si>
    <t>王占昌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</si>
  <si>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</t>
    </r>
  </si>
  <si>
    <t>糜韵瑰宝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</si>
  <si>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葡萄酒; 白酒; 果酒（含酒精）; 黄酒; 食用酒精; 青稞酒</t>
    </r>
  </si>
  <si>
    <t>福宸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</si>
  <si>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白酒; 米酒; 黄酒;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</si>
  <si>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晋</t>
    </r>
    <r>
      <rPr>
        <sz val="11"/>
        <color theme="1"/>
        <rFont val="ＭＳ Ｐゴシック"/>
        <family val="3"/>
        <charset val="134"/>
        <scheme val="minor"/>
      </rPr>
      <t>阗</t>
    </r>
  </si>
  <si>
    <r>
      <t>狂</t>
    </r>
    <r>
      <rPr>
        <sz val="11"/>
        <color theme="1"/>
        <rFont val="ＭＳ Ｐゴシック"/>
        <family val="3"/>
        <charset val="134"/>
        <scheme val="minor"/>
      </rPr>
      <t>飙</t>
    </r>
    <r>
      <rPr>
        <sz val="11"/>
        <color theme="1"/>
        <rFont val="ＭＳ Ｐゴシック"/>
        <family val="3"/>
        <charset val="128"/>
        <scheme val="minor"/>
      </rPr>
      <t>（焦作）供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</si>
  <si>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黄酒;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</si>
  <si>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潭古老</t>
  </si>
  <si>
    <t>董雷</t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</si>
  <si>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黄酒</t>
    </r>
  </si>
  <si>
    <r>
      <t>叙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唐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</si>
  <si>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开胃酒; 葡萄酒; 黄酒; 白酒; 烈酒</t>
    </r>
  </si>
  <si>
    <t>广楙</t>
  </si>
  <si>
    <r>
      <t>广安篆水洞藏酒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</si>
  <si>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蜂蜜酒;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开胃酒</t>
    </r>
  </si>
  <si>
    <r>
      <t>拨动岁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</si>
  <si>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安徽零滴酒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</si>
  <si>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露酒;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食用酒精</t>
    </r>
  </si>
  <si>
    <r>
      <t>后套卓</t>
    </r>
    <r>
      <rPr>
        <sz val="11"/>
        <color theme="1"/>
        <rFont val="ＭＳ Ｐゴシック"/>
        <family val="3"/>
        <charset val="134"/>
        <scheme val="minor"/>
      </rPr>
      <t>玛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</si>
  <si>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白酒; 清酒（日本米酒）</t>
    </r>
  </si>
  <si>
    <r>
      <t>汾藏迎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</si>
  <si>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</si>
  <si>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春邀醉</t>
  </si>
  <si>
    <t>董娟娟******************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</si>
  <si>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果酒（含酒精）;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高粱酒; 烈酒; 开胃酒; 白干酒（中国白酒）</t>
    </r>
  </si>
  <si>
    <t>UNRULY</t>
  </si>
  <si>
    <r>
      <t>安思一科技（北京）集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</si>
  <si>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</si>
  <si>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</si>
  <si>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燕隆号</t>
  </si>
  <si>
    <t>路志向</t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</si>
  <si>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威士忌; 烈酒</t>
    </r>
  </si>
  <si>
    <t>未争</t>
  </si>
  <si>
    <r>
      <t>米酒; 果酒; 葡萄酒; 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</si>
  <si>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台小</t>
    </r>
    <r>
      <rPr>
        <sz val="11"/>
        <color theme="1"/>
        <rFont val="ＭＳ Ｐゴシック"/>
        <family val="3"/>
        <charset val="134"/>
        <scheme val="minor"/>
      </rPr>
      <t>帅</t>
    </r>
  </si>
  <si>
    <t>高国蒙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</si>
  <si>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</si>
  <si>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草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主</t>
    </r>
  </si>
  <si>
    <t>北京醒慕生物科技有限公司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</si>
  <si>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</t>
    </r>
  </si>
  <si>
    <r>
      <t>黔三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</si>
  <si>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韦</t>
    </r>
    <r>
      <rPr>
        <sz val="11"/>
        <color theme="1"/>
        <rFont val="ＭＳ Ｐゴシック"/>
        <family val="3"/>
        <charset val="128"/>
        <scheme val="minor"/>
      </rPr>
      <t>德果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</si>
  <si>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开胃酒; 黄酒</t>
    </r>
  </si>
  <si>
    <t>壮翁</t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</si>
  <si>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黄酒; 白酒;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</si>
  <si>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霸古今</t>
    </r>
  </si>
  <si>
    <t>章欣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</si>
  <si>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果酒（含酒精）; 汽酒; 清酒（日本米酒）; 威士忌;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</si>
  <si>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聚仁台</t>
  </si>
  <si>
    <r>
      <t xml:space="preserve">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</si>
  <si>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首</t>
    </r>
    <r>
      <rPr>
        <sz val="11"/>
        <color theme="1"/>
        <rFont val="ＭＳ Ｐゴシック"/>
        <family val="3"/>
        <charset val="134"/>
        <scheme val="minor"/>
      </rPr>
      <t>腾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</si>
  <si>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龙华腾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</si>
  <si>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食用酒精; 白酒; 烈酒; 果酒; 甜酒;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</si>
  <si>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彝佬俵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化香</t>
    </r>
  </si>
  <si>
    <t>程国君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</si>
  <si>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</si>
  <si>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邵青</t>
  </si>
  <si>
    <t>湖南邵青酒有限公司</t>
  </si>
  <si>
    <r>
      <t xml:space="preserve">白酒; 青稞酒;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甜酒; 清酒; 高粱酒</t>
    </r>
  </si>
  <si>
    <t>随成</t>
  </si>
  <si>
    <r>
      <t>烟台云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科技工程有限公司</t>
    </r>
  </si>
  <si>
    <r>
      <t>水果汽酒;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米酒; 葡萄酒; 黄酒; 清酒; 白酒; 含酒精蛋奶酒</t>
    </r>
  </si>
  <si>
    <r>
      <t>卤</t>
    </r>
    <r>
      <rPr>
        <sz val="11"/>
        <color theme="1"/>
        <rFont val="ＭＳ Ｐゴシック"/>
        <family val="3"/>
        <charset val="128"/>
        <scheme val="minor"/>
      </rPr>
      <t>裕源</t>
    </r>
  </si>
  <si>
    <r>
      <t>南通百味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</si>
  <si>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</si>
  <si>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淇宴</t>
  </si>
  <si>
    <r>
      <t>鹤</t>
    </r>
    <r>
      <rPr>
        <sz val="11"/>
        <color theme="1"/>
        <rFont val="ＭＳ Ｐゴシック"/>
        <family val="3"/>
        <charset val="128"/>
        <scheme val="minor"/>
      </rPr>
      <t>壁市淇宴商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</si>
  <si>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汽酒</t>
    </r>
  </si>
  <si>
    <t>北京京庭酒店有限公司</t>
  </si>
  <si>
    <r>
      <t>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</si>
  <si>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唐米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</si>
  <si>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西安唐米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</si>
  <si>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清酒; 黄酒; 青稞酒;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伏特加酒; 白酒; 果酒（含酒精）; 米酒; 葡萄酒</t>
    </r>
  </si>
  <si>
    <t>瀑月泉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</si>
  <si>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州乾坤健康咨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</si>
  <si>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开胃酒;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</si>
  <si>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房二山</t>
  </si>
  <si>
    <r>
      <t>北京思源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</si>
  <si>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</si>
  <si>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鼎王者</t>
  </si>
  <si>
    <t>王法旺</t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</si>
  <si>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</si>
  <si>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福迎将</t>
  </si>
  <si>
    <r>
      <t>钟</t>
    </r>
    <r>
      <rPr>
        <sz val="11"/>
        <color theme="1"/>
        <rFont val="ＭＳ Ｐゴシック"/>
        <family val="3"/>
        <charset val="128"/>
        <scheme val="minor"/>
      </rPr>
      <t>彦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</si>
  <si>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</t>
    </r>
  </si>
  <si>
    <r>
      <t>蔡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翁</t>
    </r>
  </si>
  <si>
    <r>
      <t>耒阳市</t>
    </r>
    <r>
      <rPr>
        <sz val="11"/>
        <color theme="1"/>
        <rFont val="ＭＳ Ｐゴシック"/>
        <family val="3"/>
        <charset val="134"/>
        <scheme val="minor"/>
      </rPr>
      <t>诚创</t>
    </r>
    <r>
      <rPr>
        <sz val="11"/>
        <color theme="1"/>
        <rFont val="ＭＳ Ｐゴシック"/>
        <family val="3"/>
        <charset val="128"/>
        <scheme val="minor"/>
      </rPr>
      <t>文化科技有限公司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</si>
  <si>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薄荷酒;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梅酒; 葡萄酒; 果酒（含酒精）; 米酒</t>
    </r>
  </si>
  <si>
    <t>遇言泉口粮</t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</si>
  <si>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言泉酒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</si>
  <si>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开胃酒; 高粱酒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</si>
  <si>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星</t>
    </r>
  </si>
  <si>
    <r>
      <t>王政</t>
    </r>
    <r>
      <rPr>
        <sz val="11"/>
        <color theme="1"/>
        <rFont val="ＭＳ Ｐゴシック"/>
        <family val="3"/>
        <charset val="134"/>
        <scheme val="minor"/>
      </rPr>
      <t>备</t>
    </r>
  </si>
  <si>
    <r>
      <t xml:space="preserve">食用酒精; 果酒（含酒精）;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</t>
    </r>
  </si>
  <si>
    <t>沁云川</t>
  </si>
  <si>
    <t>深圳市胡杰金科技有限公司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</si>
  <si>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</t>
    </r>
  </si>
  <si>
    <r>
      <t>西双版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云博水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养殖开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</si>
  <si>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酸酒（低等葡萄酒）; 葡萄酒; 果酒; 蜂蜜酒;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</si>
  <si>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ATIQ</t>
  </si>
  <si>
    <r>
      <t>圣拉斐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葡萄酒有限公司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</si>
  <si>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甘蔗制烈酒;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</si>
  <si>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米酒</t>
    </r>
  </si>
  <si>
    <t>谷中帝</t>
  </si>
  <si>
    <t>王文青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</si>
  <si>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</si>
  <si>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绅势汉</t>
  </si>
  <si>
    <t>郭双奇</t>
  </si>
  <si>
    <r>
      <t>伏特加酒;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黄酒;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</si>
  <si>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聚宝匠心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</si>
  <si>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果酒; 高粱酒; 露酒; 白酒; 烈酒; 白干酒（中国白酒）;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</si>
  <si>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鹅</t>
    </r>
    <r>
      <rPr>
        <sz val="11"/>
        <color theme="1"/>
        <rFont val="ＭＳ Ｐゴシック"/>
        <family val="3"/>
        <charset val="128"/>
        <scheme val="minor"/>
      </rPr>
      <t>牴牛</t>
    </r>
  </si>
  <si>
    <r>
      <t>闫</t>
    </r>
    <r>
      <rPr>
        <sz val="11"/>
        <color theme="1"/>
        <rFont val="ＭＳ Ｐゴシック"/>
        <family val="3"/>
        <charset val="128"/>
        <scheme val="minor"/>
      </rPr>
      <t>国言</t>
    </r>
  </si>
  <si>
    <r>
      <t xml:space="preserve">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食用酒精; 青稞酒;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</si>
  <si>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洵福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</si>
  <si>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</si>
  <si>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玉妹</t>
  </si>
  <si>
    <r>
      <t>邓</t>
    </r>
    <r>
      <rPr>
        <sz val="11"/>
        <color theme="1"/>
        <rFont val="ＭＳ Ｐゴシック"/>
        <family val="3"/>
        <charset val="128"/>
        <scheme val="minor"/>
      </rPr>
      <t>胡梅</t>
    </r>
  </si>
  <si>
    <r>
      <t>米酒; 甜酒; 食用酒精; 黄酒;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开胃酒; 葡萄酒</t>
    </r>
  </si>
  <si>
    <t>宝匠心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</si>
  <si>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开胃酒; 葡萄酒; 白酒</t>
    </r>
  </si>
  <si>
    <r>
      <t>佬友</t>
    </r>
    <r>
      <rPr>
        <sz val="11"/>
        <color theme="1"/>
        <rFont val="ＭＳ Ｐゴシック"/>
        <family val="3"/>
        <charset val="134"/>
        <scheme val="minor"/>
      </rPr>
      <t>欢</t>
    </r>
  </si>
  <si>
    <t>王广平</t>
  </si>
  <si>
    <r>
      <t>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</si>
  <si>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斖</t>
    </r>
    <r>
      <rPr>
        <sz val="11"/>
        <color theme="1"/>
        <rFont val="ＭＳ Ｐゴシック"/>
        <family val="3"/>
        <charset val="128"/>
        <scheme val="minor"/>
      </rPr>
      <t>水窖</t>
    </r>
  </si>
  <si>
    <t>叶彦岑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</si>
  <si>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蒸煮提取物（利口酒和烈酒）; 葡萄酒; 高粱酒; 果酒（含酒精）</t>
    </r>
  </si>
  <si>
    <t>本香溢</t>
  </si>
  <si>
    <r>
      <t>诸</t>
    </r>
    <r>
      <rPr>
        <sz val="11"/>
        <color theme="1"/>
        <rFont val="ＭＳ Ｐゴシック"/>
        <family val="3"/>
        <charset val="129"/>
        <scheme val="minor"/>
      </rPr>
      <t>暨</t>
    </r>
    <r>
      <rPr>
        <sz val="11"/>
        <color theme="1"/>
        <rFont val="ＭＳ Ｐゴシック"/>
        <family val="3"/>
        <charset val="128"/>
        <scheme val="minor"/>
      </rPr>
      <t>市同山香溢酒作坊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</si>
  <si>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清酒</t>
    </r>
  </si>
  <si>
    <t>玄魁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</si>
  <si>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西正众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合科技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</si>
  <si>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加烈葡萄酒;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烈性干酒; 白干酒（中国白酒）;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</si>
  <si>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DOYONSHOW</t>
  </si>
  <si>
    <r>
      <t>潍</t>
    </r>
    <r>
      <rPr>
        <sz val="11"/>
        <color theme="1"/>
        <rFont val="ＭＳ Ｐゴシック"/>
        <family val="3"/>
        <charset val="128"/>
        <scheme val="minor"/>
      </rPr>
      <t>坊雅琳菲娜化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</si>
  <si>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果酒;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高粱酒; 甜酒</t>
    </r>
  </si>
  <si>
    <t>大物小事</t>
  </si>
  <si>
    <t>涂彪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</si>
  <si>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</si>
  <si>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方命</t>
    </r>
  </si>
  <si>
    <r>
      <t>华扬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展</t>
    </r>
    <r>
      <rPr>
        <sz val="11"/>
        <color theme="1"/>
        <rFont val="ＭＳ Ｐゴシック"/>
        <family val="3"/>
        <charset val="134"/>
        <scheme val="minor"/>
      </rPr>
      <t>览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</si>
  <si>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麦芽威士忌;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威士忌; 朗姆酒;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</si>
  <si>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醇搬</t>
  </si>
  <si>
    <t>王海波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</si>
  <si>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薄荷酒; 开胃酒; 蜂蜜酒; 白酒; 伏特加酒; 威士忌</t>
    </r>
  </si>
  <si>
    <t>FUING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</si>
  <si>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福瀛建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</si>
  <si>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朗姆酒; 葡萄酒; 清酒（日本米酒）; 苦味酒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</si>
  <si>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路壹号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</si>
  <si>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神</t>
    </r>
    <r>
      <rPr>
        <sz val="11"/>
        <color theme="1"/>
        <rFont val="ＭＳ Ｐゴシック"/>
        <family val="3"/>
        <charset val="134"/>
        <scheme val="minor"/>
      </rPr>
      <t>赐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</si>
  <si>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米酒; 果酒（含酒精）; 葡萄酒;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</si>
  <si>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炽凤</t>
  </si>
  <si>
    <t>蔡球园</t>
  </si>
  <si>
    <r>
      <t>白酒; 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清酒（日本米酒）</t>
    </r>
  </si>
  <si>
    <r>
      <t>聚宝之</t>
    </r>
    <r>
      <rPr>
        <sz val="11"/>
        <color theme="1"/>
        <rFont val="ＭＳ Ｐゴシック"/>
        <family val="3"/>
        <charset val="134"/>
        <scheme val="minor"/>
      </rPr>
      <t>约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</si>
  <si>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白干酒（中国白酒）; 果酒; 高粱酒; 烈酒; 露酒; 葡萄酒; 白酒</t>
    </r>
  </si>
  <si>
    <r>
      <t>深圳市美邦运通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</si>
  <si>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伏特加酒;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</t>
    </r>
  </si>
  <si>
    <t>依云坡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</si>
  <si>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云野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村旅游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</si>
  <si>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</si>
  <si>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唐六礼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</si>
  <si>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西皓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</si>
  <si>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餐后酒（利口酒和烈酒）;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甜酒</t>
    </r>
  </si>
  <si>
    <r>
      <t>惜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</si>
  <si>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四川省惜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</si>
  <si>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朗姆酒; 开胃酒;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伏特加酒; 白酒</t>
    </r>
  </si>
  <si>
    <t>二刻幸事</t>
  </si>
  <si>
    <r>
      <t>陈祯</t>
    </r>
    <r>
      <rPr>
        <sz val="11"/>
        <color theme="1"/>
        <rFont val="ＭＳ Ｐゴシック"/>
        <family val="3"/>
        <charset val="128"/>
        <scheme val="minor"/>
      </rPr>
      <t>国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</si>
  <si>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葡萄酒; 含酒精的气泡水;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</t>
    </r>
  </si>
  <si>
    <r>
      <t>韶之恋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露</t>
    </r>
  </si>
  <si>
    <r>
      <t>韶山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荷文旅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</si>
  <si>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</si>
  <si>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中国京</t>
    </r>
    <r>
      <rPr>
        <sz val="11"/>
        <color theme="1"/>
        <rFont val="ＭＳ Ｐゴシック"/>
        <family val="3"/>
        <charset val="134"/>
        <scheme val="minor"/>
      </rPr>
      <t>剧艺术</t>
    </r>
    <r>
      <rPr>
        <sz val="11"/>
        <color theme="1"/>
        <rFont val="ＭＳ Ｐゴシック"/>
        <family val="3"/>
        <charset val="128"/>
        <scheme val="minor"/>
      </rPr>
      <t>基金会</t>
    </r>
  </si>
  <si>
    <r>
      <t>含酒精的气泡水;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酸酒（低等葡萄酒）; 汽酒; 白酒</t>
    </r>
  </si>
  <si>
    <t>原韵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</si>
  <si>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州市乾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</si>
  <si>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米酒; 果酒（含酒精）</t>
    </r>
  </si>
  <si>
    <t>鼎定八方</t>
  </si>
  <si>
    <r>
      <t>颜</t>
    </r>
    <r>
      <rPr>
        <sz val="11"/>
        <color theme="1"/>
        <rFont val="ＭＳ Ｐゴシック"/>
        <family val="3"/>
        <charset val="128"/>
        <scheme val="minor"/>
      </rPr>
      <t>淑霞</t>
    </r>
  </si>
  <si>
    <r>
      <t xml:space="preserve">米酒; 葡萄酒;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威士忌; 伏特加酒; 果酒（含酒精）</t>
    </r>
  </si>
  <si>
    <r>
      <t>霜</t>
    </r>
    <r>
      <rPr>
        <sz val="11"/>
        <color theme="1"/>
        <rFont val="ＭＳ Ｐゴシック"/>
        <family val="3"/>
        <charset val="134"/>
        <scheme val="minor"/>
      </rPr>
      <t>满</t>
    </r>
  </si>
  <si>
    <t>黄天翼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</si>
  <si>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</si>
  <si>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鼓</t>
    </r>
  </si>
  <si>
    <t>酒鬼酒股份有限公司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</si>
  <si>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</si>
  <si>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 xml:space="preserve">果酒; 烈酒; 白酒; 米酒; 开胃酒;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</si>
  <si>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琼</t>
    </r>
    <r>
      <rPr>
        <sz val="11"/>
        <color theme="1"/>
        <rFont val="ＭＳ Ｐゴシック"/>
        <family val="3"/>
        <charset val="128"/>
        <scheme val="minor"/>
      </rPr>
      <t>玉清花</t>
    </r>
  </si>
  <si>
    <r>
      <t>闫</t>
    </r>
    <r>
      <rPr>
        <sz val="11"/>
        <color theme="1"/>
        <rFont val="ＭＳ Ｐゴシック"/>
        <family val="3"/>
        <charset val="128"/>
        <scheme val="minor"/>
      </rPr>
      <t>威中</t>
    </r>
  </si>
  <si>
    <r>
      <t xml:space="preserve">白酒; 烈酒; 开胃酒; 利口酒;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</t>
    </r>
  </si>
  <si>
    <t>界沙河</t>
  </si>
  <si>
    <r>
      <t>安徽智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空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数字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</si>
  <si>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佐餐酒; 果酒（含酒精）; 开胃酒; 米酒; 黄酒; 白酒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</si>
  <si>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北河</t>
    </r>
  </si>
  <si>
    <r>
      <t>刘桂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</si>
  <si>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白酒;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</si>
  <si>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邹记</t>
    </r>
    <r>
      <rPr>
        <sz val="11"/>
        <color theme="1"/>
        <rFont val="ＭＳ Ｐゴシック"/>
        <family val="3"/>
        <charset val="128"/>
        <scheme val="minor"/>
      </rPr>
      <t>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</si>
  <si>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邹</t>
    </r>
    <r>
      <rPr>
        <sz val="11"/>
        <color theme="1"/>
        <rFont val="ＭＳ Ｐゴシック"/>
        <family val="3"/>
        <charset val="128"/>
        <scheme val="minor"/>
      </rPr>
      <t>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</si>
  <si>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酸酒（低等葡萄酒）; 青稞酒; 黄酒; 烈酒; 米酒;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葡萄酒; 白酒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</si>
  <si>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喜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</si>
  <si>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清酒（日本米酒）; 烈酒; 葡萄酒; 白酒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</si>
  <si>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</si>
  <si>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萨</t>
    </r>
    <r>
      <rPr>
        <sz val="11"/>
        <color theme="1"/>
        <rFont val="ＭＳ Ｐゴシック"/>
        <family val="3"/>
        <charset val="128"/>
        <scheme val="minor"/>
      </rPr>
      <t>日呼达 SARHUD</t>
    </r>
  </si>
  <si>
    <r>
      <t>鄂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多斯市艾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</si>
  <si>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奶油利口酒;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</si>
  <si>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昇合坊</t>
  </si>
  <si>
    <r>
      <t>四川昇合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</si>
  <si>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黄酒; 葡萄酒; 米酒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</si>
  <si>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墨曲瑶瑶</t>
    </r>
  </si>
  <si>
    <t>孔翔</t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</si>
  <si>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白酒; 米酒; 白葡萄酒; 甜果酒;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</si>
  <si>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医世永康</t>
  </si>
  <si>
    <t>厚朴方舟健康管理（天津）有限公司</t>
  </si>
  <si>
    <r>
      <t xml:space="preserve">薄荷酒;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苦味酒; 餐后酒（利口酒和烈酒）; 葡萄酒; 白酒; 蜂蜜酒</t>
    </r>
  </si>
  <si>
    <r>
      <t>饿乐</t>
    </r>
    <r>
      <rPr>
        <sz val="11"/>
        <color theme="1"/>
        <rFont val="ＭＳ Ｐゴシック"/>
        <family val="3"/>
        <charset val="128"/>
        <scheme val="minor"/>
      </rPr>
      <t>思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</si>
  <si>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果酒（含酒精）; 米酒; 葡萄酒; 清酒（日本米酒）; 伏特加酒</t>
    </r>
  </si>
  <si>
    <t>茉青</t>
  </si>
  <si>
    <r>
      <t>福州</t>
    </r>
    <r>
      <rPr>
        <sz val="11"/>
        <color theme="1"/>
        <rFont val="ＭＳ Ｐゴシック"/>
        <family val="3"/>
        <charset val="134"/>
        <scheme val="minor"/>
      </rPr>
      <t>闽</t>
    </r>
    <r>
      <rPr>
        <sz val="11"/>
        <color theme="1"/>
        <rFont val="ＭＳ Ｐゴシック"/>
        <family val="3"/>
        <charset val="128"/>
        <scheme val="minor"/>
      </rPr>
      <t>越部落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</si>
  <si>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汽酒; 米酒; 白酒;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</si>
  <si>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FENG LING DU KOU</t>
  </si>
  <si>
    <r>
      <t>清酒（日本米酒）;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</si>
  <si>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代由亮******************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</si>
  <si>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</si>
  <si>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吉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昌</t>
    </r>
  </si>
  <si>
    <t>岩温叫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</si>
  <si>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</si>
  <si>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养康</t>
    </r>
  </si>
  <si>
    <r>
      <t>邓庆</t>
    </r>
    <r>
      <rPr>
        <sz val="11"/>
        <color theme="1"/>
        <rFont val="ＭＳ Ｐゴシック"/>
        <family val="3"/>
        <charset val="128"/>
        <scheme val="minor"/>
      </rPr>
      <t>添</t>
    </r>
  </si>
  <si>
    <r>
      <t>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汽酒;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</si>
  <si>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狮</t>
    </r>
    <r>
      <rPr>
        <sz val="11"/>
        <color theme="1"/>
        <rFont val="ＭＳ Ｐゴシック"/>
        <family val="3"/>
        <charset val="128"/>
        <scheme val="minor"/>
      </rPr>
      <t>台 -30-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</si>
  <si>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生科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</si>
  <si>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薄荷酒;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</si>
  <si>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鑫棵</t>
    </r>
  </si>
  <si>
    <t>山西掌上名珠科技有限公司</t>
  </si>
  <si>
    <r>
      <t xml:space="preserve">白酒;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</si>
  <si>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屯二</t>
    </r>
    <r>
      <rPr>
        <sz val="11"/>
        <color theme="1"/>
        <rFont val="ＭＳ Ｐゴシック"/>
        <family val="3"/>
        <charset val="134"/>
        <scheme val="minor"/>
      </rPr>
      <t>锅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</si>
  <si>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</si>
  <si>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伏特加酒; 白酒; 米酒; 青稞酒; 葡萄酒;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</si>
  <si>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雪峰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</si>
  <si>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烈酒; 烈性干酒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</si>
  <si>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觅寻</t>
    </r>
  </si>
  <si>
    <r>
      <t>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</t>
    </r>
  </si>
  <si>
    <t>坤尚明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</si>
  <si>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市坤尚明酒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</si>
  <si>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蜂蜜酒</t>
    </r>
  </si>
  <si>
    <r>
      <t>崔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</si>
  <si>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平定</t>
    </r>
    <r>
      <rPr>
        <sz val="11"/>
        <color theme="1"/>
        <rFont val="ＭＳ Ｐゴシック"/>
        <family val="3"/>
        <charset val="134"/>
        <scheme val="minor"/>
      </rPr>
      <t>县兴</t>
    </r>
    <r>
      <rPr>
        <sz val="11"/>
        <color theme="1"/>
        <rFont val="ＭＳ Ｐゴシック"/>
        <family val="3"/>
        <charset val="128"/>
        <scheme val="minor"/>
      </rPr>
      <t>源种植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</si>
  <si>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烈酒;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米酒; 青稞酒; 黄酒; 高粱酒; 葡萄酒</t>
    </r>
  </si>
  <si>
    <t>山野吾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</si>
  <si>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州卡午茶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</si>
  <si>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</si>
  <si>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石达开</t>
  </si>
  <si>
    <t>焦裕想</t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</si>
  <si>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白酒;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</si>
  <si>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原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</si>
  <si>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義</t>
    </r>
  </si>
  <si>
    <r>
      <t xml:space="preserve">米酒; 梅酒; 葡萄酒; 清酒;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</si>
  <si>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t>帝万福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</si>
  <si>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</t>
    </r>
  </si>
  <si>
    <r>
      <t>友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福</t>
    </r>
  </si>
  <si>
    <t>王江平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</si>
  <si>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</t>
    </r>
  </si>
  <si>
    <r>
      <t>他</t>
    </r>
    <r>
      <rPr>
        <sz val="11"/>
        <color theme="1"/>
        <rFont val="ＭＳ Ｐゴシック"/>
        <family val="3"/>
        <charset val="134"/>
        <scheme val="minor"/>
      </rPr>
      <t>帅</t>
    </r>
  </si>
  <si>
    <t>河南超男公社科技有限公司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</si>
  <si>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黄酒; 米酒; 果酒（含酒精）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</si>
  <si>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沛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</si>
  <si>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蒸煮提取物（利口酒和烈酒）; 薄荷酒;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</si>
  <si>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祥云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</si>
  <si>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葡萄酒;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米酒;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</si>
  <si>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天池糯情</t>
  </si>
  <si>
    <r>
      <t>葡萄酒; 黄酒;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</si>
  <si>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t>冠粮村</t>
  </si>
  <si>
    <r>
      <t xml:space="preserve">米酒; 果酒（含酒精）; 葡萄酒;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</si>
  <si>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力王至真</t>
  </si>
  <si>
    <t>陶建国</t>
  </si>
  <si>
    <t>露酒</t>
  </si>
  <si>
    <t>保定振宏食品股份有限公司</t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</si>
  <si>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</si>
  <si>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和有理</t>
    </r>
  </si>
  <si>
    <r>
      <t>福建政和</t>
    </r>
    <r>
      <rPr>
        <sz val="11"/>
        <color theme="1"/>
        <rFont val="ＭＳ Ｐゴシック"/>
        <family val="3"/>
        <charset val="134"/>
        <scheme val="minor"/>
      </rPr>
      <t>飞凤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</si>
  <si>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朗姆酒; 黄酒; 清酒（日本米酒）;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</si>
  <si>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山行</t>
    </r>
    <r>
      <rPr>
        <sz val="11"/>
        <color theme="1"/>
        <rFont val="ＭＳ Ｐゴシック"/>
        <family val="3"/>
        <charset val="134"/>
        <scheme val="minor"/>
      </rPr>
      <t>农创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</si>
  <si>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山行</t>
    </r>
    <r>
      <rPr>
        <sz val="11"/>
        <color theme="1"/>
        <rFont val="ＭＳ Ｐゴシック"/>
        <family val="3"/>
        <charset val="134"/>
        <scheme val="minor"/>
      </rPr>
      <t>农创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</si>
  <si>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米酒; 黄酒; 果酒（含酒精）;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</si>
  <si>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籽嘉牧歌</t>
  </si>
  <si>
    <r>
      <t>籽嘉（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沙）食品有限公司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</si>
  <si>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</si>
  <si>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建文</t>
    </r>
  </si>
  <si>
    <r>
      <t>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开胃酒</t>
    </r>
  </si>
  <si>
    <r>
      <t>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</si>
  <si>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JUNDE</t>
  </si>
  <si>
    <r>
      <t>深圳市喜福</t>
    </r>
    <r>
      <rPr>
        <sz val="11"/>
        <color theme="1"/>
        <rFont val="ＭＳ Ｐゴシック"/>
        <family val="3"/>
        <charset val="134"/>
        <scheme val="minor"/>
      </rPr>
      <t>缘实业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</si>
  <si>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黄酒; 餐后酒（利口酒和烈酒）;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</si>
  <si>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自由量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</si>
  <si>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酒之</t>
    </r>
    <r>
      <rPr>
        <sz val="11"/>
        <color theme="1"/>
        <rFont val="ＭＳ Ｐゴシック"/>
        <family val="3"/>
        <charset val="134"/>
        <scheme val="minor"/>
      </rPr>
      <t>酝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</si>
  <si>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白酒; 梨酒; 黄酒; 苹果酒;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</si>
  <si>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狮</t>
    </r>
    <r>
      <rPr>
        <sz val="11"/>
        <color theme="1"/>
        <rFont val="ＭＳ Ｐゴシック"/>
        <family val="3"/>
        <charset val="128"/>
        <scheme val="minor"/>
      </rPr>
      <t>台 -10-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</si>
  <si>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薄荷酒; 米酒; 汽酒; 黄酒;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</si>
  <si>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秋成</t>
  </si>
  <si>
    <r>
      <t>黄酒;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水果汽酒; 米酒; 含酒精蛋奶酒</t>
    </r>
  </si>
  <si>
    <t>中惠大健康有限公司</t>
  </si>
  <si>
    <r>
      <t>果酒（含酒精）; 甜果酒; 汽酒; 白酒;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米酒</t>
    </r>
  </si>
  <si>
    <t>皎月清花</t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</si>
  <si>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利口酒;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葡萄酒; 果酒;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</si>
  <si>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仁德清花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</si>
  <si>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利口酒; 汽酒; 白酒; 果酒</t>
    </r>
  </si>
  <si>
    <t>江山生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</si>
  <si>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西极</t>
    </r>
    <r>
      <rPr>
        <sz val="11"/>
        <color theme="1"/>
        <rFont val="ＭＳ Ｐゴシック"/>
        <family val="3"/>
        <charset val="134"/>
        <scheme val="minor"/>
      </rPr>
      <t>简</t>
    </r>
    <r>
      <rPr>
        <sz val="11"/>
        <color theme="1"/>
        <rFont val="ＭＳ Ｐゴシック"/>
        <family val="3"/>
        <charset val="128"/>
        <scheme val="minor"/>
      </rPr>
      <t>者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</si>
  <si>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蜂蜜酒; 米酒; 青稞酒;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</si>
  <si>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果酒（含酒精）; 黄酒; 高粱酒; 开胃酒; 烈酒; 白干酒（中国白酒）;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</si>
  <si>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t>怡睿</t>
  </si>
  <si>
    <t>大同市怡睿食品有限公司</t>
  </si>
  <si>
    <r>
      <t xml:space="preserve">米酒; 白干酒（中国白酒）; 开胃酒;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烈酒</t>
    </r>
  </si>
  <si>
    <t>蒙山尊道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</si>
  <si>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</si>
  <si>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米酒</t>
    </r>
  </si>
  <si>
    <t>山威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</si>
  <si>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大芹威士忌蒸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厂有限公司</t>
    </r>
  </si>
  <si>
    <r>
      <t>伏特加酒;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</t>
    </r>
  </si>
  <si>
    <r>
      <t>友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气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</si>
  <si>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</si>
  <si>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橙人星宿</t>
  </si>
  <si>
    <r>
      <t>北京京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健康有限公司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</si>
  <si>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利口酒;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</si>
  <si>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酣洽</t>
  </si>
  <si>
    <r>
      <t>马</t>
    </r>
    <r>
      <rPr>
        <sz val="11"/>
        <color theme="1"/>
        <rFont val="ＭＳ Ｐゴシック"/>
        <family val="3"/>
        <charset val="128"/>
        <scheme val="minor"/>
      </rPr>
      <t>洪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</si>
  <si>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开胃酒</t>
    </r>
  </si>
  <si>
    <r>
      <t>粮</t>
    </r>
    <r>
      <rPr>
        <sz val="11"/>
        <color theme="1"/>
        <rFont val="ＭＳ Ｐゴシック"/>
        <family val="3"/>
        <charset val="134"/>
        <scheme val="minor"/>
      </rPr>
      <t>韩宫</t>
    </r>
  </si>
  <si>
    <t>卢艳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</si>
  <si>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梅酒;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米酒</t>
    </r>
  </si>
  <si>
    <r>
      <t>宋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</si>
  <si>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葡萄酒; 黄酒; 清酒; 米酒;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果酒; 汽酒; 白酒</t>
    </r>
  </si>
  <si>
    <t>玄来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</si>
  <si>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烈性干酒;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加烈葡萄酒; 威士忌; 白酒;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</si>
  <si>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钤</t>
    </r>
    <r>
      <rPr>
        <sz val="11"/>
        <color theme="1"/>
        <rFont val="ＭＳ Ｐゴシック"/>
        <family val="3"/>
        <charset val="128"/>
        <scheme val="minor"/>
      </rPr>
      <t>楚業</t>
    </r>
  </si>
  <si>
    <t>黄深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</si>
  <si>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</si>
  <si>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雄霸古今</t>
  </si>
  <si>
    <r>
      <t>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清酒（日本米酒）; 葡萄酒; 威士忌; 白酒</t>
    </r>
  </si>
  <si>
    <t>LAEM</t>
  </si>
  <si>
    <t>宋梦杰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</si>
  <si>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露酒;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</t>
    </r>
  </si>
  <si>
    <t>小宋工</t>
  </si>
  <si>
    <t>小宋工（北京）科技文化有限公司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</si>
  <si>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</si>
  <si>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天承</t>
    </r>
  </si>
  <si>
    <r>
      <t>威士忌; 米酒;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清酒（日本米酒）; 白酒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</si>
  <si>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一有料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</si>
  <si>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一食品（山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</si>
  <si>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伏特加酒; 白酒</t>
    </r>
  </si>
  <si>
    <r>
      <t>禧陶九</t>
    </r>
    <r>
      <rPr>
        <sz val="11"/>
        <color theme="1"/>
        <rFont val="ＭＳ Ｐゴシック"/>
        <family val="3"/>
        <charset val="134"/>
        <scheme val="minor"/>
      </rPr>
      <t>酝</t>
    </r>
    <r>
      <rPr>
        <sz val="11"/>
        <color theme="1"/>
        <rFont val="ＭＳ Ｐゴシック"/>
        <family val="3"/>
        <charset val="128"/>
        <scheme val="minor"/>
      </rPr>
      <t xml:space="preserve"> 酒</t>
    </r>
  </si>
  <si>
    <t>陶一葭</t>
  </si>
  <si>
    <r>
      <t>果酒（含酒精）; 烈酒;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食用酒精; 甜果酒;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</t>
    </r>
  </si>
  <si>
    <r>
      <t>燕</t>
    </r>
    <r>
      <rPr>
        <sz val="11"/>
        <color theme="1"/>
        <rFont val="ＭＳ Ｐゴシック"/>
        <family val="3"/>
        <charset val="134"/>
        <scheme val="minor"/>
      </rPr>
      <t>赵东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</si>
  <si>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河北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方烈酒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</si>
  <si>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葡萄酒; 白酒;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 xml:space="preserve">酒; 高粱酒;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</si>
  <si>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呡</t>
    </r>
    <r>
      <rPr>
        <sz val="11"/>
        <color theme="1"/>
        <rFont val="ＭＳ Ｐゴシック"/>
        <family val="3"/>
        <charset val="128"/>
        <scheme val="minor"/>
      </rPr>
      <t>叭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</si>
  <si>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西四气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神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食文化有限公司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</si>
  <si>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甜酒; 白干酒（中国白酒）; 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果酒; 米酒; 高粱酒</t>
    </r>
  </si>
  <si>
    <t>草原郡王</t>
  </si>
  <si>
    <r>
      <t>鄂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多斯市泉如雨酒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</si>
  <si>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白酒; 葡萄酒; 食用酒精; 米酒; 伏特加酒; 果酒（含酒精）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</si>
  <si>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良</t>
    </r>
  </si>
  <si>
    <r>
      <t xml:space="preserve">威士忌;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果酒（含酒精）; 白酒</t>
    </r>
  </si>
  <si>
    <t>幽玄妙境</t>
  </si>
  <si>
    <t>余寰宇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</si>
  <si>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黄酒; 米酒; 果酒;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</si>
  <si>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鹮</t>
    </r>
    <r>
      <rPr>
        <sz val="11"/>
        <color theme="1"/>
        <rFont val="ＭＳ Ｐゴシック"/>
        <family val="3"/>
        <charset val="128"/>
        <scheme val="minor"/>
      </rPr>
      <t>酷爽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</si>
  <si>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西秦洋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</si>
  <si>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米酒; 烈酒; 梅酒; 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黄酒; 蜂蜜酒</t>
    </r>
  </si>
  <si>
    <t>金芯暖</t>
  </si>
  <si>
    <r>
      <t>深圳市金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源生物科技有限公司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</si>
  <si>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</si>
  <si>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荣姐家酒秋香</t>
  </si>
  <si>
    <r>
      <t>安徽荣姐家酒酒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</si>
  <si>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</si>
  <si>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半清野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</si>
  <si>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州有味清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</si>
  <si>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日式甜米酒; 清酒; 青梅酒;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草本型利口酒; 清酒（日本米酒）;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开胃酒; 含酒精的气泡水</t>
    </r>
  </si>
  <si>
    <r>
      <t>益</t>
    </r>
    <r>
      <rPr>
        <sz val="11"/>
        <color theme="1"/>
        <rFont val="ＭＳ Ｐゴシック"/>
        <family val="3"/>
        <charset val="134"/>
        <scheme val="minor"/>
      </rPr>
      <t>贞</t>
    </r>
    <r>
      <rPr>
        <sz val="11"/>
        <color theme="1"/>
        <rFont val="ＭＳ Ｐゴシック"/>
        <family val="3"/>
        <charset val="128"/>
        <scheme val="minor"/>
      </rPr>
      <t>元生物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</si>
  <si>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西益</t>
    </r>
    <r>
      <rPr>
        <sz val="11"/>
        <color theme="1"/>
        <rFont val="ＭＳ Ｐゴシック"/>
        <family val="3"/>
        <charset val="134"/>
        <scheme val="minor"/>
      </rPr>
      <t>贞</t>
    </r>
    <r>
      <rPr>
        <sz val="11"/>
        <color theme="1"/>
        <rFont val="ＭＳ Ｐゴシック"/>
        <family val="3"/>
        <charset val="128"/>
        <scheme val="minor"/>
      </rPr>
      <t>元生物科技有限公司</t>
    </r>
  </si>
  <si>
    <r>
      <t>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白干酒（中国白酒）; 露酒</t>
    </r>
  </si>
  <si>
    <r>
      <t>领</t>
    </r>
    <r>
      <rPr>
        <sz val="11"/>
        <color theme="1"/>
        <rFont val="ＭＳ Ｐゴシック"/>
        <family val="3"/>
        <charset val="128"/>
        <scheme val="minor"/>
      </rPr>
      <t>界 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</si>
  <si>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葡萄酒;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</si>
  <si>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新明</t>
  </si>
  <si>
    <t>安徽省太和虹达彩印包装有限公司</t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</si>
  <si>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蒸煮提取物（利口酒和烈酒）; 葡萄酒; 黄酒</t>
    </r>
  </si>
  <si>
    <t>璟悦</t>
  </si>
  <si>
    <r>
      <t>马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</si>
  <si>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</si>
  <si>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洞之洞</t>
  </si>
  <si>
    <t>王瑜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</si>
  <si>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白酒; 开胃酒; 清酒（日本米酒）; 葡萄酒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</si>
  <si>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夫几何（广州）信息科技有限公司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</si>
  <si>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清酒; 葡萄酒; 白酒; 威士忌</t>
    </r>
  </si>
  <si>
    <t>汝天承</t>
  </si>
  <si>
    <r>
      <t>高</t>
    </r>
    <r>
      <rPr>
        <sz val="11"/>
        <color theme="1"/>
        <rFont val="ＭＳ Ｐゴシック"/>
        <family val="3"/>
        <charset val="134"/>
        <scheme val="minor"/>
      </rPr>
      <t>焕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</si>
  <si>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米酒; 白酒;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汽酒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</si>
  <si>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</si>
  <si>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</si>
  <si>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竹听花</t>
  </si>
  <si>
    <r>
      <t>程金</t>
    </r>
    <r>
      <rPr>
        <sz val="11"/>
        <color theme="1"/>
        <rFont val="ＭＳ Ｐゴシック"/>
        <family val="3"/>
        <charset val="134"/>
        <scheme val="minor"/>
      </rPr>
      <t>尧</t>
    </r>
  </si>
  <si>
    <r>
      <t>葡萄酒;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黄酒</t>
    </r>
  </si>
  <si>
    <t>欧蜜塔</t>
  </si>
  <si>
    <r>
      <t>合肥魅</t>
    </r>
    <r>
      <rPr>
        <sz val="11"/>
        <color theme="1"/>
        <rFont val="ＭＳ Ｐゴシック"/>
        <family val="3"/>
        <charset val="134"/>
        <scheme val="minor"/>
      </rPr>
      <t>缇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</si>
  <si>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</si>
  <si>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鹮</t>
    </r>
    <r>
      <rPr>
        <sz val="11"/>
        <color theme="1"/>
        <rFont val="ＭＳ Ｐゴシック"/>
        <family val="3"/>
        <charset val="128"/>
        <scheme val="minor"/>
      </rPr>
      <t>爽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</si>
  <si>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果酒（含酒精）; 米酒; 白酒; 烈酒; 梅酒; 蜂蜜酒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</si>
  <si>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岭招待酒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</si>
  <si>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威士忌; 葡萄酒</t>
    </r>
  </si>
  <si>
    <t>大唐慕荣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</si>
  <si>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州慕荣酒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</si>
  <si>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果酒（含酒精）; 葡萄酒; 米酒; 黄酒; 白酒; 薄荷酒; 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</si>
  <si>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蛮韵</t>
  </si>
  <si>
    <r>
      <t>陈</t>
    </r>
    <r>
      <rPr>
        <sz val="11"/>
        <color theme="1"/>
        <rFont val="ＭＳ Ｐゴシック"/>
        <family val="3"/>
        <charset val="128"/>
        <scheme val="minor"/>
      </rPr>
      <t>敏</t>
    </r>
    <r>
      <rPr>
        <sz val="11"/>
        <color theme="1"/>
        <rFont val="ＭＳ Ｐゴシック"/>
        <family val="3"/>
        <charset val="134"/>
        <scheme val="minor"/>
      </rPr>
      <t>维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</si>
  <si>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草本型利口酒;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苦味酒; 白酒</t>
    </r>
  </si>
  <si>
    <r>
      <t>清沙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</si>
  <si>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闫</t>
    </r>
    <r>
      <rPr>
        <sz val="11"/>
        <color theme="1"/>
        <rFont val="ＭＳ Ｐゴシック"/>
        <family val="3"/>
        <charset val="128"/>
        <scheme val="minor"/>
      </rPr>
      <t>月琴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</si>
  <si>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利口酒; 青稞酒; 黄酒; 开胃酒</t>
    </r>
  </si>
  <si>
    <t>四明虹清雅</t>
  </si>
  <si>
    <r>
      <t>浙江舜祥酒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</si>
  <si>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露酒;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果酒（含酒精）;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</si>
  <si>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秦洋</t>
    </r>
    <r>
      <rPr>
        <sz val="11"/>
        <color theme="1"/>
        <rFont val="ＭＳ Ｐゴシック"/>
        <family val="3"/>
        <charset val="134"/>
        <scheme val="minor"/>
      </rPr>
      <t>衮</t>
    </r>
    <r>
      <rPr>
        <sz val="11"/>
        <color theme="1"/>
        <rFont val="ＭＳ Ｐゴシック"/>
        <family val="3"/>
        <charset val="128"/>
        <scheme val="minor"/>
      </rPr>
      <t>雪</t>
    </r>
  </si>
  <si>
    <r>
      <t>果酒（含酒精）; 蜂蜜酒;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白干酒（中国白酒）;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白酒; 米酒; 梅酒</t>
    </r>
  </si>
  <si>
    <t>HH</t>
  </si>
  <si>
    <r>
      <t>烟台禾</t>
    </r>
    <r>
      <rPr>
        <sz val="11"/>
        <color theme="1"/>
        <rFont val="ＭＳ Ｐゴシック"/>
        <family val="3"/>
        <charset val="134"/>
        <scheme val="minor"/>
      </rPr>
      <t>亿鸿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</si>
  <si>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苹果酒;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</si>
  <si>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荣姐家酒春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</si>
  <si>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开胃酒;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</si>
  <si>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上海沐</t>
    </r>
    <r>
      <rPr>
        <sz val="11"/>
        <color theme="1"/>
        <rFont val="ＭＳ Ｐゴシック"/>
        <family val="3"/>
        <charset val="134"/>
        <scheme val="minor"/>
      </rPr>
      <t>兑锜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</si>
  <si>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葡萄酒; 汽酒; 果酒</t>
    </r>
  </si>
  <si>
    <t>仙境奇楼</t>
  </si>
  <si>
    <t>黄月</t>
  </si>
  <si>
    <r>
      <t xml:space="preserve">黄酒; 甜酒;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清酒</t>
    </r>
  </si>
  <si>
    <t>VAFP 瓦菲堡</t>
  </si>
  <si>
    <r>
      <t>孙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</si>
  <si>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米酒; 白酒; 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</si>
  <si>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慕荣大唐</t>
  </si>
  <si>
    <r>
      <t xml:space="preserve">薄荷酒; 果酒（含酒精）; 白酒;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汽酒; 黄酒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</si>
  <si>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</si>
  <si>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由九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</si>
  <si>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西呦呦鹿</t>
    </r>
    <r>
      <rPr>
        <sz val="11"/>
        <color theme="1"/>
        <rFont val="ＭＳ Ｐゴシック"/>
        <family val="3"/>
        <charset val="134"/>
        <scheme val="minor"/>
      </rPr>
      <t>鸣创</t>
    </r>
    <r>
      <rPr>
        <sz val="11"/>
        <color theme="1"/>
        <rFont val="ＭＳ Ｐゴシック"/>
        <family val="3"/>
        <charset val="128"/>
        <scheme val="minor"/>
      </rPr>
      <t>意文化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</si>
  <si>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黄酒; 果酒;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</t>
    </r>
  </si>
  <si>
    <t>KANG CHIA</t>
  </si>
  <si>
    <r>
      <t>湖北康甲酒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</si>
  <si>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葡萄酒; 白酒; 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</t>
    </r>
  </si>
  <si>
    <r>
      <t>格斯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王</t>
    </r>
  </si>
  <si>
    <t>屈宝忠</t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</si>
  <si>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葡萄酒; 蜂蜜酒; 白酒</t>
    </r>
  </si>
  <si>
    <r>
      <t>颂</t>
    </r>
    <r>
      <rPr>
        <sz val="11"/>
        <color theme="1"/>
        <rFont val="ＭＳ Ｐゴシック"/>
        <family val="3"/>
        <charset val="128"/>
        <scheme val="minor"/>
      </rPr>
      <t>美人</t>
    </r>
  </si>
  <si>
    <r>
      <t>闵</t>
    </r>
    <r>
      <rPr>
        <sz val="11"/>
        <color theme="1"/>
        <rFont val="ＭＳ Ｐゴシック"/>
        <family val="3"/>
        <charset val="128"/>
        <scheme val="minor"/>
      </rPr>
      <t>志平</t>
    </r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</si>
  <si>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</si>
  <si>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大芹南昆</t>
  </si>
  <si>
    <r>
      <t>威士忌; 清酒（日本米酒）;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蒸煮提取物（利口酒和烈酒）; 伏特加酒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</si>
  <si>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果酒（含酒精）; 白酒; 开胃酒;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</t>
    </r>
  </si>
  <si>
    <t>馥酩山</t>
  </si>
  <si>
    <t>宋云峰</t>
  </si>
  <si>
    <r>
      <t>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汽酒</t>
    </r>
  </si>
  <si>
    <t>邀江南</t>
  </si>
  <si>
    <r>
      <t>米酒;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</si>
  <si>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旅行者与雪都酷</t>
  </si>
  <si>
    <r>
      <t>阿勒泰地区二牧</t>
    </r>
    <r>
      <rPr>
        <sz val="11"/>
        <color theme="1"/>
        <rFont val="ＭＳ Ｐゴシック"/>
        <family val="3"/>
        <charset val="134"/>
        <scheme val="minor"/>
      </rPr>
      <t>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</si>
  <si>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果酒（含酒精）; 米酒</t>
    </r>
  </si>
  <si>
    <r>
      <t>乐锦</t>
    </r>
    <r>
      <rPr>
        <sz val="11"/>
        <color theme="1"/>
        <rFont val="ＭＳ Ｐゴシック"/>
        <family val="3"/>
        <charset val="128"/>
        <scheme val="minor"/>
      </rPr>
      <t>喜</t>
    </r>
  </si>
  <si>
    <r>
      <t>福州市台江区仙</t>
    </r>
    <r>
      <rPr>
        <sz val="11"/>
        <color theme="1"/>
        <rFont val="ＭＳ Ｐゴシック"/>
        <family val="3"/>
        <charset val="134"/>
        <scheme val="minor"/>
      </rPr>
      <t>缘门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</si>
  <si>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葡萄酒; 白酒; 威士忌;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</si>
  <si>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汇锦龙</t>
  </si>
  <si>
    <t>王涛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</si>
  <si>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</t>
    </r>
  </si>
  <si>
    <t>禧士礼</t>
  </si>
  <si>
    <r>
      <t>马</t>
    </r>
    <r>
      <rPr>
        <sz val="11"/>
        <color theme="1"/>
        <rFont val="ＭＳ Ｐゴシック"/>
        <family val="3"/>
        <charset val="128"/>
        <scheme val="minor"/>
      </rPr>
      <t>咏梅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</si>
  <si>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</si>
  <si>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四月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</si>
  <si>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汽酒; 葡萄酒; 果酒（含酒精）; 白酒</t>
    </r>
  </si>
  <si>
    <r>
      <t>铸</t>
    </r>
    <r>
      <rPr>
        <sz val="11"/>
        <color theme="1"/>
        <rFont val="ＭＳ Ｐゴシック"/>
        <family val="3"/>
        <charset val="128"/>
        <scheme val="minor"/>
      </rPr>
      <t>美好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</si>
  <si>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香液酒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</si>
  <si>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葡萄酒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</si>
  <si>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香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</si>
  <si>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 xml:space="preserve">清酒（日本米酒）;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</t>
    </r>
  </si>
  <si>
    <r>
      <t>黔榜花好月</t>
    </r>
    <r>
      <rPr>
        <sz val="11"/>
        <color theme="1"/>
        <rFont val="ＭＳ Ｐゴシック"/>
        <family val="3"/>
        <charset val="134"/>
        <scheme val="minor"/>
      </rPr>
      <t>圆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</si>
  <si>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州八百科技有限公司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</si>
  <si>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白酒;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</si>
  <si>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卜拉</t>
    </r>
    <r>
      <rPr>
        <sz val="11"/>
        <color theme="1"/>
        <rFont val="ＭＳ Ｐゴシック"/>
        <family val="3"/>
        <charset val="134"/>
        <scheme val="minor"/>
      </rPr>
      <t>图</t>
    </r>
  </si>
  <si>
    <r>
      <t>西安玉山葡萄酒庄园有限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</si>
  <si>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开胃酒; 葡萄酒; 白酒; 汽酒</t>
    </r>
  </si>
  <si>
    <r>
      <t>松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盛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</si>
  <si>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青梅酒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</si>
  <si>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航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</si>
  <si>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宁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航商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</si>
  <si>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高粱酒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</si>
  <si>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粮运</t>
    </r>
  </si>
  <si>
    <r>
      <t>南昌速富酒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</si>
  <si>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青稞酒;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开胃酒;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</t>
    </r>
  </si>
  <si>
    <r>
      <t>秦洋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特</t>
    </r>
  </si>
  <si>
    <r>
      <t>梅酒; 白酒; 白干酒（中国白酒）;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米酒;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</t>
    </r>
  </si>
  <si>
    <r>
      <t>谷福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</si>
  <si>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</si>
  <si>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阜特佳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</si>
  <si>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安徽阜特酒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</si>
  <si>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食用酒精;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</si>
  <si>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九玖</t>
    </r>
    <r>
      <rPr>
        <sz val="11"/>
        <color theme="1"/>
        <rFont val="ＭＳ Ｐゴシック"/>
        <family val="3"/>
        <charset val="134"/>
        <scheme val="minor"/>
      </rPr>
      <t>员</t>
    </r>
    <r>
      <rPr>
        <sz val="11"/>
        <color theme="1"/>
        <rFont val="ＭＳ Ｐゴシック"/>
        <family val="3"/>
        <charset val="128"/>
        <scheme val="minor"/>
      </rPr>
      <t>匠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</si>
  <si>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东购</t>
    </r>
    <r>
      <rPr>
        <sz val="11"/>
        <color theme="1"/>
        <rFont val="ＭＳ Ｐゴシック"/>
        <family val="3"/>
        <charset val="128"/>
        <scheme val="minor"/>
      </rPr>
      <t>享礼品牌管理有限公司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</si>
  <si>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</t>
    </r>
  </si>
  <si>
    <t>故知酩酊</t>
  </si>
  <si>
    <t>高盛</t>
  </si>
  <si>
    <r>
      <t>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</si>
  <si>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成功小九</t>
  </si>
  <si>
    <r>
      <t>赵</t>
    </r>
    <r>
      <rPr>
        <sz val="11"/>
        <color theme="1"/>
        <rFont val="ＭＳ Ｐゴシック"/>
        <family val="3"/>
        <charset val="128"/>
        <scheme val="minor"/>
      </rPr>
      <t>小利</t>
    </r>
  </si>
  <si>
    <r>
      <t>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</si>
  <si>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京枢</t>
  </si>
  <si>
    <t>郭文斌</t>
  </si>
  <si>
    <t>黄酒; 白酒; 梅酒; 米酒; 甜酒; 烈酒; 果酒; 葡萄酒; 汽酒; 清酒</t>
  </si>
  <si>
    <t>金蟾石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</si>
  <si>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东贰叁</t>
    </r>
    <r>
      <rPr>
        <sz val="11"/>
        <color theme="1"/>
        <rFont val="ＭＳ Ｐゴシック"/>
        <family val="3"/>
        <charset val="128"/>
        <scheme val="minor"/>
      </rPr>
      <t>伍网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</si>
  <si>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黄酒; 白酒; 清酒;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露酒; 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</si>
  <si>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天承鼎</t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</si>
  <si>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米酒</t>
    </r>
  </si>
  <si>
    <t>易元堂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</si>
  <si>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黄酒; 白干酒（中国白酒）;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</si>
  <si>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洞背岩</t>
  </si>
  <si>
    <r>
      <t>郑</t>
    </r>
    <r>
      <rPr>
        <sz val="11"/>
        <color theme="1"/>
        <rFont val="ＭＳ Ｐゴシック"/>
        <family val="3"/>
        <charset val="128"/>
        <scheme val="minor"/>
      </rPr>
      <t>小苛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</si>
  <si>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</si>
  <si>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至正和</t>
  </si>
  <si>
    <r>
      <t>河南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谷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</si>
  <si>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五加皮酒（中国混合烈酒）; 汽酒;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</si>
  <si>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晋</t>
    </r>
    <r>
      <rPr>
        <sz val="11"/>
        <color theme="1"/>
        <rFont val="ＭＳ Ｐゴシック"/>
        <family val="3"/>
        <charset val="134"/>
        <scheme val="minor"/>
      </rPr>
      <t>样</t>
    </r>
  </si>
  <si>
    <t>原小春</t>
  </si>
  <si>
    <r>
      <t xml:space="preserve">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高粱酒;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</si>
  <si>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揉江月</t>
  </si>
  <si>
    <r>
      <t>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白酒; 汽酒; 米酒</t>
    </r>
  </si>
  <si>
    <r>
      <t>葡萄酒; 果酒（含酒精）; 米酒;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</si>
  <si>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(深圳)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</si>
  <si>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开胃酒; 伏特加酒; 果酒（含酒精）;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日本梅子酒; 白干酒（中国白酒）</t>
    </r>
  </si>
  <si>
    <t>嘉州山金士</t>
  </si>
  <si>
    <t>潘立文</t>
  </si>
  <si>
    <r>
      <t xml:space="preserve">米酒;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</si>
  <si>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香喜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</si>
  <si>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果酒（含酒精）</t>
    </r>
  </si>
  <si>
    <t>天晋下商</t>
  </si>
  <si>
    <r>
      <t>山西晋牧春酒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</si>
  <si>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甜果酒;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</si>
  <si>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花然酷</t>
  </si>
  <si>
    <r>
      <t>黄酒; 白干酒（中国白酒）; 梅酒; 蜂蜜酒;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</si>
  <si>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村</t>
    </r>
    <r>
      <rPr>
        <sz val="11"/>
        <color theme="1"/>
        <rFont val="ＭＳ Ｐゴシック"/>
        <family val="3"/>
        <charset val="134"/>
        <scheme val="minor"/>
      </rPr>
      <t>桥衮</t>
    </r>
    <r>
      <rPr>
        <sz val="11"/>
        <color theme="1"/>
        <rFont val="ＭＳ Ｐゴシック"/>
        <family val="3"/>
        <charset val="128"/>
        <scheme val="minor"/>
      </rPr>
      <t>雪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</si>
  <si>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烈酒; 果酒（含酒精）; 米酒;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梅酒; 蜂蜜酒</t>
    </r>
  </si>
  <si>
    <t>物斤酒</t>
  </si>
  <si>
    <r>
      <t>潮州市潮安区登塘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泉酒厂</t>
    </r>
  </si>
  <si>
    <r>
      <t xml:space="preserve">烈酒;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</si>
  <si>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蕴</t>
    </r>
    <r>
      <rPr>
        <sz val="11"/>
        <color theme="1"/>
        <rFont val="ＭＳ Ｐゴシック"/>
        <family val="3"/>
        <charset val="128"/>
        <scheme val="minor"/>
      </rPr>
      <t>万</t>
    </r>
    <r>
      <rPr>
        <sz val="11"/>
        <color theme="1"/>
        <rFont val="ＭＳ Ｐゴシック"/>
        <family val="3"/>
        <charset val="134"/>
        <scheme val="minor"/>
      </rPr>
      <t>载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</si>
  <si>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</si>
  <si>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观饮</t>
    </r>
    <r>
      <rPr>
        <sz val="11"/>
        <color theme="1"/>
        <rFont val="ＭＳ Ｐゴシック"/>
        <family val="3"/>
        <charset val="128"/>
        <scheme val="minor"/>
      </rPr>
      <t>万</t>
    </r>
    <r>
      <rPr>
        <sz val="11"/>
        <color theme="1"/>
        <rFont val="ＭＳ Ｐゴシック"/>
        <family val="3"/>
        <charset val="134"/>
        <scheme val="minor"/>
      </rPr>
      <t>载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</si>
  <si>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清酒（日本米酒）;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</si>
  <si>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古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</si>
  <si>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古酒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</si>
  <si>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蜂蜜酒; 果酒（含酒精）;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</si>
  <si>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程庭御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</si>
  <si>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忆</t>
    </r>
    <r>
      <rPr>
        <sz val="11"/>
        <color theme="1"/>
        <rFont val="ＭＳ Ｐゴシック"/>
        <family val="3"/>
        <charset val="128"/>
        <scheme val="minor"/>
      </rPr>
      <t>源河酒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</si>
  <si>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果酒（含酒精）;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高粱酒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</si>
  <si>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天易</t>
    </r>
  </si>
  <si>
    <r>
      <t>西双版</t>
    </r>
    <r>
      <rPr>
        <sz val="11"/>
        <color theme="1"/>
        <rFont val="ＭＳ Ｐゴシック"/>
        <family val="3"/>
        <charset val="134"/>
        <scheme val="minor"/>
      </rPr>
      <t>纳顺</t>
    </r>
    <r>
      <rPr>
        <sz val="11"/>
        <color theme="1"/>
        <rFont val="ＭＳ Ｐゴシック"/>
        <family val="3"/>
        <charset val="128"/>
        <scheme val="minor"/>
      </rPr>
      <t>天易茶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</si>
  <si>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</si>
  <si>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阳春冬</t>
  </si>
  <si>
    <r>
      <t xml:space="preserve">白酒; 米酒; 餐后酒（利口酒和烈酒）; 黄酒;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</si>
  <si>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美力夫</t>
  </si>
  <si>
    <r>
      <t>祁</t>
    </r>
    <r>
      <rPr>
        <sz val="11"/>
        <color theme="1"/>
        <rFont val="ＭＳ Ｐゴシック"/>
        <family val="3"/>
        <charset val="134"/>
        <scheme val="minor"/>
      </rPr>
      <t>张桦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</si>
  <si>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露酒; 杜松子酒; 威末酒</t>
    </r>
  </si>
  <si>
    <t>洞酒人</t>
  </si>
  <si>
    <r>
      <t xml:space="preserve">白酒; 开胃酒;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</t>
    </r>
  </si>
  <si>
    <t>喜禧葫</t>
  </si>
  <si>
    <r>
      <t>深圳市卧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社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</si>
  <si>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高粱酒;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</t>
    </r>
  </si>
  <si>
    <t>九碗泉</t>
  </si>
  <si>
    <r>
      <t>山丹</t>
    </r>
    <r>
      <rPr>
        <sz val="11"/>
        <color theme="1"/>
        <rFont val="ＭＳ Ｐゴシック"/>
        <family val="3"/>
        <charset val="134"/>
        <scheme val="minor"/>
      </rPr>
      <t>县马场</t>
    </r>
    <r>
      <rPr>
        <sz val="11"/>
        <color theme="1"/>
        <rFont val="ＭＳ Ｐゴシック"/>
        <family val="3"/>
        <charset val="128"/>
        <scheme val="minor"/>
      </rPr>
      <t>丹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</si>
  <si>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高粱酒; 黄酒; 白酒; 开胃酒;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</si>
  <si>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香仙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</si>
  <si>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开胃酒; 清酒（日本米酒）; 白酒; 米酒; 葡萄酒</t>
    </r>
  </si>
  <si>
    <r>
      <t>令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年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</si>
  <si>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威士忌;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</si>
  <si>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万酉</t>
  </si>
  <si>
    <r>
      <t>汽酒;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</t>
    </r>
  </si>
  <si>
    <t>洞夫人</t>
  </si>
  <si>
    <r>
      <t xml:space="preserve">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</si>
  <si>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</si>
  <si>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果酒（含酒精）; 清酒（日本米酒）; 米酒;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</si>
  <si>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乐猕</t>
  </si>
  <si>
    <r>
      <t>米酒; 白酒; 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烈酒; 白干酒（中国白酒）;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蜂蜜酒</t>
    </r>
  </si>
  <si>
    <r>
      <t>孙长</t>
    </r>
    <r>
      <rPr>
        <sz val="11"/>
        <color theme="1"/>
        <rFont val="ＭＳ Ｐゴシック"/>
        <family val="3"/>
        <charset val="128"/>
        <scheme val="minor"/>
      </rPr>
      <t>江</t>
    </r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</si>
  <si>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伏特加酒; 烈酒; 威士忌; 葡萄酒; 果酒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</si>
  <si>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五粮液仙林生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</si>
  <si>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</si>
  <si>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鸟</t>
    </r>
    <r>
      <rPr>
        <sz val="11"/>
        <color theme="1"/>
        <rFont val="ＭＳ Ｐゴシック"/>
        <family val="3"/>
        <charset val="128"/>
        <scheme val="minor"/>
      </rPr>
      <t>上天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</si>
  <si>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米酒; 威士忌; 白酒; 清酒（日本米酒）;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</si>
  <si>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泰御中珍</t>
  </si>
  <si>
    <r>
      <t>南安市梅山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秀外慧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</si>
  <si>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烈酒; 米酒; 黄酒</t>
    </r>
  </si>
  <si>
    <r>
      <t>兼酒大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版</t>
    </r>
  </si>
  <si>
    <t>合肥市榜十信息科技有限公司</t>
  </si>
  <si>
    <r>
      <t xml:space="preserve">果酒（含酒精）; 葡萄酒; 白酒; 米酒;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威士忌</t>
    </r>
  </si>
  <si>
    <t>万楷</t>
  </si>
  <si>
    <t>广州市志达教育科技有限公司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</si>
  <si>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葡萄酒</t>
    </r>
  </si>
  <si>
    <t>疆口福</t>
  </si>
  <si>
    <r>
      <t>韩</t>
    </r>
    <r>
      <rPr>
        <sz val="11"/>
        <color theme="1"/>
        <rFont val="ＭＳ Ｐゴシック"/>
        <family val="3"/>
        <charset val="128"/>
        <scheme val="minor"/>
      </rPr>
      <t>玉云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</si>
  <si>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</si>
  <si>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果多他</t>
  </si>
  <si>
    <r>
      <t>苏维</t>
    </r>
    <r>
      <rPr>
        <sz val="11"/>
        <color theme="1"/>
        <rFont val="ＭＳ Ｐゴシック"/>
        <family val="3"/>
        <charset val="128"/>
        <scheme val="minor"/>
      </rPr>
      <t>民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</si>
  <si>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苹果酒; 果酒（含酒精）; 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</si>
  <si>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巩</t>
    </r>
    <r>
      <rPr>
        <sz val="11"/>
        <color theme="1"/>
        <rFont val="ＭＳ Ｐゴシック"/>
        <family val="3"/>
        <charset val="134"/>
        <scheme val="minor"/>
      </rPr>
      <t>县头</t>
    </r>
  </si>
  <si>
    <r>
      <t>巩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市杜甫老窖酒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</si>
  <si>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开胃酒;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</si>
  <si>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锦东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</si>
  <si>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威士忌</t>
    </r>
  </si>
  <si>
    <t>念秋丰</t>
  </si>
  <si>
    <r>
      <t>胡</t>
    </r>
    <r>
      <rPr>
        <sz val="11"/>
        <color theme="1"/>
        <rFont val="ＭＳ Ｐゴシック"/>
        <family val="3"/>
        <charset val="134"/>
        <scheme val="minor"/>
      </rPr>
      <t>帅</t>
    </r>
    <r>
      <rPr>
        <sz val="11"/>
        <color theme="1"/>
        <rFont val="ＭＳ Ｐゴシック"/>
        <family val="3"/>
        <charset val="128"/>
        <scheme val="minor"/>
      </rPr>
      <t>彬</t>
    </r>
  </si>
  <si>
    <r>
      <t>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汽酒</t>
    </r>
  </si>
  <si>
    <t>乐锦缘</t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</si>
  <si>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葡萄酒; 白酒; 米酒;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</si>
  <si>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暴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</si>
  <si>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守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</si>
  <si>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开胃酒;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利口酒;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</si>
  <si>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封开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新供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</si>
  <si>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清酒（日本米酒）; 利口酒;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</si>
  <si>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靖民</t>
  </si>
  <si>
    <r>
      <t>陈</t>
    </r>
    <r>
      <rPr>
        <sz val="11"/>
        <color theme="1"/>
        <rFont val="ＭＳ Ｐゴシック"/>
        <family val="3"/>
        <charset val="128"/>
        <scheme val="minor"/>
      </rPr>
      <t>靖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</si>
  <si>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威士忌</t>
    </r>
  </si>
  <si>
    <t>前后</t>
  </si>
  <si>
    <r>
      <t>四川老</t>
    </r>
    <r>
      <rPr>
        <sz val="11"/>
        <color theme="1"/>
        <rFont val="ＭＳ Ｐゴシック"/>
        <family val="3"/>
        <charset val="134"/>
        <scheme val="minor"/>
      </rPr>
      <t>孙</t>
    </r>
    <r>
      <rPr>
        <sz val="11"/>
        <color theme="1"/>
        <rFont val="ＭＳ Ｐゴシック"/>
        <family val="3"/>
        <charset val="128"/>
        <scheme val="minor"/>
      </rPr>
      <t>家的酒文化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</si>
  <si>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白酒; 米酒; 黄酒;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</si>
  <si>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饕餮肆壹肆</t>
  </si>
  <si>
    <r>
      <t>吕</t>
    </r>
    <r>
      <rPr>
        <sz val="11"/>
        <color theme="1"/>
        <rFont val="ＭＳ Ｐゴシック"/>
        <family val="3"/>
        <charset val="128"/>
        <scheme val="minor"/>
      </rPr>
      <t>洪彬</t>
    </r>
  </si>
  <si>
    <r>
      <t>白酒; 蜂蜜酒;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梨酒; 威士忌</t>
    </r>
  </si>
  <si>
    <r>
      <t>单</t>
    </r>
    <r>
      <rPr>
        <sz val="11"/>
        <color theme="1"/>
        <rFont val="ＭＳ Ｐゴシック"/>
        <family val="3"/>
        <charset val="128"/>
        <scheme val="minor"/>
      </rPr>
      <t>家酒庄</t>
    </r>
  </si>
  <si>
    <r>
      <t>单</t>
    </r>
    <r>
      <rPr>
        <sz val="11"/>
        <color theme="1"/>
        <rFont val="ＭＳ Ｐゴシック"/>
        <family val="3"/>
        <charset val="128"/>
        <scheme val="minor"/>
      </rPr>
      <t>既俊</t>
    </r>
  </si>
  <si>
    <r>
      <t>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</si>
  <si>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他山之霖</t>
  </si>
  <si>
    <r>
      <t>黔北博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(上海)商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</si>
  <si>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甜酒;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</si>
  <si>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苹果酒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</si>
  <si>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哆哆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</si>
  <si>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</si>
  <si>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高粱酒; 果酒（含酒精）</t>
    </r>
  </si>
  <si>
    <r>
      <t>贝诺</t>
    </r>
    <r>
      <rPr>
        <sz val="11"/>
        <color theme="1"/>
        <rFont val="ＭＳ Ｐゴシック"/>
        <family val="3"/>
        <charset val="128"/>
        <scheme val="minor"/>
      </rPr>
      <t>宁</t>
    </r>
  </si>
  <si>
    <t>四川雪域景天生物科技有限公司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</si>
  <si>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</si>
  <si>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苹果酒; 米酒</t>
    </r>
  </si>
  <si>
    <r>
      <t>珍</t>
    </r>
    <r>
      <rPr>
        <sz val="11"/>
        <color theme="1"/>
        <rFont val="ＭＳ Ｐゴシック"/>
        <family val="3"/>
        <charset val="134"/>
        <scheme val="minor"/>
      </rPr>
      <t>锦说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</si>
  <si>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汽酒; 清酒（日本米酒）</t>
    </r>
  </si>
  <si>
    <t>黎黎极养</t>
  </si>
  <si>
    <t>北京黎黎极养科技有限公司</t>
  </si>
  <si>
    <r>
      <t>果酒（含酒精）; 白酒; 葡萄酒; 青稞酒; 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</si>
  <si>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FLOATOPIA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</si>
  <si>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</si>
  <si>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邑司康德</t>
  </si>
  <si>
    <t>石姚庭</t>
  </si>
  <si>
    <r>
      <t xml:space="preserve">威士忌; 起泡白葡萄酒; 含酒精的气泡水; 水果汽酒;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</si>
  <si>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苗康婷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</si>
  <si>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州恒善康生物科技有限公司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</si>
  <si>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高粱酒;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白干酒（中国白酒）;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</si>
  <si>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静默芳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</si>
  <si>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天津市善</t>
    </r>
    <r>
      <rPr>
        <sz val="11"/>
        <color theme="1"/>
        <rFont val="ＭＳ Ｐゴシック"/>
        <family val="3"/>
        <charset val="134"/>
        <scheme val="minor"/>
      </rPr>
      <t>缘纸</t>
    </r>
    <r>
      <rPr>
        <sz val="11"/>
        <color theme="1"/>
        <rFont val="ＭＳ Ｐゴシック"/>
        <family val="3"/>
        <charset val="128"/>
        <scheme val="minor"/>
      </rPr>
      <t>制品有限公司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</si>
  <si>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食用酒精;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</t>
    </r>
  </si>
  <si>
    <t>奔霆富泰</t>
  </si>
  <si>
    <r>
      <t>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水果汽酒;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含酒精的气泡水</t>
    </r>
  </si>
  <si>
    <r>
      <t>北京温泉科技园运</t>
    </r>
    <r>
      <rPr>
        <sz val="11"/>
        <color theme="1"/>
        <rFont val="ＭＳ Ｐゴシック"/>
        <family val="3"/>
        <charset val="134"/>
        <scheme val="minor"/>
      </rPr>
      <t>营发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</si>
  <si>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开胃酒;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</si>
  <si>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雅王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</si>
  <si>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在田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</si>
  <si>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汽酒; 果酒;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葡萄酒;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</si>
  <si>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HOLY BLUE</t>
  </si>
  <si>
    <t>季浩然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</si>
  <si>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汽酒; 葡萄酒;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</si>
  <si>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巩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特</t>
    </r>
  </si>
  <si>
    <r>
      <t xml:space="preserve">果酒（含酒精）; 开胃酒;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葡萄酒;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</si>
  <si>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礼中喜</t>
  </si>
  <si>
    <r>
      <t>鲜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</si>
  <si>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米酒;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</si>
  <si>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道</t>
    </r>
    <r>
      <rPr>
        <sz val="11"/>
        <color theme="1"/>
        <rFont val="ＭＳ Ｐゴシック"/>
        <family val="3"/>
        <charset val="134"/>
        <scheme val="minor"/>
      </rPr>
      <t>锦缘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</si>
  <si>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葡萄酒;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威士忌; 白酒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</si>
  <si>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香令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</si>
  <si>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葡萄酒; 威士忌; 米酒; 开胃酒</t>
    </r>
  </si>
  <si>
    <r>
      <t>道香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</si>
  <si>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清酒（日本米酒）</t>
    </r>
  </si>
  <si>
    <t>匠蕊枋</t>
  </si>
  <si>
    <r>
      <t>深圳市威世</t>
    </r>
    <r>
      <rPr>
        <sz val="11"/>
        <color theme="1"/>
        <rFont val="ＭＳ Ｐゴシック"/>
        <family val="3"/>
        <charset val="134"/>
        <scheme val="minor"/>
      </rPr>
      <t>尔顿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</si>
  <si>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葡萄酒; 蒸煮提取物（利口酒和烈酒）</t>
    </r>
  </si>
  <si>
    <r>
      <t>迈</t>
    </r>
    <r>
      <rPr>
        <sz val="11"/>
        <color theme="1"/>
        <rFont val="ＭＳ Ｐゴシック"/>
        <family val="3"/>
        <charset val="128"/>
        <scheme val="minor"/>
      </rPr>
      <t>巴赫名仕 MAYBACH MINGSHI</t>
    </r>
  </si>
  <si>
    <r>
      <t>河南崇道商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</si>
  <si>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葡萄酒; 蒸煮提取物（利口酒和烈酒）; 白酒;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</si>
  <si>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仟海之富</t>
  </si>
  <si>
    <r>
      <t>北海富宝商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</si>
  <si>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果酒; 白酒; 含酒精的气泡水; 威士忌; 水果汽酒;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</si>
  <si>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仙御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</si>
  <si>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 xml:space="preserve">米酒;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果酒（含酒精）</t>
    </r>
  </si>
  <si>
    <r>
      <t>MORVERLAN 莫威</t>
    </r>
    <r>
      <rPr>
        <sz val="11"/>
        <color theme="1"/>
        <rFont val="ＭＳ Ｐゴシック"/>
        <family val="3"/>
        <charset val="134"/>
        <scheme val="minor"/>
      </rPr>
      <t>兰</t>
    </r>
  </si>
  <si>
    <t>周奇松</t>
  </si>
  <si>
    <r>
      <t>白酒; 米酒; 葡萄酒;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</t>
    </r>
  </si>
  <si>
    <r>
      <t>邑</t>
    </r>
    <r>
      <rPr>
        <sz val="11"/>
        <color theme="1"/>
        <rFont val="ＭＳ Ｐゴシック"/>
        <family val="3"/>
        <charset val="134"/>
        <scheme val="minor"/>
      </rPr>
      <t>颂</t>
    </r>
    <r>
      <rPr>
        <sz val="11"/>
        <color theme="1"/>
        <rFont val="ＭＳ Ｐゴシック"/>
        <family val="3"/>
        <charset val="128"/>
        <scheme val="minor"/>
      </rPr>
      <t>雅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</si>
  <si>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>水果汽酒; 葡萄酒; 起泡白葡萄酒; 果酒; 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含酒精的气泡水</t>
    </r>
  </si>
  <si>
    <t>丑娘</t>
  </si>
  <si>
    <r>
      <t>安徽太阳城百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</si>
  <si>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开胃酒; 利口酒; 白酒; 果酒（含酒精）;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</si>
  <si>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天福</t>
    </r>
  </si>
  <si>
    <r>
      <t>福建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天福茶叶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展基金会</t>
    </r>
  </si>
  <si>
    <r>
      <t xml:space="preserve">威士忌; 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</t>
    </r>
  </si>
  <si>
    <r>
      <t>晋馥</t>
    </r>
    <r>
      <rPr>
        <sz val="11"/>
        <color theme="1"/>
        <rFont val="ＭＳ Ｐゴシック"/>
        <family val="3"/>
        <charset val="129"/>
        <scheme val="minor"/>
      </rPr>
      <t>喻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</si>
  <si>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会杰</t>
    </r>
  </si>
  <si>
    <r>
      <t xml:space="preserve">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</t>
    </r>
  </si>
  <si>
    <t>李琛琛</t>
  </si>
  <si>
    <r>
      <t>汽酒; 开胃酒;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白酒; 葡萄酒;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</t>
    </r>
  </si>
  <si>
    <t>江小渡</t>
  </si>
  <si>
    <r>
      <t>陈剑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</si>
  <si>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</si>
  <si>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贵兴</t>
    </r>
    <r>
      <rPr>
        <sz val="11"/>
        <color theme="1"/>
        <rFont val="ＭＳ Ｐゴシック"/>
        <family val="3"/>
        <charset val="128"/>
        <scheme val="minor"/>
      </rPr>
      <t>达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</si>
  <si>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州遵</t>
    </r>
    <r>
      <rPr>
        <sz val="11"/>
        <color theme="1"/>
        <rFont val="ＭＳ Ｐゴシック"/>
        <family val="3"/>
        <charset val="134"/>
        <scheme val="minor"/>
      </rPr>
      <t>义贵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食品厂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</si>
  <si>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蜂蜜酒</t>
    </r>
  </si>
  <si>
    <t>兼酒窖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</si>
  <si>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伏特加酒</t>
    </r>
  </si>
  <si>
    <t>干雅</t>
  </si>
  <si>
    <r>
      <t>南京紫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</si>
  <si>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青稞酒; 利口酒;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</si>
  <si>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VITANTINE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</si>
  <si>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葡萄酒; 果酒（含酒精）;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</si>
  <si>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垆</t>
    </r>
    <r>
      <rPr>
        <sz val="11"/>
        <color theme="1"/>
        <rFont val="ＭＳ Ｐゴシック"/>
        <family val="3"/>
        <charset val="128"/>
        <scheme val="minor"/>
      </rPr>
      <t>似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</si>
  <si>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城大曲酒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</si>
  <si>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</si>
  <si>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襄江醉月</t>
  </si>
  <si>
    <r>
      <t>白酒; 汽酒;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蜂蜜酒; 烈酒;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</si>
  <si>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金先姐</t>
  </si>
  <si>
    <r>
      <t>赵琼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</si>
  <si>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</si>
  <si>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辞</t>
    </r>
    <r>
      <rPr>
        <sz val="11"/>
        <color theme="1"/>
        <rFont val="ＭＳ Ｐゴシック"/>
        <family val="3"/>
        <charset val="134"/>
        <scheme val="minor"/>
      </rPr>
      <t>书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</si>
  <si>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岩金象酒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</si>
  <si>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</si>
  <si>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景溪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</si>
  <si>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清酒（日本米酒）; 食用酒精; 白酒; 米酒;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</si>
  <si>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孝言醉</t>
  </si>
  <si>
    <r>
      <t>贾</t>
    </r>
    <r>
      <rPr>
        <sz val="11"/>
        <color theme="1"/>
        <rFont val="ＭＳ Ｐゴシック"/>
        <family val="3"/>
        <charset val="128"/>
        <scheme val="minor"/>
      </rPr>
      <t>彦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</si>
  <si>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开胃酒; 食用酒精;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</t>
    </r>
  </si>
  <si>
    <t>MAYBACH MINGSHI</t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</si>
  <si>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黄酒; 威士忌</t>
    </r>
  </si>
  <si>
    <r>
      <t>星运日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</si>
  <si>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大光明米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</si>
  <si>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利口酒; 白酒; 果酒（含酒精）;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威士忌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</si>
  <si>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淋童楼</t>
    </r>
  </si>
  <si>
    <r>
      <t>谢远</t>
    </r>
    <r>
      <rPr>
        <sz val="11"/>
        <color theme="1"/>
        <rFont val="ＭＳ Ｐゴシック"/>
        <family val="3"/>
        <charset val="128"/>
        <scheme val="minor"/>
      </rPr>
      <t>奎******************</t>
    </r>
  </si>
  <si>
    <r>
      <t>蒸煮提取物（利口酒和烈酒）; 白酒; 烈酒;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</si>
  <si>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含酒精的气泡水; 果酒;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起泡白葡萄酒; 葡萄酒; 威士忌; 水果汽酒; 白酒</t>
    </r>
  </si>
  <si>
    <r>
      <t>中建高通（北京）建筑工程技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研究院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</si>
  <si>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汽酒; 伏特加酒;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果酒（含酒精）</t>
    </r>
  </si>
  <si>
    <t>塞尚熹微</t>
  </si>
  <si>
    <r>
      <t>宁夏熹微茶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</si>
  <si>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黄酒; 烈酒</t>
    </r>
  </si>
  <si>
    <t>MIN LV JIU</t>
  </si>
  <si>
    <r>
      <t>黎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</si>
  <si>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蒸煮提取物（利口酒和烈酒）</t>
    </r>
  </si>
  <si>
    <r>
      <t>单</t>
    </r>
    <r>
      <rPr>
        <sz val="11"/>
        <color theme="1"/>
        <rFont val="ＭＳ Ｐゴシック"/>
        <family val="3"/>
        <charset val="128"/>
        <scheme val="minor"/>
      </rPr>
      <t>家酒行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</si>
  <si>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</si>
  <si>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肆拾玖坊无极</t>
  </si>
  <si>
    <r>
      <t>肆拾玖坊（天津）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</si>
  <si>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白酒; 米酒; 葡萄酒; 开胃酒</t>
    </r>
  </si>
  <si>
    <t>周沙</t>
  </si>
  <si>
    <r>
      <t>郭玉</t>
    </r>
    <r>
      <rPr>
        <sz val="11"/>
        <color theme="1"/>
        <rFont val="ＭＳ Ｐゴシック"/>
        <family val="3"/>
        <charset val="134"/>
        <scheme val="minor"/>
      </rPr>
      <t>卫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</si>
  <si>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黄酒; 食用酒精;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</si>
  <si>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曙</t>
    </r>
  </si>
  <si>
    <r>
      <t>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食用酒精; 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</si>
  <si>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巩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二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</si>
  <si>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米酒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</si>
  <si>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仙灵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</si>
  <si>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烈酒</t>
    </r>
  </si>
  <si>
    <t>禧六朝</t>
  </si>
  <si>
    <r>
      <t>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</t>
    </r>
  </si>
  <si>
    <r>
      <t>门垭</t>
    </r>
    <r>
      <rPr>
        <sz val="11"/>
        <color theme="1"/>
        <rFont val="ＭＳ Ｐゴシック"/>
        <family val="3"/>
        <charset val="128"/>
        <scheme val="minor"/>
      </rPr>
      <t>寨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</si>
  <si>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锋扬</t>
    </r>
    <r>
      <rPr>
        <sz val="11"/>
        <color theme="1"/>
        <rFont val="ＭＳ Ｐゴシック"/>
        <family val="3"/>
        <charset val="128"/>
        <scheme val="minor"/>
      </rPr>
      <t>禾黍网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</si>
  <si>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</si>
  <si>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玉品荷</t>
  </si>
  <si>
    <r>
      <t>安徽九五至尊酒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</si>
  <si>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利口酒; 米酒; 白酒;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</si>
  <si>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翎</t>
    </r>
    <r>
      <rPr>
        <sz val="11"/>
        <color theme="1"/>
        <rFont val="ＭＳ Ｐゴシック"/>
        <family val="3"/>
        <charset val="134"/>
        <scheme val="minor"/>
      </rPr>
      <t>衔</t>
    </r>
  </si>
  <si>
    <r>
      <t>北京翎</t>
    </r>
    <r>
      <rPr>
        <sz val="11"/>
        <color theme="1"/>
        <rFont val="ＭＳ Ｐゴシック"/>
        <family val="3"/>
        <charset val="134"/>
        <scheme val="minor"/>
      </rPr>
      <t>衔</t>
    </r>
    <r>
      <rPr>
        <sz val="11"/>
        <color theme="1"/>
        <rFont val="ＭＳ Ｐゴシック"/>
        <family val="3"/>
        <charset val="128"/>
        <scheme val="minor"/>
      </rPr>
      <t>品牌管理咨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</si>
  <si>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梅酒; 利口酒;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白葡萄酒;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</si>
  <si>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拉夫熊猫</t>
  </si>
  <si>
    <r>
      <t>陈</t>
    </r>
    <r>
      <rPr>
        <sz val="11"/>
        <color theme="1"/>
        <rFont val="ＭＳ Ｐゴシック"/>
        <family val="3"/>
        <charset val="128"/>
        <scheme val="minor"/>
      </rPr>
      <t>立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</si>
  <si>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黄酒;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</si>
  <si>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椹昊</t>
  </si>
  <si>
    <r>
      <t>菏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金堤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肉制品有限公司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</si>
  <si>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黄酒;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</si>
  <si>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柏木河</t>
  </si>
  <si>
    <r>
      <t>四川省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多食品有限公司</t>
    </r>
  </si>
  <si>
    <r>
      <t>黄酒;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清酒（日本米酒）; 伏特加酒;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米酒）; 日式甜米酒</t>
    </r>
  </si>
  <si>
    <r>
      <t>桐</t>
    </r>
    <r>
      <rPr>
        <sz val="11"/>
        <color theme="1"/>
        <rFont val="ＭＳ Ｐゴシック"/>
        <family val="3"/>
        <charset val="134"/>
        <scheme val="minor"/>
      </rPr>
      <t>盐</t>
    </r>
    <r>
      <rPr>
        <sz val="11"/>
        <color theme="1"/>
        <rFont val="ＭＳ Ｐゴシック"/>
        <family val="3"/>
        <charset val="128"/>
        <scheme val="minor"/>
      </rPr>
      <t>古道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</si>
  <si>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莞市君子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</si>
  <si>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米酒</t>
    </r>
  </si>
  <si>
    <r>
      <t>呵百</t>
    </r>
    <r>
      <rPr>
        <sz val="11"/>
        <color theme="1"/>
        <rFont val="ＭＳ Ｐゴシック"/>
        <family val="3"/>
        <charset val="134"/>
        <scheme val="minor"/>
      </rPr>
      <t>纯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</si>
  <si>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巧枝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</si>
  <si>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</si>
  <si>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柯祝呈祥</t>
  </si>
  <si>
    <r>
      <t>江</t>
    </r>
    <r>
      <rPr>
        <sz val="11"/>
        <color theme="1"/>
        <rFont val="ＭＳ Ｐゴシック"/>
        <family val="3"/>
        <charset val="134"/>
        <scheme val="minor"/>
      </rPr>
      <t>兴龙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</si>
  <si>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甜酒;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</si>
  <si>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琴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零点</t>
    </r>
  </si>
  <si>
    <r>
      <t>吉林市喜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堂管理咨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</si>
  <si>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</si>
  <si>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</si>
  <si>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岑溪市开泰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牧有限公司</t>
    </r>
  </si>
  <si>
    <r>
      <t xml:space="preserve">蜂蜜酒;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米酒</t>
    </r>
  </si>
  <si>
    <t>蓉城簧</t>
  </si>
  <si>
    <r>
      <t>四川神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堂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</si>
  <si>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米酒</t>
    </r>
  </si>
  <si>
    <t>广品邦</t>
  </si>
  <si>
    <t>蔡桂娥</t>
  </si>
  <si>
    <r>
      <t>伏特加酒; 果酒（含酒精）; 黄酒; 食用酒精; 威士忌;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</si>
  <si>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千海</t>
    </r>
    <r>
      <rPr>
        <sz val="11"/>
        <color theme="1"/>
        <rFont val="ＭＳ Ｐゴシック"/>
        <family val="3"/>
        <charset val="134"/>
        <scheme val="minor"/>
      </rPr>
      <t>鱼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</si>
  <si>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名酒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</si>
  <si>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料(啤酒除外);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果酒(含酒精); 黄酒; 葡萄酒; 蒸煮提取物(利口酒和烈酒)</t>
    </r>
  </si>
  <si>
    <r>
      <t>哈朗咪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</si>
  <si>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>双江供</t>
    </r>
    <r>
      <rPr>
        <sz val="11"/>
        <color theme="1"/>
        <rFont val="ＭＳ Ｐゴシック"/>
        <family val="3"/>
        <charset val="134"/>
        <scheme val="minor"/>
      </rPr>
      <t>销资产经营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</si>
  <si>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黄酒; 水果汽酒;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</si>
  <si>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大复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</si>
  <si>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州复大生物医学科技有限公司</t>
    </r>
  </si>
  <si>
    <r>
      <t>白酒;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开胃酒;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</si>
  <si>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斟士</t>
    </r>
    <r>
      <rPr>
        <sz val="11"/>
        <color theme="1"/>
        <rFont val="ＭＳ Ｐゴシック"/>
        <family val="3"/>
        <charset val="134"/>
        <scheme val="minor"/>
      </rPr>
      <t>隐</t>
    </r>
  </si>
  <si>
    <t>叶燕燕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</si>
  <si>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葡萄酒; 黄酒; 清酒; 烈酒;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</si>
  <si>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灵官梯</t>
  </si>
  <si>
    <r>
      <t>陈兴</t>
    </r>
    <r>
      <rPr>
        <sz val="11"/>
        <color theme="1"/>
        <rFont val="ＭＳ Ｐゴシック"/>
        <family val="3"/>
        <charset val="128"/>
        <scheme val="minor"/>
      </rPr>
      <t>国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</si>
  <si>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高粱酒; 青稞酒; 白干酒（中国白酒）; 果酒（含酒精）;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苦味酒;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</si>
  <si>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LAUGH PANDA</t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</si>
  <si>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果酒; 黄酒; 米酒</t>
    </r>
  </si>
  <si>
    <t>TICAJOHN</t>
  </si>
  <si>
    <t>叶德恒</t>
  </si>
  <si>
    <r>
      <t>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</si>
  <si>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御多福</t>
  </si>
  <si>
    <r>
      <t>大回网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科技（北京）有限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</si>
  <si>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利口酒;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</si>
  <si>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方</t>
    </r>
    <r>
      <rPr>
        <sz val="11"/>
        <color theme="1"/>
        <rFont val="ＭＳ Ｐゴシック"/>
        <family val="3"/>
        <charset val="134"/>
        <scheme val="minor"/>
      </rPr>
      <t>镒</t>
    </r>
    <r>
      <rPr>
        <sz val="11"/>
        <color theme="1"/>
        <rFont val="ＭＳ Ｐゴシック"/>
        <family val="3"/>
        <charset val="128"/>
        <scheme val="minor"/>
      </rPr>
      <t>三四五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</si>
  <si>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简单</t>
    </r>
    <r>
      <rPr>
        <sz val="11"/>
        <color theme="1"/>
        <rFont val="ＭＳ Ｐゴシック"/>
        <family val="3"/>
        <charset val="128"/>
        <scheme val="minor"/>
      </rPr>
      <t>点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</si>
  <si>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米酒; 白酒; 开胃酒;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</si>
  <si>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 xml:space="preserve">ROMSMLSEN 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小森</t>
    </r>
  </si>
  <si>
    <t>吴美基</t>
  </si>
  <si>
    <r>
      <t>果酒（含酒精）;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梅酒; 威士忌</t>
    </r>
  </si>
  <si>
    <t>塞罕金葫芦</t>
  </si>
  <si>
    <r>
      <t>河北塞罕金葫芦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</si>
  <si>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苦味酒;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</si>
  <si>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梅菊</t>
    </r>
  </si>
  <si>
    <r>
      <t>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威士忌; 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</t>
    </r>
  </si>
  <si>
    <r>
      <t>怀</t>
    </r>
    <r>
      <rPr>
        <sz val="11"/>
        <color theme="1"/>
        <rFont val="ＭＳ Ｐゴシック"/>
        <family val="3"/>
        <charset val="134"/>
        <scheme val="minor"/>
      </rPr>
      <t>谜</t>
    </r>
  </si>
  <si>
    <t>史秋吓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</si>
  <si>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米酒;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</si>
  <si>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淼央</t>
  </si>
  <si>
    <t>赵华</t>
  </si>
  <si>
    <r>
      <t>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</si>
  <si>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优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初</t>
    </r>
  </si>
  <si>
    <r>
      <t>深圳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大互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网信息服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</si>
  <si>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</si>
  <si>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DRESLY</t>
  </si>
  <si>
    <r>
      <t>陈</t>
    </r>
    <r>
      <rPr>
        <sz val="11"/>
        <color theme="1"/>
        <rFont val="ＭＳ Ｐゴシック"/>
        <family val="3"/>
        <charset val="128"/>
        <scheme val="minor"/>
      </rPr>
      <t>广博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</si>
  <si>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含酒精的气泡水;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</si>
  <si>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乾</t>
    </r>
    <r>
      <rPr>
        <sz val="11"/>
        <color theme="1"/>
        <rFont val="ＭＳ Ｐゴシック"/>
        <family val="3"/>
        <charset val="129"/>
        <scheme val="minor"/>
      </rPr>
      <t>朵朵</t>
    </r>
  </si>
  <si>
    <r>
      <t>天津乾云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</si>
  <si>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果酒; 开胃酒; 甜酒; 佐餐酒;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</si>
  <si>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冲洞泉</t>
  </si>
  <si>
    <r>
      <t>四川省洞子窖酒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</si>
  <si>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蒸煮提取物（利口酒和烈酒）; 食用酒精; 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果酒; 青梅酒; 露酒</t>
    </r>
  </si>
  <si>
    <t>米小珍</t>
  </si>
  <si>
    <r>
      <t>陈</t>
    </r>
    <r>
      <rPr>
        <sz val="11"/>
        <color theme="1"/>
        <rFont val="ＭＳ Ｐゴシック"/>
        <family val="3"/>
        <charset val="128"/>
        <scheme val="minor"/>
      </rPr>
      <t>阳</t>
    </r>
  </si>
  <si>
    <r>
      <t>果酒（含酒精）; 威士忌; 米酒; 白酒; 梅酒; 露酒;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</si>
  <si>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白酒; 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含酒精的气泡水; 起泡白葡萄酒;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水果汽酒;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</t>
    </r>
  </si>
  <si>
    <r>
      <t>三晋雄</t>
    </r>
    <r>
      <rPr>
        <sz val="11"/>
        <color theme="1"/>
        <rFont val="ＭＳ Ｐゴシック"/>
        <family val="3"/>
        <charset val="134"/>
        <scheme val="minor"/>
      </rPr>
      <t>图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</si>
  <si>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现辉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</si>
  <si>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烈酒; 白酒;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</t>
    </r>
  </si>
  <si>
    <t>SHUNH</t>
  </si>
  <si>
    <r>
      <t>四川清河湾酒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</si>
  <si>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</t>
    </r>
  </si>
  <si>
    <t>相茆</t>
  </si>
  <si>
    <r>
      <t>阳谷</t>
    </r>
    <r>
      <rPr>
        <sz val="11"/>
        <color theme="1"/>
        <rFont val="ＭＳ Ｐゴシック"/>
        <family val="3"/>
        <charset val="134"/>
        <scheme val="minor"/>
      </rPr>
      <t>吕</t>
    </r>
    <r>
      <rPr>
        <sz val="11"/>
        <color theme="1"/>
        <rFont val="ＭＳ Ｐゴシック"/>
        <family val="3"/>
        <charset val="128"/>
        <scheme val="minor"/>
      </rPr>
      <t>氏酒厂</t>
    </r>
  </si>
  <si>
    <r>
      <t>白酒; 开胃酒; 高粱酒;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黄酒</t>
    </r>
  </si>
  <si>
    <t>速萄</t>
  </si>
  <si>
    <r>
      <t>深圳墨亭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</si>
  <si>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黄酒; 白酒;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烈酒; 清酒</t>
    </r>
  </si>
  <si>
    <t>MORADWINERY</t>
  </si>
  <si>
    <r>
      <t>山西甄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</si>
  <si>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</si>
  <si>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山河逐鹿</t>
  </si>
  <si>
    <r>
      <t>烈酒;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白酒;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</si>
  <si>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合</t>
    </r>
    <r>
      <rPr>
        <sz val="11"/>
        <color theme="1"/>
        <rFont val="ＭＳ Ｐゴシック"/>
        <family val="3"/>
        <charset val="134"/>
        <scheme val="minor"/>
      </rPr>
      <t>赣</t>
    </r>
    <r>
      <rPr>
        <sz val="11"/>
        <color theme="1"/>
        <rFont val="ＭＳ Ｐゴシック"/>
        <family val="3"/>
        <charset val="128"/>
        <scheme val="minor"/>
      </rPr>
      <t>肴</t>
    </r>
  </si>
  <si>
    <t>周小兵</t>
  </si>
  <si>
    <r>
      <t xml:space="preserve">开胃酒; 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</si>
  <si>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嘉禾通达</t>
  </si>
  <si>
    <r>
      <t>四川中嘉禾运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</si>
  <si>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果酒(含酒精); 黄酒; 食用酒精; 米酒; 白酒;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料); 葡萄酒</t>
    </r>
  </si>
  <si>
    <t>哈剌基</t>
  </si>
  <si>
    <r>
      <t>山西瓷酒文化咨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</si>
  <si>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露酒;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烈酒; 米酒</t>
    </r>
  </si>
  <si>
    <r>
      <t>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力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</si>
  <si>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>天津恒麦国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</si>
  <si>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苹果酒;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</t>
    </r>
  </si>
  <si>
    <t>黔大儒</t>
  </si>
  <si>
    <r>
      <t>米酒;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</si>
  <si>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玄稻台</t>
  </si>
  <si>
    <r>
      <t>唐益</t>
    </r>
    <r>
      <rPr>
        <sz val="11"/>
        <color theme="1"/>
        <rFont val="ＭＳ Ｐゴシック"/>
        <family val="3"/>
        <charset val="134"/>
        <scheme val="minor"/>
      </rPr>
      <t>谊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</si>
  <si>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青稞酒; 白酒;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</si>
  <si>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会稽江南月</t>
  </si>
  <si>
    <r>
      <t>谈</t>
    </r>
    <r>
      <rPr>
        <sz val="11"/>
        <color theme="1"/>
        <rFont val="ＭＳ Ｐゴシック"/>
        <family val="3"/>
        <charset val="128"/>
        <scheme val="minor"/>
      </rPr>
      <t>秋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</si>
  <si>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甘蔗制烈酒; 蜂蜜酒; 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</si>
  <si>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t>喆意台</t>
  </si>
  <si>
    <r>
      <t>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葡萄酒; 果酒; 黄酒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</si>
  <si>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里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</si>
  <si>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高策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</si>
  <si>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果酒（含酒精）; 苹果酒; 露酒; 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青梅酒;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葡萄酒; 日本梅子酒</t>
    </r>
  </si>
  <si>
    <t>椰醉翁</t>
  </si>
  <si>
    <r>
      <t>吴川市振文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力酒厂</t>
    </r>
  </si>
  <si>
    <r>
      <t>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</si>
  <si>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米小恋</t>
  </si>
  <si>
    <t>郭友明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</si>
  <si>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露酒; 梅酒; 米酒; 黄酒</t>
    </r>
  </si>
  <si>
    <t>醉柏木</t>
  </si>
  <si>
    <r>
      <t>伏特加酒;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黄酒; 果酒（含酒精）;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 xml:space="preserve">米酒）; 米酒; 日式甜米酒;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</si>
  <si>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POR AMOR</t>
  </si>
  <si>
    <r>
      <t>黛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吉奥墨西哥</t>
    </r>
    <r>
      <rPr>
        <sz val="11"/>
        <color theme="1"/>
        <rFont val="ＭＳ Ｐゴシック"/>
        <family val="3"/>
        <charset val="134"/>
        <scheme val="minor"/>
      </rPr>
      <t>经销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</si>
  <si>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</si>
  <si>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水桂坊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</si>
  <si>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岛汉兰</t>
    </r>
    <r>
      <rPr>
        <sz val="11"/>
        <color theme="1"/>
        <rFont val="ＭＳ Ｐゴシック"/>
        <family val="3"/>
        <charset val="128"/>
        <scheme val="minor"/>
      </rPr>
      <t>达啤酒有限公司</t>
    </r>
  </si>
  <si>
    <r>
      <t xml:space="preserve">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果酒(含酒精); 白酒; 苹果酒;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</si>
  <si>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太樽</t>
    </r>
  </si>
  <si>
    <r>
      <t>唐家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</si>
  <si>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果酒（含酒精）; 葡萄酒; 清酒（日本米酒）; 开胃酒</t>
    </r>
  </si>
  <si>
    <t>米小源</t>
  </si>
  <si>
    <r>
      <t>吕</t>
    </r>
    <r>
      <rPr>
        <sz val="11"/>
        <color theme="1"/>
        <rFont val="ＭＳ Ｐゴシック"/>
        <family val="3"/>
        <charset val="128"/>
        <scheme val="minor"/>
      </rPr>
      <t>召政</t>
    </r>
  </si>
  <si>
    <r>
      <t>露酒; 梅酒; 果酒（含酒精）;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白酒</t>
    </r>
  </si>
  <si>
    <t>幸福梁</t>
  </si>
  <si>
    <r>
      <t>张</t>
    </r>
    <r>
      <rPr>
        <sz val="11"/>
        <color theme="1"/>
        <rFont val="ＭＳ Ｐゴシック"/>
        <family val="3"/>
        <charset val="128"/>
        <scheme val="minor"/>
      </rPr>
      <t>月珍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</si>
  <si>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</si>
  <si>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SANSENSUN</t>
  </si>
  <si>
    <t>广西三生酒庄有限公司</t>
  </si>
  <si>
    <r>
      <t>米酒;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</si>
  <si>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t>X-LYS-JKYJ-O</t>
  </si>
  <si>
    <r>
      <t xml:space="preserve">不起泡葡萄酒;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葡萄汽酒; 威士忌; 加烈葡萄酒; 佐餐酒; 混合威士忌酒; 葡萄酒</t>
    </r>
  </si>
  <si>
    <r>
      <t>嵔</t>
    </r>
    <r>
      <rPr>
        <sz val="11"/>
        <color theme="1"/>
        <rFont val="ＭＳ Ｐゴシック"/>
        <family val="3"/>
        <charset val="128"/>
        <scheme val="minor"/>
      </rPr>
      <t>岭古道</t>
    </r>
  </si>
  <si>
    <r>
      <t>廖旺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</si>
  <si>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汽酒; 白酒; 食用酒精;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</si>
  <si>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佬派潭</t>
  </si>
  <si>
    <t>秦秋叶</t>
  </si>
  <si>
    <r>
      <t>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</si>
  <si>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嵔</t>
    </r>
    <r>
      <rPr>
        <sz val="11"/>
        <color theme="1"/>
        <rFont val="ＭＳ Ｐゴシック"/>
        <family val="3"/>
        <charset val="128"/>
        <scheme val="minor"/>
      </rPr>
      <t>岭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</si>
  <si>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</si>
  <si>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西域侯</t>
  </si>
  <si>
    <t>丁江浩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</si>
  <si>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</si>
  <si>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EGSR</t>
  </si>
  <si>
    <r>
      <t>王国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</si>
  <si>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</si>
  <si>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鹊</t>
    </r>
    <r>
      <rPr>
        <sz val="11"/>
        <color theme="1"/>
        <rFont val="ＭＳ Ｐゴシック"/>
        <family val="3"/>
        <charset val="128"/>
        <scheme val="minor"/>
      </rPr>
      <t>池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</si>
  <si>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</si>
  <si>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乡坛</t>
    </r>
    <r>
      <rPr>
        <sz val="11"/>
        <color theme="1"/>
        <rFont val="ＭＳ Ｐゴシック"/>
        <family val="3"/>
        <charset val="128"/>
        <scheme val="minor"/>
      </rPr>
      <t>翁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</si>
  <si>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</si>
  <si>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首杜</t>
  </si>
  <si>
    <r>
      <t>崔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</si>
  <si>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>清酒（日本米酒）;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伏特加酒; 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</si>
  <si>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久福台</t>
  </si>
  <si>
    <r>
      <t>深圳虎派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</si>
  <si>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黄酒; 蜂蜜酒;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</si>
  <si>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LONGJIANGDIYIWAN</t>
  </si>
  <si>
    <r>
      <t>大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安岭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</si>
  <si>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茴香酒（利口酒）;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</t>
    </r>
  </si>
  <si>
    <t>NBANINA</t>
  </si>
  <si>
    <r>
      <t>锡</t>
    </r>
    <r>
      <rPr>
        <sz val="11"/>
        <color theme="1"/>
        <rFont val="ＭＳ Ｐゴシック"/>
        <family val="3"/>
        <charset val="128"/>
        <scheme val="minor"/>
      </rPr>
      <t>山区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北塘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娜</t>
    </r>
    <r>
      <rPr>
        <sz val="11"/>
        <color theme="1"/>
        <rFont val="ＭＳ Ｐゴシック"/>
        <family val="3"/>
        <charset val="134"/>
        <scheme val="minor"/>
      </rPr>
      <t>农场</t>
    </r>
    <r>
      <rPr>
        <sz val="11"/>
        <color theme="1"/>
        <rFont val="ＭＳ Ｐゴシック"/>
        <family val="3"/>
        <charset val="128"/>
        <scheme val="minor"/>
      </rPr>
      <t>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</si>
  <si>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利口酒;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果酒; 甜酒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</si>
  <si>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莞想喝就喝文化有限公司</t>
    </r>
  </si>
  <si>
    <r>
      <t>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冷</t>
    </r>
    <r>
      <rPr>
        <sz val="11"/>
        <color theme="1"/>
        <rFont val="ＭＳ Ｐゴシック"/>
        <family val="3"/>
        <charset val="134"/>
        <scheme val="minor"/>
      </rPr>
      <t>冻</t>
    </r>
    <r>
      <rPr>
        <sz val="11"/>
        <color theme="1"/>
        <rFont val="ＭＳ Ｐゴシック"/>
        <family val="3"/>
        <charset val="128"/>
        <scheme val="minor"/>
      </rPr>
      <t>凝胶状的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</si>
  <si>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塔漠从容</t>
  </si>
  <si>
    <r>
      <t>鹏</t>
    </r>
    <r>
      <rPr>
        <sz val="11"/>
        <color theme="1"/>
        <rFont val="ＭＳ Ｐゴシック"/>
        <family val="3"/>
        <charset val="128"/>
        <scheme val="minor"/>
      </rPr>
      <t>程生</t>
    </r>
    <r>
      <rPr>
        <sz val="11"/>
        <color theme="1"/>
        <rFont val="ＭＳ Ｐゴシック"/>
        <family val="3"/>
        <charset val="134"/>
        <scheme val="minor"/>
      </rPr>
      <t>态农</t>
    </r>
    <r>
      <rPr>
        <sz val="11"/>
        <color theme="1"/>
        <rFont val="ＭＳ Ｐゴシック"/>
        <family val="3"/>
        <charset val="128"/>
        <scheme val="minor"/>
      </rPr>
      <t>林科技(且末)有限公司</t>
    </r>
  </si>
  <si>
    <r>
      <t>利口酒;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柑香酒; 威士忌; 青稞酒; 果酒（含酒精）;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</t>
    </r>
  </si>
  <si>
    <t>LANAUSTRI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</si>
  <si>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食用酒精; 米酒; 白酒;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</si>
  <si>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来吉</t>
    </r>
    <r>
      <rPr>
        <sz val="11"/>
        <color theme="1"/>
        <rFont val="ＭＳ Ｐゴシック"/>
        <family val="3"/>
        <charset val="134"/>
        <scheme val="minor"/>
      </rPr>
      <t>壶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</si>
  <si>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门烨</t>
    </r>
    <r>
      <rPr>
        <sz val="11"/>
        <color theme="1"/>
        <rFont val="ＭＳ Ｐゴシック"/>
        <family val="3"/>
        <charset val="128"/>
        <scheme val="minor"/>
      </rPr>
      <t>睿科技有限公司</t>
    </r>
  </si>
  <si>
    <r>
      <t>果酒（含酒精）;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葡萄酒; 食用酒精</t>
    </r>
  </si>
  <si>
    <t>广州元星品牌管理有限公司</t>
  </si>
  <si>
    <r>
      <t xml:space="preserve">清酒;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汽酒</t>
    </r>
  </si>
  <si>
    <t>北菁</t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</si>
  <si>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摆</t>
    </r>
    <r>
      <rPr>
        <sz val="11"/>
        <color theme="1"/>
        <rFont val="ＭＳ Ｐゴシック"/>
        <family val="3"/>
        <charset val="128"/>
        <scheme val="minor"/>
      </rPr>
      <t>渡中医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园有限公司</t>
    </r>
  </si>
  <si>
    <r>
      <t>汽酒; 白酒; 露酒; 高粱酒; 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果酒（含酒精）</t>
    </r>
  </si>
  <si>
    <t>径丰楼</t>
  </si>
  <si>
    <r>
      <t>赣</t>
    </r>
    <r>
      <rPr>
        <sz val="11"/>
        <color theme="1"/>
        <rFont val="ＭＳ Ｐゴシック"/>
        <family val="3"/>
        <charset val="128"/>
        <scheme val="minor"/>
      </rPr>
      <t>州径丰楼工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</si>
  <si>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酸酒（低等葡萄酒）; 葡萄酒; 威士忌; 米酒; 餐后酒（利口酒和烈酒）; 果酒（含酒精）; 蜂蜜酒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</si>
  <si>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匠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</si>
  <si>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郑亚</t>
    </r>
    <r>
      <rPr>
        <sz val="11"/>
        <color theme="1"/>
        <rFont val="ＭＳ Ｐゴシック"/>
        <family val="3"/>
        <charset val="128"/>
        <scheme val="minor"/>
      </rPr>
      <t>玲</t>
    </r>
  </si>
  <si>
    <r>
      <t>烈酒;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果酒（含酒精）; 白酒; 清酒（日本米酒）; 威士忌</t>
    </r>
  </si>
  <si>
    <r>
      <t>舆</t>
    </r>
    <r>
      <rPr>
        <sz val="11"/>
        <color theme="1"/>
        <rFont val="ＭＳ Ｐゴシック"/>
        <family val="3"/>
        <charset val="128"/>
        <scheme val="minor"/>
      </rPr>
      <t>山集</t>
    </r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</si>
  <si>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屿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</si>
  <si>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果酒; 米酒; 梅酒; 烈酒;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</si>
  <si>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阳明万寿</t>
  </si>
  <si>
    <r>
      <t>双牌</t>
    </r>
    <r>
      <rPr>
        <sz val="11"/>
        <color theme="1"/>
        <rFont val="ＭＳ Ｐゴシック"/>
        <family val="3"/>
        <charset val="134"/>
        <scheme val="minor"/>
      </rPr>
      <t>泷</t>
    </r>
    <r>
      <rPr>
        <sz val="11"/>
        <color theme="1"/>
        <rFont val="ＭＳ Ｐゴシック"/>
        <family val="3"/>
        <charset val="128"/>
        <scheme val="minor"/>
      </rPr>
      <t>旅集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</si>
  <si>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米酒; 黄酒; 葡萄酒;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茴香酒</t>
    </r>
  </si>
  <si>
    <r>
      <t>北菁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</si>
  <si>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 xml:space="preserve">果酒（含酒精）; 果酒; 高粱酒; 甜酒;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</si>
  <si>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北菁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</si>
  <si>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高粱酒; 米酒; 白酒; 露酒;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果酒</t>
    </r>
  </si>
  <si>
    <r>
      <t>天存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</si>
  <si>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 xml:space="preserve">利口酒;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朗姆酒; 高粱酒; 白酒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</si>
  <si>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</si>
  <si>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州匡家企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</si>
  <si>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利口酒;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蒸煮提取物（利口酒和烈酒）; 露酒; 果酒; 白酒; 食用酒精;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</si>
  <si>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荣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真</t>
    </r>
  </si>
  <si>
    <r>
      <t>四川荣和聚友商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</si>
  <si>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汽酒; 白酒; 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</si>
  <si>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t>仙取名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</si>
  <si>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威士忌;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</si>
  <si>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万和阳明</t>
  </si>
  <si>
    <r>
      <t xml:space="preserve">果酒（含酒精）; 黄酒; 茴香酒; 米酒;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</si>
  <si>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佈侷星途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</si>
  <si>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仕申体育用品有限公司</t>
    </r>
  </si>
  <si>
    <r>
      <t xml:space="preserve">咖啡利口酒; 甜酒; 露酒;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奶油利口酒;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</si>
  <si>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夷城往事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</si>
  <si>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庸之道酒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</si>
  <si>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咖啡利口酒;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</si>
  <si>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夷安往事</t>
  </si>
  <si>
    <r>
      <t>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咖啡利口酒; 白酒;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</si>
  <si>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ANENHONA</t>
  </si>
  <si>
    <r>
      <t>果酒; 利口酒;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</si>
  <si>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呜</t>
    </r>
    <r>
      <rPr>
        <sz val="11"/>
        <color theme="1"/>
        <rFont val="ＭＳ Ｐゴシック"/>
        <family val="3"/>
        <charset val="128"/>
        <scheme val="minor"/>
      </rPr>
      <t>孜慕扎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 xml:space="preserve"> UZUMMEZAAR</t>
    </r>
  </si>
  <si>
    <t>阿卜力克木·麦提托合提</t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</si>
  <si>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葡萄潘趣酒; 汽酒; 果酒; 薄荷酒</t>
    </r>
  </si>
  <si>
    <t>虹养</t>
  </si>
  <si>
    <r>
      <t>陈</t>
    </r>
    <r>
      <rPr>
        <sz val="11"/>
        <color theme="1"/>
        <rFont val="ＭＳ Ｐゴシック"/>
        <family val="3"/>
        <charset val="128"/>
        <scheme val="minor"/>
      </rPr>
      <t>克丹</t>
    </r>
  </si>
  <si>
    <r>
      <t>蜂蜜酒; 米酒; 葡萄酒; 黄酒; 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甜酒</t>
    </r>
  </si>
  <si>
    <r>
      <t>北菁</t>
    </r>
    <r>
      <rPr>
        <sz val="11"/>
        <color theme="1"/>
        <rFont val="ＭＳ Ｐゴシック"/>
        <family val="3"/>
        <charset val="134"/>
        <scheme val="minor"/>
      </rPr>
      <t>赞</t>
    </r>
  </si>
  <si>
    <r>
      <t>果酒（含酒精）;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果酒;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汽酒</t>
    </r>
  </si>
  <si>
    <r>
      <t>夜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</si>
  <si>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</si>
  <si>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盛唐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</si>
  <si>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庆乐</t>
    </r>
    <r>
      <rPr>
        <sz val="11"/>
        <color theme="1"/>
        <rFont val="ＭＳ Ｐゴシック"/>
        <family val="3"/>
        <charset val="128"/>
        <scheme val="minor"/>
      </rPr>
      <t>唐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</si>
  <si>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食用酒精; 开胃酒; 酸酒（低等葡萄酒）</t>
    </r>
  </si>
  <si>
    <r>
      <t>梅</t>
    </r>
    <r>
      <rPr>
        <sz val="11"/>
        <color theme="1"/>
        <rFont val="ＭＳ Ｐゴシック"/>
        <family val="3"/>
        <charset val="134"/>
        <scheme val="minor"/>
      </rPr>
      <t>乡欢</t>
    </r>
  </si>
  <si>
    <r>
      <t>胡幼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</si>
  <si>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食用酒精;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</si>
  <si>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牧阳嘉元</t>
  </si>
  <si>
    <r>
      <t>高全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</si>
  <si>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利口酒; 米酒; 黄酒</t>
    </r>
  </si>
  <si>
    <r>
      <t>匠王</t>
    </r>
    <r>
      <rPr>
        <sz val="11"/>
        <color theme="1"/>
        <rFont val="ＭＳ Ｐゴシック"/>
        <family val="3"/>
        <charset val="134"/>
        <scheme val="minor"/>
      </rPr>
      <t>浔</t>
    </r>
  </si>
  <si>
    <r>
      <t xml:space="preserve">白酒; 黄酒;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威士忌;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</si>
  <si>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暗梅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</si>
  <si>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伏特加酒;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葡萄酒</t>
    </r>
  </si>
  <si>
    <r>
      <t>潇</t>
    </r>
    <r>
      <rPr>
        <sz val="11"/>
        <color theme="1"/>
        <rFont val="ＭＳ Ｐゴシック"/>
        <family val="3"/>
        <charset val="128"/>
        <scheme val="minor"/>
      </rPr>
      <t>水一号</t>
    </r>
  </si>
  <si>
    <r>
      <t xml:space="preserve">米酒; 白酒; 茴香酒;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</si>
  <si>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JCTOP</t>
  </si>
  <si>
    <r>
      <t>商丘市精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工量具有限公司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</si>
  <si>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白酒</t>
    </r>
  </si>
  <si>
    <t>微悟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</si>
  <si>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威士忌; 米酒; 葡萄酒;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</t>
    </r>
  </si>
  <si>
    <r>
      <t>家园</t>
    </r>
    <r>
      <rPr>
        <sz val="11"/>
        <color theme="1"/>
        <rFont val="ＭＳ Ｐゴシック"/>
        <family val="3"/>
        <charset val="134"/>
        <scheme val="minor"/>
      </rPr>
      <t>热鲜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</si>
  <si>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俊玲</t>
    </r>
  </si>
  <si>
    <r>
      <t>开胃酒; 葡萄酒; 白酒;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</si>
  <si>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纯</t>
    </r>
    <r>
      <rPr>
        <sz val="11"/>
        <color theme="1"/>
        <rFont val="ＭＳ Ｐゴシック"/>
        <family val="3"/>
        <charset val="128"/>
        <scheme val="minor"/>
      </rPr>
      <t>提元素</t>
    </r>
  </si>
  <si>
    <r>
      <t>郴州市酷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地</t>
    </r>
    <r>
      <rPr>
        <sz val="11"/>
        <color theme="1"/>
        <rFont val="ＭＳ Ｐゴシック"/>
        <family val="3"/>
        <charset val="134"/>
        <scheme val="minor"/>
      </rPr>
      <t>带驾驶训练</t>
    </r>
    <r>
      <rPr>
        <sz val="11"/>
        <color theme="1"/>
        <rFont val="ＭＳ Ｐゴシック"/>
        <family val="3"/>
        <charset val="128"/>
        <scheme val="minor"/>
      </rPr>
      <t>基地有限公司</t>
    </r>
  </si>
  <si>
    <r>
      <t>威士忌; 青稞酒;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白酒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</si>
  <si>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城老</t>
    </r>
    <r>
      <rPr>
        <sz val="11"/>
        <color theme="1"/>
        <rFont val="ＭＳ Ｐゴシック"/>
        <family val="3"/>
        <charset val="134"/>
        <scheme val="minor"/>
      </rPr>
      <t>锄头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</si>
  <si>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市金帛土特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展</t>
    </r>
    <r>
      <rPr>
        <sz val="11"/>
        <color theme="1"/>
        <rFont val="ＭＳ Ｐゴシック"/>
        <family val="3"/>
        <charset val="134"/>
        <scheme val="minor"/>
      </rPr>
      <t>销厅</t>
    </r>
  </si>
  <si>
    <r>
      <t>葡萄酒;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米酒; 食用酒精; 黄酒</t>
    </r>
  </si>
  <si>
    <t>ZGLGDY</t>
  </si>
  <si>
    <r>
      <t>龙宫电</t>
    </r>
    <r>
      <rPr>
        <sz val="11"/>
        <color theme="1"/>
        <rFont val="ＭＳ Ｐゴシック"/>
        <family val="3"/>
        <charset val="128"/>
        <scheme val="minor"/>
      </rPr>
      <t>影文化有限公司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</si>
  <si>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</si>
  <si>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二妮</t>
    </r>
  </si>
  <si>
    <r>
      <t>宁夏醉心醉葡萄酒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</si>
  <si>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葡萄酒; 果酒;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加烈葡萄酒; 酸酒（低等葡萄酒）; 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</si>
  <si>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食氿春香</t>
  </si>
  <si>
    <t>吴福清</t>
  </si>
  <si>
    <r>
      <t>米酒; 蜂蜜酒; 甜果酒;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白酒; 葡萄酒; 食用酒精</t>
    </r>
  </si>
  <si>
    <r>
      <t>积</t>
    </r>
    <r>
      <rPr>
        <sz val="11"/>
        <color theme="1"/>
        <rFont val="ＭＳ Ｐゴシック"/>
        <family val="3"/>
        <charset val="128"/>
        <scheme val="minor"/>
      </rPr>
      <t>鹿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</si>
  <si>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总</t>
    </r>
    <r>
      <rPr>
        <sz val="11"/>
        <color theme="1"/>
        <rFont val="ＭＳ Ｐゴシック"/>
        <family val="3"/>
        <charset val="128"/>
        <scheme val="minor"/>
      </rPr>
      <t>厂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</si>
  <si>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汽酒; 白干酒（中国白酒）;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</si>
  <si>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r>
      <t>田喜粮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</si>
  <si>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喜地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（武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</si>
  <si>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t>离焱久</t>
  </si>
  <si>
    <r>
      <t>安徽云里兀里文化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</si>
  <si>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果酒; 苹果酒;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开胃酒; 米酒; 青稞酒</t>
    </r>
  </si>
  <si>
    <t>元智然</t>
  </si>
  <si>
    <r>
      <t>深圳市超体</t>
    </r>
    <r>
      <rPr>
        <sz val="11"/>
        <color theme="1"/>
        <rFont val="ＭＳ Ｐゴシック"/>
        <family val="3"/>
        <charset val="134"/>
        <scheme val="minor"/>
      </rPr>
      <t>实验</t>
    </r>
    <r>
      <rPr>
        <sz val="11"/>
        <color theme="1"/>
        <rFont val="ＭＳ Ｐゴシック"/>
        <family val="3"/>
        <charset val="128"/>
        <scheme val="minor"/>
      </rPr>
      <t>室有限公司</t>
    </r>
  </si>
  <si>
    <r>
      <t>苹果酒;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利口酒;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</si>
  <si>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NBAHONA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</si>
  <si>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米酒; 葡萄酒; 果酒; 利口酒</t>
    </r>
  </si>
  <si>
    <t>晋小伴</t>
  </si>
  <si>
    <t>魏祥燕******************</t>
  </si>
  <si>
    <r>
      <t>汽酒; 黄酒; 利口酒; 米酒; 白酒; 柑香酒;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酸酒（低等葡萄酒）;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</si>
  <si>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南山五福堂</t>
  </si>
  <si>
    <r>
      <t>南山五福堂（湖北）商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</si>
  <si>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食用酒精; 汽酒; 葡萄酒; 果酒;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</t>
    </r>
  </si>
  <si>
    <t>南山·五福堂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</si>
  <si>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米酒; 汽酒; 青稞酒;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</si>
  <si>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五千年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</si>
  <si>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伏特加酒; 黄酒; 白酒;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</t>
    </r>
  </si>
  <si>
    <r>
      <t>锡</t>
    </r>
    <r>
      <rPr>
        <sz val="11"/>
        <color theme="1"/>
        <rFont val="ＭＳ Ｐゴシック"/>
        <family val="3"/>
        <charset val="128"/>
        <scheme val="minor"/>
      </rPr>
      <t>彩</t>
    </r>
  </si>
  <si>
    <r>
      <t>锡</t>
    </r>
    <r>
      <rPr>
        <sz val="11"/>
        <color theme="1"/>
        <rFont val="ＭＳ Ｐゴシック"/>
        <family val="3"/>
        <charset val="128"/>
        <scheme val="minor"/>
      </rPr>
      <t>彩（无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</si>
  <si>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清酒;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</si>
  <si>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访尧</t>
    </r>
    <r>
      <rPr>
        <sz val="11"/>
        <color theme="1"/>
        <rFont val="ＭＳ Ｐゴシック"/>
        <family val="3"/>
        <charset val="128"/>
        <scheme val="minor"/>
      </rPr>
      <t>故事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</si>
  <si>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茴香酒; 白酒; 米酒; 黄酒;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</si>
  <si>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SNOW MAGIC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</si>
  <si>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象文化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</si>
  <si>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</si>
  <si>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烜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</si>
  <si>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川市西夏区</t>
    </r>
    <r>
      <rPr>
        <sz val="11"/>
        <color theme="1"/>
        <rFont val="ＭＳ Ｐゴシック"/>
        <family val="3"/>
        <charset val="134"/>
        <scheme val="minor"/>
      </rPr>
      <t>绘</t>
    </r>
    <r>
      <rPr>
        <sz val="11"/>
        <color theme="1"/>
        <rFont val="ＭＳ Ｐゴシック"/>
        <family val="3"/>
        <charset val="128"/>
        <scheme val="minor"/>
      </rPr>
      <t>者教育咨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工作室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</si>
  <si>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果酒; 威士忌;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</si>
  <si>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再</t>
    </r>
    <r>
      <rPr>
        <sz val="11"/>
        <color theme="1"/>
        <rFont val="ＭＳ Ｐゴシック"/>
        <family val="3"/>
        <charset val="134"/>
        <scheme val="minor"/>
      </rPr>
      <t>跃龙门</t>
    </r>
  </si>
  <si>
    <r>
      <t xml:space="preserve">米酒; 伏特加酒;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白酒; 葡萄酒; 果酒（含酒精）</t>
    </r>
  </si>
  <si>
    <t>福州佩伯酒店有限公司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</si>
  <si>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</si>
  <si>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梅林听雪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</si>
  <si>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果酒（含酒精）; 白酒;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</t>
    </r>
  </si>
  <si>
    <t>山海煌</t>
  </si>
  <si>
    <t>冯艳军</t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</si>
  <si>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食用酒精;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</si>
  <si>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督</t>
    </r>
    <r>
      <rPr>
        <sz val="11"/>
        <color theme="1"/>
        <rFont val="ＭＳ Ｐゴシック"/>
        <family val="3"/>
        <charset val="134"/>
        <scheme val="minor"/>
      </rPr>
      <t>鹃</t>
    </r>
  </si>
  <si>
    <r>
      <t xml:space="preserve">开胃酒;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</si>
  <si>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雪</t>
    </r>
    <r>
      <rPr>
        <sz val="11"/>
        <color theme="1"/>
        <rFont val="ＭＳ Ｐゴシック"/>
        <family val="3"/>
        <charset val="134"/>
        <scheme val="minor"/>
      </rPr>
      <t>蓝泽</t>
    </r>
  </si>
  <si>
    <r>
      <t>付</t>
    </r>
    <r>
      <rPr>
        <sz val="11"/>
        <color theme="1"/>
        <rFont val="ＭＳ Ｐゴシック"/>
        <family val="3"/>
        <charset val="134"/>
        <scheme val="minor"/>
      </rPr>
      <t>晓龙</t>
    </r>
  </si>
  <si>
    <r>
      <t xml:space="preserve">白葡萄酒;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黄酒; 果酒; 蜂蜜酒;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</t>
    </r>
  </si>
  <si>
    <t>小喜包儿</t>
  </si>
  <si>
    <r>
      <t>东</t>
    </r>
    <r>
      <rPr>
        <sz val="11"/>
        <color theme="1"/>
        <rFont val="ＭＳ Ｐゴシック"/>
        <family val="3"/>
        <charset val="128"/>
        <scheme val="minor"/>
      </rPr>
      <t>阿</t>
    </r>
    <r>
      <rPr>
        <sz val="11"/>
        <color theme="1"/>
        <rFont val="ＭＳ Ｐゴシック"/>
        <family val="3"/>
        <charset val="134"/>
        <scheme val="minor"/>
      </rPr>
      <t>县润</t>
    </r>
    <r>
      <rPr>
        <sz val="11"/>
        <color theme="1"/>
        <rFont val="ＭＳ Ｐゴシック"/>
        <family val="3"/>
        <charset val="128"/>
        <scheme val="minor"/>
      </rPr>
      <t>惠堂中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材有限公司</t>
    </r>
  </si>
  <si>
    <r>
      <t>甜酒; 食用酒精; 烈酒; 米酒; 葡萄酒; 白酒;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</si>
  <si>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THE GATE BY SHINGLEBACK</t>
  </si>
  <si>
    <r>
      <t>伊恩迪弗集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</si>
  <si>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洛朝暮酒</t>
  </si>
  <si>
    <r>
      <t>付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</si>
  <si>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</si>
  <si>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城禧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</si>
  <si>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城知礼（泉州）文化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</si>
  <si>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开胃酒; 葡萄酒; 白酒</t>
    </r>
  </si>
  <si>
    <r>
      <t>中酒</t>
    </r>
    <r>
      <rPr>
        <sz val="11"/>
        <color theme="1"/>
        <rFont val="ＭＳ Ｐゴシック"/>
        <family val="3"/>
        <charset val="134"/>
        <scheme val="minor"/>
      </rPr>
      <t>汇联</t>
    </r>
    <r>
      <rPr>
        <sz val="11"/>
        <color theme="1"/>
        <rFont val="ＭＳ Ｐゴシック"/>
        <family val="3"/>
        <charset val="128"/>
        <scheme val="minor"/>
      </rPr>
      <t>品牌管理（四川）有限公司</t>
    </r>
  </si>
  <si>
    <r>
      <t>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薄荷酒; 葡萄酒</t>
    </r>
  </si>
  <si>
    <t>阳阳淮念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</si>
  <si>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方阳阳企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</si>
  <si>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</si>
  <si>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城知礼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</si>
  <si>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果酒（含酒精）; 黄酒</t>
    </r>
  </si>
  <si>
    <t>高原雅韵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</si>
  <si>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</si>
  <si>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乡</t>
    </r>
    <r>
      <rPr>
        <sz val="11"/>
        <color theme="1"/>
        <rFont val="ＭＳ Ｐゴシック"/>
        <family val="3"/>
        <charset val="128"/>
        <scheme val="minor"/>
      </rPr>
      <t>思泥之窖</t>
    </r>
  </si>
  <si>
    <r>
      <t>亳州市</t>
    </r>
    <r>
      <rPr>
        <sz val="11"/>
        <color theme="1"/>
        <rFont val="ＭＳ Ｐゴシック"/>
        <family val="3"/>
        <charset val="134"/>
        <scheme val="minor"/>
      </rPr>
      <t>尝乡</t>
    </r>
    <r>
      <rPr>
        <sz val="11"/>
        <color theme="1"/>
        <rFont val="ＭＳ Ｐゴシック"/>
        <family val="3"/>
        <charset val="128"/>
        <scheme val="minor"/>
      </rPr>
      <t>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</si>
  <si>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食用酒精;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黄酒; 高粱酒</t>
    </r>
  </si>
  <si>
    <r>
      <t>蕙</t>
    </r>
    <r>
      <rPr>
        <sz val="11"/>
        <color theme="1"/>
        <rFont val="ＭＳ Ｐゴシック"/>
        <family val="3"/>
        <charset val="134"/>
        <scheme val="minor"/>
      </rPr>
      <t>徕</t>
    </r>
    <r>
      <rPr>
        <sz val="11"/>
        <color theme="1"/>
        <rFont val="ＭＳ Ｐゴシック"/>
        <family val="3"/>
        <charset val="128"/>
        <scheme val="minor"/>
      </rPr>
      <t>殿</t>
    </r>
  </si>
  <si>
    <r>
      <t>上海蕙</t>
    </r>
    <r>
      <rPr>
        <sz val="11"/>
        <color theme="1"/>
        <rFont val="ＭＳ Ｐゴシック"/>
        <family val="3"/>
        <charset val="134"/>
        <scheme val="minor"/>
      </rPr>
      <t>徕</t>
    </r>
    <r>
      <rPr>
        <sz val="11"/>
        <color theme="1"/>
        <rFont val="ＭＳ Ｐゴシック"/>
        <family val="3"/>
        <charset val="128"/>
        <scheme val="minor"/>
      </rPr>
      <t>酒店管理有限公司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</si>
  <si>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清酒（日本米酒）; 白酒; 汽酒;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</si>
  <si>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黎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</si>
  <si>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黎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</si>
  <si>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佐餐酒;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</t>
    </r>
  </si>
  <si>
    <r>
      <t>关宁</t>
    </r>
    <r>
      <rPr>
        <sz val="11"/>
        <color theme="1"/>
        <rFont val="ＭＳ Ｐゴシック"/>
        <family val="3"/>
        <charset val="134"/>
        <scheme val="minor"/>
      </rPr>
      <t>铁骑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</si>
  <si>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城超然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</si>
  <si>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高粱酒;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烈酒</t>
    </r>
  </si>
  <si>
    <t>小山神</t>
  </si>
  <si>
    <t>上海修源生物科技有限公司</t>
  </si>
  <si>
    <r>
      <t>葡萄酒; 黄酒; 蜂蜜酒;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</si>
  <si>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聿修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</si>
  <si>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莞聿修文化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</si>
  <si>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白干酒（中国白酒）; 甜果酒;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烈性干酒; 麦芽威士忌;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</si>
  <si>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全信通商株式会社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</si>
  <si>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清酒（日本米酒）</t>
    </r>
  </si>
  <si>
    <t>天作囍</t>
  </si>
  <si>
    <r>
      <t>成都壹席酒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</si>
  <si>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咖啡利口酒;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</si>
  <si>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嗨</t>
    </r>
    <r>
      <rPr>
        <sz val="11"/>
        <color theme="1"/>
        <rFont val="ＭＳ Ｐゴシック"/>
        <family val="3"/>
        <charset val="128"/>
        <scheme val="minor"/>
      </rPr>
      <t>豁</t>
    </r>
    <r>
      <rPr>
        <sz val="11"/>
        <color theme="1"/>
        <rFont val="ＭＳ Ｐゴシック"/>
        <family val="3"/>
        <charset val="129"/>
        <scheme val="minor"/>
      </rPr>
      <t>嗨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</si>
  <si>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莞市德智密封技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</si>
  <si>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梨酒;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</si>
  <si>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青花礼</t>
    </r>
    <r>
      <rPr>
        <sz val="11"/>
        <color theme="1"/>
        <rFont val="ＭＳ Ｐゴシック"/>
        <family val="3"/>
        <charset val="134"/>
        <scheme val="minor"/>
      </rPr>
      <t>赞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</si>
  <si>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蜂蜜酒; 米酒; 果酒（含酒精）;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梨酒; 黄酒</t>
    </r>
  </si>
  <si>
    <t>元涵惠物</t>
  </si>
  <si>
    <r>
      <t>上海元涵</t>
    </r>
    <r>
      <rPr>
        <sz val="11"/>
        <color theme="1"/>
        <rFont val="ＭＳ Ｐゴシック"/>
        <family val="3"/>
        <charset val="134"/>
        <scheme val="minor"/>
      </rPr>
      <t>时创</t>
    </r>
    <r>
      <rPr>
        <sz val="11"/>
        <color theme="1"/>
        <rFont val="ＭＳ Ｐゴシック"/>
        <family val="3"/>
        <charset val="128"/>
        <scheme val="minor"/>
      </rPr>
      <t>文化科技有限公司</t>
    </r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</si>
  <si>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草本型利口酒; 果酒（含酒精）</t>
    </r>
  </si>
  <si>
    <t>SIPSY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</si>
  <si>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屿</t>
    </r>
    <r>
      <rPr>
        <sz val="11"/>
        <color theme="1"/>
        <rFont val="ＭＳ Ｐゴシック"/>
        <family val="3"/>
        <charset val="128"/>
        <scheme val="minor"/>
      </rPr>
      <t>汽科技有限公司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</si>
  <si>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含酒精的气泡水; 露酒; 果酒（含酒精）; 利口酒</t>
    </r>
  </si>
  <si>
    <r>
      <t>蒙鹿</t>
    </r>
    <r>
      <rPr>
        <sz val="11"/>
        <color theme="1"/>
        <rFont val="ＭＳ Ｐゴシック"/>
        <family val="3"/>
        <charset val="134"/>
        <scheme val="minor"/>
      </rPr>
      <t>红</t>
    </r>
  </si>
  <si>
    <t>刘牡丹******************</t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</si>
  <si>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高粱酒; 米酒</t>
    </r>
  </si>
  <si>
    <t>福品邦</t>
  </si>
  <si>
    <t>刘世豪</t>
  </si>
  <si>
    <r>
      <t>朗姆酒;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伏特加酒; 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</t>
    </r>
  </si>
  <si>
    <t>粮尚煌</t>
  </si>
  <si>
    <r>
      <t xml:space="preserve">利口酒;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青稞酒;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清酒（日本米酒）</t>
    </r>
  </si>
  <si>
    <r>
      <t>禧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知礼</t>
    </r>
  </si>
  <si>
    <r>
      <t xml:space="preserve">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</si>
  <si>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嘉溪醉</t>
    </r>
  </si>
  <si>
    <t>刘洪霞</t>
  </si>
  <si>
    <r>
      <t xml:space="preserve">食用酒精; 青稞酒; 果酒; 葡萄酒; 清酒;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</si>
  <si>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东荟</t>
    </r>
    <r>
      <rPr>
        <sz val="11"/>
        <color theme="1"/>
        <rFont val="ＭＳ Ｐゴシック"/>
        <family val="3"/>
        <charset val="128"/>
        <scheme val="minor"/>
      </rPr>
      <t>康科技有限公司</t>
    </r>
  </si>
  <si>
    <r>
      <t>白酒; 开胃酒; 米酒; 苹果酒;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</si>
  <si>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端曲</t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</si>
  <si>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</si>
  <si>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r>
      <t>企生</t>
    </r>
    <r>
      <rPr>
        <sz val="11"/>
        <color theme="1"/>
        <rFont val="ＭＳ Ｐゴシック"/>
        <family val="3"/>
        <charset val="134"/>
        <scheme val="minor"/>
      </rPr>
      <t>财</t>
    </r>
  </si>
  <si>
    <r>
      <t>上海宙米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</si>
  <si>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果酒（含酒精）;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</si>
  <si>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挑心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</si>
  <si>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杜松子酒;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</si>
  <si>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物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</si>
  <si>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中国小商品城大数据有限公司杭州分公司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</si>
  <si>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含酒精的气泡水;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</si>
  <si>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家家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</si>
  <si>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</t>
    </r>
  </si>
  <si>
    <t>能倍健茁养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</si>
  <si>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</si>
  <si>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盈养元密斯</t>
  </si>
  <si>
    <r>
      <t>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果酒（含酒精）;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</si>
  <si>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通亦安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</si>
  <si>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</t>
    </r>
  </si>
  <si>
    <t>馨美怡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</si>
  <si>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黄酒; 葡萄酒</t>
    </r>
  </si>
  <si>
    <r>
      <t>缤维</t>
    </r>
    <r>
      <rPr>
        <sz val="11"/>
        <color theme="1"/>
        <rFont val="ＭＳ Ｐゴシック"/>
        <family val="3"/>
        <charset val="128"/>
        <scheme val="minor"/>
      </rPr>
      <t>他</t>
    </r>
  </si>
  <si>
    <r>
      <t>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</si>
  <si>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盈养元康</t>
    </r>
    <r>
      <rPr>
        <sz val="11"/>
        <color theme="1"/>
        <rFont val="ＭＳ Ｐゴシック"/>
        <family val="3"/>
        <charset val="134"/>
        <scheme val="minor"/>
      </rPr>
      <t>硕</t>
    </r>
  </si>
  <si>
    <r>
      <t xml:space="preserve">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</t>
    </r>
  </si>
  <si>
    <r>
      <t>零小</t>
    </r>
    <r>
      <rPr>
        <sz val="11"/>
        <color theme="1"/>
        <rFont val="ＭＳ Ｐゴシック"/>
        <family val="3"/>
        <charset val="134"/>
        <scheme val="minor"/>
      </rPr>
      <t>咔</t>
    </r>
  </si>
  <si>
    <r>
      <t xml:space="preserve">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</si>
  <si>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能倍健博康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</si>
  <si>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</si>
  <si>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能倍健朗仕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</si>
  <si>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</si>
  <si>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r>
      <t>衡</t>
    </r>
    <r>
      <rPr>
        <sz val="11"/>
        <color theme="1"/>
        <rFont val="ＭＳ Ｐゴシック"/>
        <family val="3"/>
        <charset val="134"/>
        <scheme val="minor"/>
      </rPr>
      <t>维乐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</si>
  <si>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米酒; 果酒（含酒精）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</si>
  <si>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嘉元</t>
    </r>
  </si>
  <si>
    <r>
      <t>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</si>
  <si>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纤</t>
    </r>
    <r>
      <rPr>
        <sz val="11"/>
        <color theme="1"/>
        <rFont val="ＭＳ Ｐゴシック"/>
        <family val="3"/>
        <charset val="128"/>
        <scheme val="minor"/>
      </rPr>
      <t>蓓美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</si>
  <si>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开胃酒; 果酒（含酒精）</t>
    </r>
  </si>
  <si>
    <t>古力澳</t>
  </si>
  <si>
    <r>
      <t>米酒; 葡萄酒;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</si>
  <si>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聚速力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</si>
  <si>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</si>
  <si>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益葆</t>
    </r>
    <r>
      <rPr>
        <sz val="11"/>
        <color theme="1"/>
        <rFont val="ＭＳ Ｐゴシック"/>
        <family val="3"/>
        <charset val="134"/>
        <scheme val="minor"/>
      </rPr>
      <t>贝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</si>
  <si>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</si>
  <si>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BIOHIGH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</si>
  <si>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</si>
  <si>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冠宝</t>
    </r>
  </si>
  <si>
    <r>
      <t xml:space="preserve">白酒;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</si>
  <si>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倍彤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</si>
  <si>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开胃酒; 米酒; 果酒（含酒精）; 葡萄酒</t>
    </r>
  </si>
  <si>
    <r>
      <t>纤</t>
    </r>
    <r>
      <rPr>
        <sz val="11"/>
        <color theme="1"/>
        <rFont val="ＭＳ Ｐゴシック"/>
        <family val="3"/>
        <charset val="128"/>
        <scheme val="minor"/>
      </rPr>
      <t>唯舒</t>
    </r>
  </si>
  <si>
    <r>
      <t>葡萄酒; 白酒; 米酒;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</si>
  <si>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葆美臣</t>
  </si>
  <si>
    <r>
      <t>开胃酒;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</si>
  <si>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迈</t>
    </r>
    <r>
      <rPr>
        <sz val="11"/>
        <color theme="1"/>
        <rFont val="ＭＳ Ｐゴシック"/>
        <family val="3"/>
        <charset val="128"/>
        <scheme val="minor"/>
      </rPr>
      <t>仕威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</si>
  <si>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果酒（含酒精）; 黄酒; 白酒; 葡萄酒</t>
    </r>
  </si>
  <si>
    <t>沛能士</t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</si>
  <si>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米酒;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</si>
  <si>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童悦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</si>
  <si>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</si>
  <si>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t>NENGBEIJIAN</t>
  </si>
  <si>
    <r>
      <t>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米酒</t>
    </r>
  </si>
  <si>
    <r>
      <t>固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</si>
  <si>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 xml:space="preserve">果酒（含酒精）; 黄酒;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</si>
  <si>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宝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捷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</si>
  <si>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</si>
  <si>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晟倍健</t>
  </si>
  <si>
    <r>
      <t>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</t>
    </r>
  </si>
  <si>
    <r>
      <t>咿呀</t>
    </r>
    <r>
      <rPr>
        <sz val="11"/>
        <color theme="1"/>
        <rFont val="ＭＳ Ｐゴシック"/>
        <family val="3"/>
        <charset val="134"/>
        <scheme val="minor"/>
      </rPr>
      <t>畅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</si>
  <si>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</si>
  <si>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甘保佳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</si>
  <si>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</si>
  <si>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米酒; 白酒;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</si>
  <si>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</si>
  <si>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海沃斯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</si>
  <si>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果酒（含酒精）; 米酒; 黄酒</t>
    </r>
  </si>
  <si>
    <t>艾褓佳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</si>
  <si>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</si>
  <si>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善元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步</t>
    </r>
  </si>
  <si>
    <r>
      <t>果酒（含酒精）;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</si>
  <si>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r>
      <t>盈养元臻</t>
    </r>
    <r>
      <rPr>
        <sz val="11"/>
        <color theme="1"/>
        <rFont val="ＭＳ Ｐゴシック"/>
        <family val="3"/>
        <charset val="134"/>
        <scheme val="minor"/>
      </rPr>
      <t>颜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</si>
  <si>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</si>
  <si>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固佰康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</si>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</sst>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sz val="11"/>
      <color theme="1"/>
      <name val="ＭＳ Ｐゴシック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1470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0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9">
        <v>1</v>
      </c>
      <c r="B2" s="9" t="s">
        <v>9</v>
      </c>
      <c r="C2" s="9">
        <v>1917</v>
      </c>
      <c r="D2" s="10">
        <v>45653</v>
      </c>
      <c r="E2" s="9" t="str">
        <f>+HYPERLINK("http://trademark.i-assist.jp/data/china/image_1917th/58067925.pdf","58067925")</f>
        <v>58067925</v>
      </c>
      <c r="F2" s="12" t="s">
        <v>62</v>
      </c>
      <c r="G2" s="12" t="s">
        <v>23</v>
      </c>
      <c r="H2" s="9" t="s">
        <v>63</v>
      </c>
      <c r="I2" s="10">
        <v>44406</v>
      </c>
    </row>
    <row r="3" spans="1:9" x14ac:dyDescent="0.15">
      <c r="A3" s="9">
        <v>2</v>
      </c>
      <c r="B3" s="9" t="s">
        <v>9</v>
      </c>
      <c r="C3" s="9">
        <v>1917</v>
      </c>
      <c r="D3" s="10">
        <v>45653</v>
      </c>
      <c r="E3" s="9" t="str">
        <f>+HYPERLINK("http://trademark.i-assist.jp/data/china/image_1917th/68586648.pdf","68586648")</f>
        <v>68586648</v>
      </c>
      <c r="F3" s="9" t="s">
        <v>64</v>
      </c>
      <c r="G3" s="12" t="s">
        <v>65</v>
      </c>
      <c r="H3" s="9" t="s">
        <v>66</v>
      </c>
      <c r="I3" s="10">
        <v>44893</v>
      </c>
    </row>
    <row r="4" spans="1:9" x14ac:dyDescent="0.15">
      <c r="A4" s="9">
        <v>3</v>
      </c>
      <c r="B4" s="9" t="s">
        <v>9</v>
      </c>
      <c r="C4" s="9">
        <v>1917</v>
      </c>
      <c r="D4" s="10">
        <v>45653</v>
      </c>
      <c r="E4" s="9" t="str">
        <f>+HYPERLINK("http://trademark.i-assist.jp/data/china/image_1917th/69844662.pdf","69844662")</f>
        <v>69844662</v>
      </c>
      <c r="F4" s="9" t="s">
        <v>67</v>
      </c>
      <c r="G4" s="9" t="s">
        <v>68</v>
      </c>
      <c r="H4" s="9" t="s">
        <v>69</v>
      </c>
      <c r="I4" s="10">
        <v>44985</v>
      </c>
    </row>
    <row r="5" spans="1:9" x14ac:dyDescent="0.15">
      <c r="A5" s="9">
        <v>4</v>
      </c>
      <c r="B5" s="9" t="s">
        <v>9</v>
      </c>
      <c r="C5" s="9">
        <v>1917</v>
      </c>
      <c r="D5" s="10">
        <v>45653</v>
      </c>
      <c r="E5" s="9" t="str">
        <f>+HYPERLINK("http://trademark.i-assist.jp/data/china/image_1917th/70294557.pdf","70294557")</f>
        <v>70294557</v>
      </c>
      <c r="F5" s="9" t="s">
        <v>70</v>
      </c>
      <c r="G5" s="9" t="s">
        <v>71</v>
      </c>
      <c r="H5" s="9" t="s">
        <v>72</v>
      </c>
      <c r="I5" s="10">
        <v>45005</v>
      </c>
    </row>
    <row r="6" spans="1:9" x14ac:dyDescent="0.15">
      <c r="A6" s="9">
        <v>5</v>
      </c>
      <c r="B6" s="9" t="s">
        <v>9</v>
      </c>
      <c r="C6" s="9">
        <v>1917</v>
      </c>
      <c r="D6" s="10">
        <v>45653</v>
      </c>
      <c r="E6" s="9" t="str">
        <f>+HYPERLINK("http://trademark.i-assist.jp/data/china/image_1917th/71068057.pdf","71068057")</f>
        <v>71068057</v>
      </c>
      <c r="F6" s="9" t="s">
        <v>73</v>
      </c>
      <c r="G6" s="12" t="s">
        <v>74</v>
      </c>
      <c r="H6" s="9" t="s">
        <v>75</v>
      </c>
      <c r="I6" s="10">
        <v>45037</v>
      </c>
    </row>
    <row r="7" spans="1:9" x14ac:dyDescent="0.15">
      <c r="A7" s="9">
        <v>6</v>
      </c>
      <c r="B7" s="9" t="s">
        <v>9</v>
      </c>
      <c r="C7" s="9">
        <v>1917</v>
      </c>
      <c r="D7" s="10">
        <v>45653</v>
      </c>
      <c r="E7" s="9" t="str">
        <f>+HYPERLINK("http://trademark.i-assist.jp/data/china/image_1917th/72376122.pdf","72376122")</f>
        <v>72376122</v>
      </c>
      <c r="F7" s="9" t="s">
        <v>76</v>
      </c>
      <c r="G7" s="9" t="s">
        <v>77</v>
      </c>
      <c r="H7" s="9" t="s">
        <v>78</v>
      </c>
      <c r="I7" s="10">
        <v>45098</v>
      </c>
    </row>
    <row r="8" spans="1:9" x14ac:dyDescent="0.15">
      <c r="A8" s="9">
        <v>7</v>
      </c>
      <c r="B8" s="9" t="s">
        <v>9</v>
      </c>
      <c r="C8" s="9">
        <v>1917</v>
      </c>
      <c r="D8" s="10">
        <v>45653</v>
      </c>
      <c r="E8" s="9" t="str">
        <f>+HYPERLINK("http://trademark.i-assist.jp/data/china/image_1917th/74267383.pdf","74267383")</f>
        <v>74267383</v>
      </c>
      <c r="F8" s="12" t="s">
        <v>79</v>
      </c>
      <c r="G8" s="12" t="s">
        <v>80</v>
      </c>
      <c r="H8" s="12" t="s">
        <v>81</v>
      </c>
      <c r="I8" s="10">
        <v>45192</v>
      </c>
    </row>
    <row r="9" spans="1:9" x14ac:dyDescent="0.15">
      <c r="A9" s="9">
        <v>8</v>
      </c>
      <c r="B9" s="9" t="s">
        <v>9</v>
      </c>
      <c r="C9" s="9">
        <v>1917</v>
      </c>
      <c r="D9" s="10">
        <v>45653</v>
      </c>
      <c r="E9" s="9" t="str">
        <f>+HYPERLINK("http://trademark.i-assist.jp/data/china/image_1917th/74622344.pdf","74622344")</f>
        <v>74622344</v>
      </c>
      <c r="F9" s="9" t="s">
        <v>82</v>
      </c>
      <c r="G9" s="9" t="s">
        <v>83</v>
      </c>
      <c r="H9" s="12" t="s">
        <v>84</v>
      </c>
      <c r="I9" s="10">
        <v>45216</v>
      </c>
    </row>
    <row r="10" spans="1:9" x14ac:dyDescent="0.15">
      <c r="A10" s="9">
        <v>9</v>
      </c>
      <c r="B10" s="9" t="s">
        <v>9</v>
      </c>
      <c r="C10" s="9">
        <v>1917</v>
      </c>
      <c r="D10" s="10">
        <v>45653</v>
      </c>
      <c r="E10" s="9" t="str">
        <f>+HYPERLINK("http://trademark.i-assist.jp/data/china/image_1917th/74679087.pdf","74679087")</f>
        <v>74679087</v>
      </c>
      <c r="F10" s="9" t="s">
        <v>85</v>
      </c>
      <c r="G10" s="12" t="s">
        <v>74</v>
      </c>
      <c r="H10" s="12" t="s">
        <v>86</v>
      </c>
      <c r="I10" s="10">
        <v>45219</v>
      </c>
    </row>
    <row r="11" spans="1:9" x14ac:dyDescent="0.15">
      <c r="A11" s="9">
        <v>10</v>
      </c>
      <c r="B11" s="9" t="s">
        <v>9</v>
      </c>
      <c r="C11" s="9">
        <v>1917</v>
      </c>
      <c r="D11" s="10">
        <v>45653</v>
      </c>
      <c r="E11" s="9" t="str">
        <f>+HYPERLINK("http://trademark.i-assist.jp/data/china/image_1917th/74742164.pdf","74742164")</f>
        <v>74742164</v>
      </c>
      <c r="F11" s="12" t="s">
        <v>87</v>
      </c>
      <c r="G11" s="12" t="s">
        <v>88</v>
      </c>
      <c r="H11" s="9" t="s">
        <v>89</v>
      </c>
      <c r="I11" s="10">
        <v>45222</v>
      </c>
    </row>
    <row r="12" spans="1:9" x14ac:dyDescent="0.15">
      <c r="A12" s="9">
        <v>11</v>
      </c>
      <c r="B12" s="9" t="s">
        <v>9</v>
      </c>
      <c r="C12" s="9">
        <v>1917</v>
      </c>
      <c r="D12" s="10">
        <v>45653</v>
      </c>
      <c r="E12" s="9" t="str">
        <f>+HYPERLINK("http://trademark.i-assist.jp/data/china/image_1917th/74822446.pdf","74822446")</f>
        <v>74822446</v>
      </c>
      <c r="F12" s="12" t="s">
        <v>90</v>
      </c>
      <c r="G12" s="12" t="s">
        <v>91</v>
      </c>
      <c r="H12" s="12" t="s">
        <v>92</v>
      </c>
      <c r="I12" s="10">
        <v>45226</v>
      </c>
    </row>
    <row r="13" spans="1:9" x14ac:dyDescent="0.15">
      <c r="A13" s="9">
        <v>12</v>
      </c>
      <c r="B13" s="9" t="s">
        <v>9</v>
      </c>
      <c r="C13" s="9">
        <v>1917</v>
      </c>
      <c r="D13" s="10">
        <v>45653</v>
      </c>
      <c r="E13" s="9" t="str">
        <f>+HYPERLINK("http://trademark.i-assist.jp/data/china/image_1917th/74828713.pdf","74828713")</f>
        <v>74828713</v>
      </c>
      <c r="F13" s="12" t="s">
        <v>93</v>
      </c>
      <c r="G13" s="12" t="s">
        <v>91</v>
      </c>
      <c r="H13" s="9" t="s">
        <v>94</v>
      </c>
      <c r="I13" s="10">
        <v>45226</v>
      </c>
    </row>
    <row r="14" spans="1:9" x14ac:dyDescent="0.15">
      <c r="A14" s="9">
        <v>13</v>
      </c>
      <c r="B14" s="9" t="s">
        <v>9</v>
      </c>
      <c r="C14" s="9">
        <v>1917</v>
      </c>
      <c r="D14" s="10">
        <v>45653</v>
      </c>
      <c r="E14" s="9" t="str">
        <f>+HYPERLINK("http://trademark.i-assist.jp/data/china/image_1917th/74873434.pdf","74873434")</f>
        <v>74873434</v>
      </c>
      <c r="F14" s="9" t="s">
        <v>95</v>
      </c>
      <c r="G14" s="9" t="s">
        <v>96</v>
      </c>
      <c r="H14" s="9" t="s">
        <v>97</v>
      </c>
      <c r="I14" s="10">
        <v>45229</v>
      </c>
    </row>
    <row r="15" spans="1:9" x14ac:dyDescent="0.15">
      <c r="A15" s="9">
        <v>14</v>
      </c>
      <c r="B15" s="9" t="s">
        <v>9</v>
      </c>
      <c r="C15" s="9">
        <v>1917</v>
      </c>
      <c r="D15" s="10">
        <v>45653</v>
      </c>
      <c r="E15" s="9" t="str">
        <f>+HYPERLINK("http://trademark.i-assist.jp/data/china/image_1917th/75240830.pdf","75240830")</f>
        <v>75240830</v>
      </c>
      <c r="F15" s="9" t="s">
        <v>98</v>
      </c>
      <c r="G15" s="9" t="s">
        <v>99</v>
      </c>
      <c r="H15" s="12" t="s">
        <v>100</v>
      </c>
      <c r="I15" s="10">
        <v>45247</v>
      </c>
    </row>
    <row r="16" spans="1:9" x14ac:dyDescent="0.15">
      <c r="A16" s="9">
        <v>15</v>
      </c>
      <c r="B16" s="9" t="s">
        <v>9</v>
      </c>
      <c r="C16" s="9">
        <v>1917</v>
      </c>
      <c r="D16" s="10">
        <v>45653</v>
      </c>
      <c r="E16" s="9" t="str">
        <f>+HYPERLINK("http://trademark.i-assist.jp/data/china/image_1917th/75570605.pdf","75570605")</f>
        <v>75570605</v>
      </c>
      <c r="F16" s="9" t="s">
        <v>101</v>
      </c>
      <c r="G16" s="9" t="s">
        <v>102</v>
      </c>
      <c r="H16" s="9" t="s">
        <v>103</v>
      </c>
      <c r="I16" s="10">
        <v>45264</v>
      </c>
    </row>
    <row r="17" spans="1:9" x14ac:dyDescent="0.15">
      <c r="A17" s="9">
        <v>16</v>
      </c>
      <c r="B17" s="9" t="s">
        <v>9</v>
      </c>
      <c r="C17" s="9">
        <v>1917</v>
      </c>
      <c r="D17" s="10">
        <v>45653</v>
      </c>
      <c r="E17" s="9" t="str">
        <f>+HYPERLINK("http://trademark.i-assist.jp/data/china/image_1917th/75754248.pdf","75754248")</f>
        <v>75754248</v>
      </c>
      <c r="F17" s="9" t="s">
        <v>104</v>
      </c>
      <c r="G17" s="9" t="s">
        <v>105</v>
      </c>
      <c r="H17" s="9" t="s">
        <v>106</v>
      </c>
      <c r="I17" s="10">
        <v>45272</v>
      </c>
    </row>
    <row r="18" spans="1:9" x14ac:dyDescent="0.15">
      <c r="A18" s="9">
        <v>17</v>
      </c>
      <c r="B18" s="9" t="s">
        <v>9</v>
      </c>
      <c r="C18" s="9">
        <v>1917</v>
      </c>
      <c r="D18" s="10">
        <v>45653</v>
      </c>
      <c r="E18" s="9" t="str">
        <f>+HYPERLINK("http://trademark.i-assist.jp/data/china/image_1917th/75827121.pdf","75827121")</f>
        <v>75827121</v>
      </c>
      <c r="F18" s="9" t="s">
        <v>107</v>
      </c>
      <c r="G18" s="9" t="s">
        <v>108</v>
      </c>
      <c r="H18" s="9" t="s">
        <v>109</v>
      </c>
      <c r="I18" s="10">
        <v>45275</v>
      </c>
    </row>
    <row r="19" spans="1:9" x14ac:dyDescent="0.15">
      <c r="A19" s="9">
        <v>18</v>
      </c>
      <c r="B19" s="9" t="s">
        <v>9</v>
      </c>
      <c r="C19" s="9">
        <v>1917</v>
      </c>
      <c r="D19" s="10">
        <v>45653</v>
      </c>
      <c r="E19" s="9" t="str">
        <f>+HYPERLINK("http://trademark.i-assist.jp/data/china/image_1917th/75845872.pdf","75845872")</f>
        <v>75845872</v>
      </c>
      <c r="F19" s="9" t="s">
        <v>110</v>
      </c>
      <c r="G19" s="12" t="s">
        <v>111</v>
      </c>
      <c r="H19" s="9" t="s">
        <v>112</v>
      </c>
      <c r="I19" s="10">
        <v>45278</v>
      </c>
    </row>
    <row r="20" spans="1:9" x14ac:dyDescent="0.15">
      <c r="A20" s="9">
        <v>19</v>
      </c>
      <c r="B20" s="9" t="s">
        <v>9</v>
      </c>
      <c r="C20" s="9">
        <v>1917</v>
      </c>
      <c r="D20" s="10">
        <v>45653</v>
      </c>
      <c r="E20" s="9" t="str">
        <f>+HYPERLINK("http://trademark.i-assist.jp/data/china/image_1917th/75947717.pdf","75947717")</f>
        <v>75947717</v>
      </c>
      <c r="F20" s="12" t="s">
        <v>113</v>
      </c>
      <c r="G20" s="12" t="s">
        <v>114</v>
      </c>
      <c r="H20" s="9" t="s">
        <v>115</v>
      </c>
      <c r="I20" s="10">
        <v>45281</v>
      </c>
    </row>
    <row r="21" spans="1:9" x14ac:dyDescent="0.15">
      <c r="A21" s="9">
        <v>20</v>
      </c>
      <c r="B21" s="9" t="s">
        <v>9</v>
      </c>
      <c r="C21" s="9">
        <v>1917</v>
      </c>
      <c r="D21" s="10">
        <v>45653</v>
      </c>
      <c r="E21" s="9" t="str">
        <f>+HYPERLINK("http://trademark.i-assist.jp/data/china/image_1917th/76018852.pdf","76018852")</f>
        <v>76018852</v>
      </c>
      <c r="F21" s="9" t="s">
        <v>116</v>
      </c>
      <c r="G21" s="9" t="s">
        <v>117</v>
      </c>
      <c r="H21" s="9" t="s">
        <v>118</v>
      </c>
      <c r="I21" s="10">
        <v>45285</v>
      </c>
    </row>
    <row r="22" spans="1:9" x14ac:dyDescent="0.15">
      <c r="A22" s="9">
        <v>21</v>
      </c>
      <c r="B22" s="9" t="s">
        <v>9</v>
      </c>
      <c r="C22" s="9">
        <v>1917</v>
      </c>
      <c r="D22" s="10">
        <v>45653</v>
      </c>
      <c r="E22" s="9" t="str">
        <f>+HYPERLINK("http://trademark.i-assist.jp/data/china/image_1917th/76189678.pdf","76189678")</f>
        <v>76189678</v>
      </c>
      <c r="F22" s="9" t="s">
        <v>119</v>
      </c>
      <c r="G22" s="9" t="s">
        <v>120</v>
      </c>
      <c r="H22" s="12" t="s">
        <v>121</v>
      </c>
      <c r="I22" s="10">
        <v>45295</v>
      </c>
    </row>
    <row r="23" spans="1:9" x14ac:dyDescent="0.15">
      <c r="A23" s="9">
        <v>22</v>
      </c>
      <c r="B23" s="9" t="s">
        <v>9</v>
      </c>
      <c r="C23" s="9">
        <v>1917</v>
      </c>
      <c r="D23" s="10">
        <v>45653</v>
      </c>
      <c r="E23" s="9" t="str">
        <f>+HYPERLINK("http://trademark.i-assist.jp/data/china/image_1917th/76207382.pdf","76207382")</f>
        <v>76207382</v>
      </c>
      <c r="F23" s="12" t="s">
        <v>122</v>
      </c>
      <c r="G23" s="9" t="s">
        <v>123</v>
      </c>
      <c r="H23" s="9" t="s">
        <v>124</v>
      </c>
      <c r="I23" s="10">
        <v>45296</v>
      </c>
    </row>
    <row r="24" spans="1:9" x14ac:dyDescent="0.15">
      <c r="A24" s="9">
        <v>23</v>
      </c>
      <c r="B24" s="9" t="s">
        <v>9</v>
      </c>
      <c r="C24" s="9">
        <v>1917</v>
      </c>
      <c r="D24" s="10">
        <v>45653</v>
      </c>
      <c r="E24" s="9" t="str">
        <f>+HYPERLINK("http://trademark.i-assist.jp/data/china/image_1917th/76212201.pdf","76212201")</f>
        <v>76212201</v>
      </c>
      <c r="F24" s="9" t="s">
        <v>125</v>
      </c>
      <c r="G24" s="9" t="s">
        <v>126</v>
      </c>
      <c r="H24" s="9" t="s">
        <v>127</v>
      </c>
      <c r="I24" s="10">
        <v>45296</v>
      </c>
    </row>
    <row r="25" spans="1:9" x14ac:dyDescent="0.15">
      <c r="A25" s="9">
        <v>24</v>
      </c>
      <c r="B25" s="9" t="s">
        <v>9</v>
      </c>
      <c r="C25" s="9">
        <v>1917</v>
      </c>
      <c r="D25" s="10">
        <v>45653</v>
      </c>
      <c r="E25" s="9" t="str">
        <f>+HYPERLINK("http://trademark.i-assist.jp/data/china/image_1917th/76284540.pdf","76284540")</f>
        <v>76284540</v>
      </c>
      <c r="F25" s="9" t="s">
        <v>128</v>
      </c>
      <c r="G25" s="9" t="s">
        <v>129</v>
      </c>
      <c r="H25" s="9" t="s">
        <v>130</v>
      </c>
      <c r="I25" s="10">
        <v>45300</v>
      </c>
    </row>
    <row r="26" spans="1:9" x14ac:dyDescent="0.15">
      <c r="A26" s="9">
        <v>25</v>
      </c>
      <c r="B26" s="9" t="s">
        <v>9</v>
      </c>
      <c r="C26" s="9">
        <v>1917</v>
      </c>
      <c r="D26" s="10">
        <v>45653</v>
      </c>
      <c r="E26" s="9" t="str">
        <f>+HYPERLINK("http://trademark.i-assist.jp/data/china/image_1917th/76304434.pdf","76304434")</f>
        <v>76304434</v>
      </c>
      <c r="F26" s="9" t="s">
        <v>131</v>
      </c>
      <c r="G26" s="9" t="s">
        <v>132</v>
      </c>
      <c r="H26" s="9" t="s">
        <v>133</v>
      </c>
      <c r="I26" s="10">
        <v>45301</v>
      </c>
    </row>
    <row r="27" spans="1:9" x14ac:dyDescent="0.15">
      <c r="A27" s="9">
        <v>26</v>
      </c>
      <c r="B27" s="9" t="s">
        <v>9</v>
      </c>
      <c r="C27" s="9">
        <v>1917</v>
      </c>
      <c r="D27" s="10">
        <v>45653</v>
      </c>
      <c r="E27" s="9" t="str">
        <f>+HYPERLINK("http://trademark.i-assist.jp/data/china/image_1917th/76306549.pdf","76306549")</f>
        <v>76306549</v>
      </c>
      <c r="F27" s="9" t="s">
        <v>134</v>
      </c>
      <c r="G27" s="9" t="s">
        <v>135</v>
      </c>
      <c r="H27" s="9" t="s">
        <v>136</v>
      </c>
      <c r="I27" s="10">
        <v>45301</v>
      </c>
    </row>
    <row r="28" spans="1:9" x14ac:dyDescent="0.15">
      <c r="A28" s="9">
        <v>27</v>
      </c>
      <c r="B28" s="9" t="s">
        <v>9</v>
      </c>
      <c r="C28" s="9">
        <v>1917</v>
      </c>
      <c r="D28" s="10">
        <v>45653</v>
      </c>
      <c r="E28" s="9" t="str">
        <f>+HYPERLINK("http://trademark.i-assist.jp/data/china/image_1917th/76331746.pdf","76331746")</f>
        <v>76331746</v>
      </c>
      <c r="F28" s="9" t="s">
        <v>137</v>
      </c>
      <c r="G28" s="9" t="s">
        <v>138</v>
      </c>
      <c r="H28" s="9" t="s">
        <v>139</v>
      </c>
      <c r="I28" s="10">
        <v>45302</v>
      </c>
    </row>
    <row r="29" spans="1:9" x14ac:dyDescent="0.15">
      <c r="A29" s="9">
        <v>28</v>
      </c>
      <c r="B29" s="9" t="s">
        <v>9</v>
      </c>
      <c r="C29" s="9">
        <v>1917</v>
      </c>
      <c r="D29" s="10">
        <v>45653</v>
      </c>
      <c r="E29" s="9" t="str">
        <f>+HYPERLINK("http://trademark.i-assist.jp/data/china/image_1917th/76339247.pdf","76339247")</f>
        <v>76339247</v>
      </c>
      <c r="F29" s="12" t="s">
        <v>140</v>
      </c>
      <c r="G29" s="9" t="s">
        <v>22</v>
      </c>
      <c r="H29" s="9" t="s">
        <v>141</v>
      </c>
      <c r="I29" s="10">
        <v>45302</v>
      </c>
    </row>
    <row r="30" spans="1:9" x14ac:dyDescent="0.15">
      <c r="A30" s="9">
        <v>29</v>
      </c>
      <c r="B30" s="9" t="s">
        <v>9</v>
      </c>
      <c r="C30" s="9">
        <v>1917</v>
      </c>
      <c r="D30" s="10">
        <v>45653</v>
      </c>
      <c r="E30" s="9" t="str">
        <f>+HYPERLINK("http://trademark.i-assist.jp/data/china/image_1917th/76352163.pdf","76352163")</f>
        <v>76352163</v>
      </c>
      <c r="F30" s="9" t="s">
        <v>142</v>
      </c>
      <c r="G30" s="9" t="s">
        <v>143</v>
      </c>
      <c r="H30" s="12" t="s">
        <v>144</v>
      </c>
      <c r="I30" s="10">
        <v>45303</v>
      </c>
    </row>
    <row r="31" spans="1:9" x14ac:dyDescent="0.15">
      <c r="A31" s="9">
        <v>30</v>
      </c>
      <c r="B31" s="9" t="s">
        <v>9</v>
      </c>
      <c r="C31" s="9">
        <v>1917</v>
      </c>
      <c r="D31" s="10">
        <v>45653</v>
      </c>
      <c r="E31" s="9" t="str">
        <f>+HYPERLINK("http://trademark.i-assist.jp/data/china/image_1917th/76380677.pdf","76380677")</f>
        <v>76380677</v>
      </c>
      <c r="F31" s="9" t="s">
        <v>145</v>
      </c>
      <c r="G31" s="12" t="s">
        <v>146</v>
      </c>
      <c r="H31" s="9" t="s">
        <v>147</v>
      </c>
      <c r="I31" s="10">
        <v>45306</v>
      </c>
    </row>
    <row r="32" spans="1:9" x14ac:dyDescent="0.15">
      <c r="A32" s="9">
        <v>31</v>
      </c>
      <c r="B32" s="9" t="s">
        <v>9</v>
      </c>
      <c r="C32" s="9">
        <v>1917</v>
      </c>
      <c r="D32" s="10">
        <v>45653</v>
      </c>
      <c r="E32" s="9" t="str">
        <f>+HYPERLINK("http://trademark.i-assist.jp/data/china/image_1917th/76404011.pdf","76404011")</f>
        <v>76404011</v>
      </c>
      <c r="F32" s="9" t="s">
        <v>148</v>
      </c>
      <c r="G32" s="9" t="s">
        <v>149</v>
      </c>
      <c r="H32" s="9" t="s">
        <v>150</v>
      </c>
      <c r="I32" s="10">
        <v>45306</v>
      </c>
    </row>
    <row r="33" spans="1:9" x14ac:dyDescent="0.15">
      <c r="A33" s="9">
        <v>32</v>
      </c>
      <c r="B33" s="9" t="s">
        <v>9</v>
      </c>
      <c r="C33" s="9">
        <v>1917</v>
      </c>
      <c r="D33" s="10">
        <v>45653</v>
      </c>
      <c r="E33" s="9" t="str">
        <f>+HYPERLINK("http://trademark.i-assist.jp/data/china/image_1917th/76419827.pdf","76419827")</f>
        <v>76419827</v>
      </c>
      <c r="F33" s="12" t="s">
        <v>151</v>
      </c>
      <c r="G33" s="12" t="s">
        <v>152</v>
      </c>
      <c r="H33" s="9" t="s">
        <v>153</v>
      </c>
      <c r="I33" s="10">
        <v>45307</v>
      </c>
    </row>
    <row r="34" spans="1:9" x14ac:dyDescent="0.15">
      <c r="A34" s="9">
        <v>33</v>
      </c>
      <c r="B34" s="9" t="s">
        <v>9</v>
      </c>
      <c r="C34" s="9">
        <v>1917</v>
      </c>
      <c r="D34" s="10">
        <v>45653</v>
      </c>
      <c r="E34" s="9" t="str">
        <f>+HYPERLINK("http://trademark.i-assist.jp/data/china/image_1917th/76465463.pdf","76465463")</f>
        <v>76465463</v>
      </c>
      <c r="F34" s="9" t="s">
        <v>154</v>
      </c>
      <c r="G34" s="9" t="s">
        <v>155</v>
      </c>
      <c r="H34" s="9" t="s">
        <v>156</v>
      </c>
      <c r="I34" s="10">
        <v>45309</v>
      </c>
    </row>
    <row r="35" spans="1:9" x14ac:dyDescent="0.15">
      <c r="A35" s="9">
        <v>34</v>
      </c>
      <c r="B35" s="9" t="s">
        <v>9</v>
      </c>
      <c r="C35" s="9">
        <v>1917</v>
      </c>
      <c r="D35" s="10">
        <v>45653</v>
      </c>
      <c r="E35" s="9" t="str">
        <f>+HYPERLINK("http://trademark.i-assist.jp/data/china/image_1917th/76477137.pdf","76477137")</f>
        <v>76477137</v>
      </c>
      <c r="F35" s="9" t="s">
        <v>157</v>
      </c>
      <c r="G35" s="9" t="s">
        <v>158</v>
      </c>
      <c r="H35" s="9" t="s">
        <v>159</v>
      </c>
      <c r="I35" s="10">
        <v>45309</v>
      </c>
    </row>
    <row r="36" spans="1:9" x14ac:dyDescent="0.15">
      <c r="A36" s="9">
        <v>35</v>
      </c>
      <c r="B36" s="9" t="s">
        <v>9</v>
      </c>
      <c r="C36" s="9">
        <v>1917</v>
      </c>
      <c r="D36" s="10">
        <v>45653</v>
      </c>
      <c r="E36" s="9" t="str">
        <f>+HYPERLINK("http://trademark.i-assist.jp/data/china/image_1917th/76515413.pdf","76515413")</f>
        <v>76515413</v>
      </c>
      <c r="F36" s="9" t="s">
        <v>160</v>
      </c>
      <c r="G36" s="12" t="s">
        <v>161</v>
      </c>
      <c r="H36" s="9" t="s">
        <v>162</v>
      </c>
      <c r="I36" s="10">
        <v>45309</v>
      </c>
    </row>
    <row r="37" spans="1:9" x14ac:dyDescent="0.15">
      <c r="A37" s="9">
        <v>36</v>
      </c>
      <c r="B37" s="9" t="s">
        <v>9</v>
      </c>
      <c r="C37" s="9">
        <v>1917</v>
      </c>
      <c r="D37" s="10">
        <v>45653</v>
      </c>
      <c r="E37" s="9" t="str">
        <f>+HYPERLINK("http://trademark.i-assist.jp/data/china/image_1917th/76522897.pdf","76522897")</f>
        <v>76522897</v>
      </c>
      <c r="F37" s="12" t="s">
        <v>163</v>
      </c>
      <c r="G37" s="12" t="s">
        <v>164</v>
      </c>
      <c r="H37" s="9" t="s">
        <v>165</v>
      </c>
      <c r="I37" s="10">
        <v>45313</v>
      </c>
    </row>
    <row r="38" spans="1:9" x14ac:dyDescent="0.15">
      <c r="A38" s="9">
        <v>37</v>
      </c>
      <c r="B38" s="9" t="s">
        <v>9</v>
      </c>
      <c r="C38" s="9">
        <v>1917</v>
      </c>
      <c r="D38" s="10">
        <v>45653</v>
      </c>
      <c r="E38" s="9" t="str">
        <f>+HYPERLINK("http://trademark.i-assist.jp/data/china/image_1917th/76560368.pdf","76560368")</f>
        <v>76560368</v>
      </c>
      <c r="F38" s="9" t="s">
        <v>166</v>
      </c>
      <c r="G38" s="9" t="s">
        <v>29</v>
      </c>
      <c r="H38" s="9" t="s">
        <v>167</v>
      </c>
      <c r="I38" s="10">
        <v>45314</v>
      </c>
    </row>
    <row r="39" spans="1:9" x14ac:dyDescent="0.15">
      <c r="A39" s="9">
        <v>38</v>
      </c>
      <c r="B39" s="9" t="s">
        <v>9</v>
      </c>
      <c r="C39" s="9">
        <v>1917</v>
      </c>
      <c r="D39" s="10">
        <v>45653</v>
      </c>
      <c r="E39" s="9" t="str">
        <f>+HYPERLINK("http://trademark.i-assist.jp/data/china/image_1917th/76567661.pdf","76567661")</f>
        <v>76567661</v>
      </c>
      <c r="F39" s="9" t="s">
        <v>168</v>
      </c>
      <c r="G39" s="9" t="s">
        <v>29</v>
      </c>
      <c r="H39" s="9" t="s">
        <v>169</v>
      </c>
      <c r="I39" s="10">
        <v>45314</v>
      </c>
    </row>
    <row r="40" spans="1:9" x14ac:dyDescent="0.15">
      <c r="A40" s="9">
        <v>39</v>
      </c>
      <c r="B40" s="9" t="s">
        <v>9</v>
      </c>
      <c r="C40" s="9">
        <v>1917</v>
      </c>
      <c r="D40" s="10">
        <v>45653</v>
      </c>
      <c r="E40" s="9" t="str">
        <f>+HYPERLINK("http://trademark.i-assist.jp/data/china/image_1917th/76626062.pdf","76626062")</f>
        <v>76626062</v>
      </c>
      <c r="F40" s="9" t="s">
        <v>170</v>
      </c>
      <c r="G40" s="9" t="s">
        <v>171</v>
      </c>
      <c r="H40" s="9" t="s">
        <v>172</v>
      </c>
      <c r="I40" s="10">
        <v>45317</v>
      </c>
    </row>
    <row r="41" spans="1:9" x14ac:dyDescent="0.15">
      <c r="A41" s="9">
        <v>40</v>
      </c>
      <c r="B41" s="9" t="s">
        <v>9</v>
      </c>
      <c r="C41" s="9">
        <v>1917</v>
      </c>
      <c r="D41" s="10">
        <v>45653</v>
      </c>
      <c r="E41" s="9" t="str">
        <f>+HYPERLINK("http://trademark.i-assist.jp/data/china/image_1917th/76626470.pdf","76626470")</f>
        <v>76626470</v>
      </c>
      <c r="F41" s="9" t="s">
        <v>173</v>
      </c>
      <c r="G41" s="9" t="s">
        <v>174</v>
      </c>
      <c r="H41" s="9" t="s">
        <v>175</v>
      </c>
      <c r="I41" s="10">
        <v>45317</v>
      </c>
    </row>
    <row r="42" spans="1:9" x14ac:dyDescent="0.15">
      <c r="A42" s="9">
        <v>41</v>
      </c>
      <c r="B42" s="9" t="s">
        <v>9</v>
      </c>
      <c r="C42" s="9">
        <v>1917</v>
      </c>
      <c r="D42" s="10">
        <v>45653</v>
      </c>
      <c r="E42" s="9" t="str">
        <f>+HYPERLINK("http://trademark.i-assist.jp/data/china/image_1917th/76629281.pdf","76629281")</f>
        <v>76629281</v>
      </c>
      <c r="F42" s="9" t="s">
        <v>176</v>
      </c>
      <c r="G42" s="9" t="s">
        <v>177</v>
      </c>
      <c r="H42" s="9" t="s">
        <v>178</v>
      </c>
      <c r="I42" s="10">
        <v>45317</v>
      </c>
    </row>
    <row r="43" spans="1:9" x14ac:dyDescent="0.15">
      <c r="A43" s="9">
        <v>42</v>
      </c>
      <c r="B43" s="9" t="s">
        <v>9</v>
      </c>
      <c r="C43" s="9">
        <v>1917</v>
      </c>
      <c r="D43" s="10">
        <v>45653</v>
      </c>
      <c r="E43" s="9" t="str">
        <f>+HYPERLINK("http://trademark.i-assist.jp/data/china/image_1917th/76635059.pdf","76635059")</f>
        <v>76635059</v>
      </c>
      <c r="F43" s="9" t="s">
        <v>179</v>
      </c>
      <c r="G43" s="9" t="s">
        <v>180</v>
      </c>
      <c r="H43" s="9" t="s">
        <v>181</v>
      </c>
      <c r="I43" s="10">
        <v>45317</v>
      </c>
    </row>
    <row r="44" spans="1:9" x14ac:dyDescent="0.15">
      <c r="A44" s="9">
        <v>43</v>
      </c>
      <c r="B44" s="9" t="s">
        <v>9</v>
      </c>
      <c r="C44" s="9">
        <v>1917</v>
      </c>
      <c r="D44" s="10">
        <v>45653</v>
      </c>
      <c r="E44" s="9" t="str">
        <f>+HYPERLINK("http://trademark.i-assist.jp/data/china/image_1917th/76666603.pdf","76666603")</f>
        <v>76666603</v>
      </c>
      <c r="F44" s="9" t="s">
        <v>182</v>
      </c>
      <c r="G44" s="9" t="s">
        <v>183</v>
      </c>
      <c r="H44" s="9" t="s">
        <v>184</v>
      </c>
      <c r="I44" s="10">
        <v>45320</v>
      </c>
    </row>
    <row r="45" spans="1:9" x14ac:dyDescent="0.15">
      <c r="A45" s="9">
        <v>44</v>
      </c>
      <c r="B45" s="9" t="s">
        <v>9</v>
      </c>
      <c r="C45" s="9">
        <v>1917</v>
      </c>
      <c r="D45" s="10">
        <v>45653</v>
      </c>
      <c r="E45" s="9" t="str">
        <f>+HYPERLINK("http://trademark.i-assist.jp/data/china/image_1917th/76682448.pdf","76682448")</f>
        <v>76682448</v>
      </c>
      <c r="F45" s="9" t="s">
        <v>185</v>
      </c>
      <c r="G45" s="9" t="s">
        <v>186</v>
      </c>
      <c r="H45" s="9" t="s">
        <v>187</v>
      </c>
      <c r="I45" s="10">
        <v>45321</v>
      </c>
    </row>
    <row r="46" spans="1:9" x14ac:dyDescent="0.15">
      <c r="A46" s="9">
        <v>45</v>
      </c>
      <c r="B46" s="9" t="s">
        <v>9</v>
      </c>
      <c r="C46" s="9">
        <v>1917</v>
      </c>
      <c r="D46" s="10">
        <v>45653</v>
      </c>
      <c r="E46" s="9" t="str">
        <f>+HYPERLINK("http://trademark.i-assist.jp/data/china/image_1917th/76730059.pdf","76730059")</f>
        <v>76730059</v>
      </c>
      <c r="F46" s="9" t="s">
        <v>188</v>
      </c>
      <c r="G46" s="9" t="s">
        <v>189</v>
      </c>
      <c r="H46" s="9" t="s">
        <v>190</v>
      </c>
      <c r="I46" s="10">
        <v>45323</v>
      </c>
    </row>
    <row r="47" spans="1:9" x14ac:dyDescent="0.15">
      <c r="A47" s="9">
        <v>46</v>
      </c>
      <c r="B47" s="9" t="s">
        <v>9</v>
      </c>
      <c r="C47" s="9">
        <v>1917</v>
      </c>
      <c r="D47" s="10">
        <v>45653</v>
      </c>
      <c r="E47" s="9" t="str">
        <f>+HYPERLINK("http://trademark.i-assist.jp/data/china/image_1917th/76743110.pdf","76743110")</f>
        <v>76743110</v>
      </c>
      <c r="F47" s="9" t="s">
        <v>191</v>
      </c>
      <c r="G47" s="9" t="s">
        <v>192</v>
      </c>
      <c r="H47" s="9" t="s">
        <v>193</v>
      </c>
      <c r="I47" s="10">
        <v>45324</v>
      </c>
    </row>
    <row r="48" spans="1:9" x14ac:dyDescent="0.15">
      <c r="A48" s="9">
        <v>47</v>
      </c>
      <c r="B48" s="9" t="s">
        <v>9</v>
      </c>
      <c r="C48" s="9">
        <v>1917</v>
      </c>
      <c r="D48" s="10">
        <v>45653</v>
      </c>
      <c r="E48" s="9" t="str">
        <f>+HYPERLINK("http://trademark.i-assist.jp/data/china/image_1917th/76772912.pdf","76772912")</f>
        <v>76772912</v>
      </c>
      <c r="F48" s="9" t="s">
        <v>82</v>
      </c>
      <c r="G48" s="9" t="s">
        <v>83</v>
      </c>
      <c r="H48" s="9" t="s">
        <v>194</v>
      </c>
      <c r="I48" s="10">
        <v>45326</v>
      </c>
    </row>
    <row r="49" spans="1:9" x14ac:dyDescent="0.15">
      <c r="A49" s="9">
        <v>48</v>
      </c>
      <c r="B49" s="9" t="s">
        <v>9</v>
      </c>
      <c r="C49" s="9">
        <v>1917</v>
      </c>
      <c r="D49" s="10">
        <v>45653</v>
      </c>
      <c r="E49" s="9" t="str">
        <f>+HYPERLINK("http://trademark.i-assist.jp/data/china/image_1917th/76787064.pdf","76787064")</f>
        <v>76787064</v>
      </c>
      <c r="F49" s="9" t="s">
        <v>195</v>
      </c>
      <c r="G49" s="9" t="s">
        <v>196</v>
      </c>
      <c r="H49" s="9" t="s">
        <v>197</v>
      </c>
      <c r="I49" s="10">
        <v>45327</v>
      </c>
    </row>
    <row r="50" spans="1:9" x14ac:dyDescent="0.15">
      <c r="A50" s="9">
        <v>49</v>
      </c>
      <c r="B50" s="9" t="s">
        <v>9</v>
      </c>
      <c r="C50" s="9">
        <v>1917</v>
      </c>
      <c r="D50" s="10">
        <v>45653</v>
      </c>
      <c r="E50" s="9" t="str">
        <f>+HYPERLINK("http://trademark.i-assist.jp/data/china/image_1917th/76813561.pdf","76813561")</f>
        <v>76813561</v>
      </c>
      <c r="F50" s="9" t="s">
        <v>198</v>
      </c>
      <c r="G50" s="9" t="s">
        <v>199</v>
      </c>
      <c r="H50" s="12" t="s">
        <v>200</v>
      </c>
      <c r="I50" s="10">
        <v>45329</v>
      </c>
    </row>
    <row r="51" spans="1:9" x14ac:dyDescent="0.15">
      <c r="A51" s="9">
        <v>50</v>
      </c>
      <c r="B51" s="9" t="s">
        <v>9</v>
      </c>
      <c r="C51" s="9">
        <v>1917</v>
      </c>
      <c r="D51" s="10">
        <v>45653</v>
      </c>
      <c r="E51" s="9" t="str">
        <f>+HYPERLINK("http://trademark.i-assist.jp/data/china/image_1917th/76844904.pdf","76844904")</f>
        <v>76844904</v>
      </c>
      <c r="F51" s="9" t="s">
        <v>201</v>
      </c>
      <c r="G51" s="9" t="s">
        <v>202</v>
      </c>
      <c r="H51" s="9" t="s">
        <v>203</v>
      </c>
      <c r="I51" s="10">
        <v>45340</v>
      </c>
    </row>
    <row r="52" spans="1:9" x14ac:dyDescent="0.15">
      <c r="A52" s="9">
        <v>51</v>
      </c>
      <c r="B52" s="9" t="s">
        <v>9</v>
      </c>
      <c r="C52" s="9">
        <v>1917</v>
      </c>
      <c r="D52" s="10">
        <v>45653</v>
      </c>
      <c r="E52" s="9" t="str">
        <f>+HYPERLINK("http://trademark.i-assist.jp/data/china/image_1917th/76893325.pdf","76893325")</f>
        <v>76893325</v>
      </c>
      <c r="F52" s="9" t="s">
        <v>204</v>
      </c>
      <c r="G52" s="9" t="s">
        <v>205</v>
      </c>
      <c r="H52" s="9" t="s">
        <v>206</v>
      </c>
      <c r="I52" s="10">
        <v>45343</v>
      </c>
    </row>
    <row r="53" spans="1:9" x14ac:dyDescent="0.15">
      <c r="A53" s="9">
        <v>52</v>
      </c>
      <c r="B53" s="9" t="s">
        <v>9</v>
      </c>
      <c r="C53" s="9">
        <v>1917</v>
      </c>
      <c r="D53" s="10">
        <v>45653</v>
      </c>
      <c r="E53" s="9" t="str">
        <f>+HYPERLINK("http://trademark.i-assist.jp/data/china/image_1917th/77012696.pdf","77012696")</f>
        <v>77012696</v>
      </c>
      <c r="F53" s="9" t="s">
        <v>207</v>
      </c>
      <c r="G53" s="9" t="s">
        <v>208</v>
      </c>
      <c r="H53" s="9" t="s">
        <v>209</v>
      </c>
      <c r="I53" s="10">
        <v>45350</v>
      </c>
    </row>
    <row r="54" spans="1:9" x14ac:dyDescent="0.15">
      <c r="A54" s="9">
        <v>53</v>
      </c>
      <c r="B54" s="9" t="s">
        <v>9</v>
      </c>
      <c r="C54" s="9">
        <v>1917</v>
      </c>
      <c r="D54" s="10">
        <v>45653</v>
      </c>
      <c r="E54" s="9" t="str">
        <f>+HYPERLINK("http://trademark.i-assist.jp/data/china/image_1917th/77098584.pdf","77098584")</f>
        <v>77098584</v>
      </c>
      <c r="F54" s="9" t="s">
        <v>210</v>
      </c>
      <c r="G54" s="9" t="s">
        <v>211</v>
      </c>
      <c r="H54" s="12" t="s">
        <v>212</v>
      </c>
      <c r="I54" s="10">
        <v>45356</v>
      </c>
    </row>
    <row r="55" spans="1:9" x14ac:dyDescent="0.15">
      <c r="A55" s="9">
        <v>54</v>
      </c>
      <c r="B55" s="9" t="s">
        <v>9</v>
      </c>
      <c r="C55" s="9">
        <v>1917</v>
      </c>
      <c r="D55" s="10">
        <v>45653</v>
      </c>
      <c r="E55" s="9" t="str">
        <f>+HYPERLINK("http://trademark.i-assist.jp/data/china/image_1917th/77168912.pdf","77168912")</f>
        <v>77168912</v>
      </c>
      <c r="F55" s="9" t="s">
        <v>213</v>
      </c>
      <c r="G55" s="9" t="s">
        <v>214</v>
      </c>
      <c r="H55" s="12" t="s">
        <v>215</v>
      </c>
      <c r="I55" s="10">
        <v>45358</v>
      </c>
    </row>
    <row r="56" spans="1:9" x14ac:dyDescent="0.15">
      <c r="A56" s="9">
        <v>55</v>
      </c>
      <c r="B56" s="9" t="s">
        <v>9</v>
      </c>
      <c r="C56" s="9">
        <v>1917</v>
      </c>
      <c r="D56" s="10">
        <v>45653</v>
      </c>
      <c r="E56" s="9" t="str">
        <f>+HYPERLINK("http://trademark.i-assist.jp/data/china/image_1917th/77213310.pdf","77213310")</f>
        <v>77213310</v>
      </c>
      <c r="F56" s="9" t="s">
        <v>216</v>
      </c>
      <c r="G56" s="12" t="s">
        <v>217</v>
      </c>
      <c r="H56" s="9" t="s">
        <v>218</v>
      </c>
      <c r="I56" s="10">
        <v>45362</v>
      </c>
    </row>
    <row r="57" spans="1:9" x14ac:dyDescent="0.15">
      <c r="A57" s="9">
        <v>56</v>
      </c>
      <c r="B57" s="9" t="s">
        <v>9</v>
      </c>
      <c r="C57" s="9">
        <v>1917</v>
      </c>
      <c r="D57" s="10">
        <v>45653</v>
      </c>
      <c r="E57" s="9" t="str">
        <f>+HYPERLINK("http://trademark.i-assist.jp/data/china/image_1917th/77287366.pdf","77287366")</f>
        <v>77287366</v>
      </c>
      <c r="F57" s="12" t="s">
        <v>12</v>
      </c>
      <c r="G57" s="9" t="s">
        <v>219</v>
      </c>
      <c r="H57" s="9" t="s">
        <v>220</v>
      </c>
      <c r="I57" s="10">
        <v>45364</v>
      </c>
    </row>
    <row r="58" spans="1:9" x14ac:dyDescent="0.15">
      <c r="A58" s="9">
        <v>57</v>
      </c>
      <c r="B58" s="9" t="s">
        <v>9</v>
      </c>
      <c r="C58" s="9">
        <v>1917</v>
      </c>
      <c r="D58" s="10">
        <v>45653</v>
      </c>
      <c r="E58" s="9" t="str">
        <f>+HYPERLINK("http://trademark.i-assist.jp/data/china/image_1917th/77347250.pdf","77347250")</f>
        <v>77347250</v>
      </c>
      <c r="F58" s="12" t="s">
        <v>221</v>
      </c>
      <c r="G58" s="12" t="s">
        <v>222</v>
      </c>
      <c r="H58" s="9" t="s">
        <v>223</v>
      </c>
      <c r="I58" s="10">
        <v>45367</v>
      </c>
    </row>
    <row r="59" spans="1:9" x14ac:dyDescent="0.15">
      <c r="A59" s="9">
        <v>58</v>
      </c>
      <c r="B59" s="9" t="s">
        <v>9</v>
      </c>
      <c r="C59" s="9">
        <v>1917</v>
      </c>
      <c r="D59" s="10">
        <v>45653</v>
      </c>
      <c r="E59" s="9" t="str">
        <f>+HYPERLINK("http://trademark.i-assist.jp/data/china/image_1917th/77509858.pdf","77509858")</f>
        <v>77509858</v>
      </c>
      <c r="F59" s="9" t="s">
        <v>224</v>
      </c>
      <c r="G59" s="9" t="s">
        <v>225</v>
      </c>
      <c r="H59" s="9" t="s">
        <v>226</v>
      </c>
      <c r="I59" s="10">
        <v>45376</v>
      </c>
    </row>
    <row r="60" spans="1:9" x14ac:dyDescent="0.15">
      <c r="A60" s="9">
        <v>59</v>
      </c>
      <c r="B60" s="9" t="s">
        <v>9</v>
      </c>
      <c r="C60" s="9">
        <v>1917</v>
      </c>
      <c r="D60" s="10">
        <v>45653</v>
      </c>
      <c r="E60" s="9" t="str">
        <f>+HYPERLINK("http://trademark.i-assist.jp/data/china/image_1917th/77638581.pdf","77638581")</f>
        <v>77638581</v>
      </c>
      <c r="F60" s="12" t="s">
        <v>12</v>
      </c>
      <c r="G60" s="9" t="s">
        <v>227</v>
      </c>
      <c r="H60" s="9" t="s">
        <v>228</v>
      </c>
      <c r="I60" s="10">
        <v>45380</v>
      </c>
    </row>
    <row r="61" spans="1:9" x14ac:dyDescent="0.15">
      <c r="A61" s="9">
        <v>60</v>
      </c>
      <c r="B61" s="9" t="s">
        <v>9</v>
      </c>
      <c r="C61" s="9">
        <v>1917</v>
      </c>
      <c r="D61" s="10">
        <v>45653</v>
      </c>
      <c r="E61" s="9" t="str">
        <f>+HYPERLINK("http://trademark.i-assist.jp/data/china/image_1917th/77756840.pdf","77756840")</f>
        <v>77756840</v>
      </c>
      <c r="F61" s="12" t="s">
        <v>12</v>
      </c>
      <c r="G61" s="9" t="s">
        <v>229</v>
      </c>
      <c r="H61" s="12" t="s">
        <v>230</v>
      </c>
      <c r="I61" s="10">
        <v>45385</v>
      </c>
    </row>
    <row r="62" spans="1:9" x14ac:dyDescent="0.15">
      <c r="A62" s="9">
        <v>61</v>
      </c>
      <c r="B62" s="9" t="s">
        <v>9</v>
      </c>
      <c r="C62" s="9">
        <v>1917</v>
      </c>
      <c r="D62" s="10">
        <v>45653</v>
      </c>
      <c r="E62" s="9" t="str">
        <f>+HYPERLINK("http://trademark.i-assist.jp/data/china/image_1917th/77860083A.pdf","77860083A")</f>
        <v>77860083A</v>
      </c>
      <c r="F62" s="9" t="s">
        <v>231</v>
      </c>
      <c r="G62" s="12" t="s">
        <v>232</v>
      </c>
      <c r="H62" s="9" t="s">
        <v>233</v>
      </c>
      <c r="I62" s="10">
        <v>45391</v>
      </c>
    </row>
    <row r="63" spans="1:9" x14ac:dyDescent="0.15">
      <c r="A63" s="9">
        <v>62</v>
      </c>
      <c r="B63" s="9" t="s">
        <v>9</v>
      </c>
      <c r="C63" s="9">
        <v>1917</v>
      </c>
      <c r="D63" s="10">
        <v>45653</v>
      </c>
      <c r="E63" s="9" t="str">
        <f>+HYPERLINK("http://trademark.i-assist.jp/data/china/image_1917th/78199811.pdf","78199811")</f>
        <v>78199811</v>
      </c>
      <c r="F63" s="9" t="s">
        <v>234</v>
      </c>
      <c r="G63" s="9" t="s">
        <v>235</v>
      </c>
      <c r="H63" s="9" t="s">
        <v>236</v>
      </c>
      <c r="I63" s="10">
        <v>45406</v>
      </c>
    </row>
    <row r="64" spans="1:9" x14ac:dyDescent="0.15">
      <c r="A64" s="9">
        <v>63</v>
      </c>
      <c r="B64" s="9" t="s">
        <v>9</v>
      </c>
      <c r="C64" s="9">
        <v>1917</v>
      </c>
      <c r="D64" s="10">
        <v>45653</v>
      </c>
      <c r="E64" s="9" t="str">
        <f>+HYPERLINK("http://trademark.i-assist.jp/data/china/image_1917th/78533501.pdf","78533501")</f>
        <v>78533501</v>
      </c>
      <c r="F64" s="9" t="s">
        <v>237</v>
      </c>
      <c r="G64" s="9" t="s">
        <v>238</v>
      </c>
      <c r="H64" s="12" t="s">
        <v>239</v>
      </c>
      <c r="I64" s="10">
        <v>45423</v>
      </c>
    </row>
    <row r="65" spans="1:9" x14ac:dyDescent="0.15">
      <c r="A65" s="9">
        <v>64</v>
      </c>
      <c r="B65" s="9" t="s">
        <v>9</v>
      </c>
      <c r="C65" s="9">
        <v>1917</v>
      </c>
      <c r="D65" s="10">
        <v>45653</v>
      </c>
      <c r="E65" s="9" t="str">
        <f>+HYPERLINK("http://trademark.i-assist.jp/data/china/image_1917th/78580134.pdf","78580134")</f>
        <v>78580134</v>
      </c>
      <c r="F65" s="9" t="s">
        <v>240</v>
      </c>
      <c r="G65" s="12" t="s">
        <v>241</v>
      </c>
      <c r="H65" s="9" t="s">
        <v>242</v>
      </c>
      <c r="I65" s="10">
        <v>45426</v>
      </c>
    </row>
    <row r="66" spans="1:9" x14ac:dyDescent="0.15">
      <c r="A66" s="9">
        <v>65</v>
      </c>
      <c r="B66" s="9" t="s">
        <v>9</v>
      </c>
      <c r="C66" s="9">
        <v>1917</v>
      </c>
      <c r="D66" s="10">
        <v>45653</v>
      </c>
      <c r="E66" s="9" t="str">
        <f>+HYPERLINK("http://trademark.i-assist.jp/data/china/image_1917th/78731780.pdf","78731780")</f>
        <v>78731780</v>
      </c>
      <c r="F66" s="9" t="s">
        <v>243</v>
      </c>
      <c r="G66" s="9" t="s">
        <v>244</v>
      </c>
      <c r="H66" s="9" t="s">
        <v>245</v>
      </c>
      <c r="I66" s="10">
        <v>45433</v>
      </c>
    </row>
    <row r="67" spans="1:9" x14ac:dyDescent="0.15">
      <c r="A67" s="9">
        <v>66</v>
      </c>
      <c r="B67" s="9" t="s">
        <v>9</v>
      </c>
      <c r="C67" s="9">
        <v>1917</v>
      </c>
      <c r="D67" s="10">
        <v>45653</v>
      </c>
      <c r="E67" s="9" t="str">
        <f>+HYPERLINK("http://trademark.i-assist.jp/data/china/image_1917th/78777360.pdf","78777360")</f>
        <v>78777360</v>
      </c>
      <c r="F67" s="12" t="s">
        <v>12</v>
      </c>
      <c r="G67" s="9" t="s">
        <v>246</v>
      </c>
      <c r="H67" s="12" t="s">
        <v>247</v>
      </c>
      <c r="I67" s="10">
        <v>45435</v>
      </c>
    </row>
    <row r="68" spans="1:9" x14ac:dyDescent="0.15">
      <c r="A68" s="9">
        <v>67</v>
      </c>
      <c r="B68" s="9" t="s">
        <v>9</v>
      </c>
      <c r="C68" s="9">
        <v>1917</v>
      </c>
      <c r="D68" s="10">
        <v>45653</v>
      </c>
      <c r="E68" s="9" t="str">
        <f>+HYPERLINK("http://trademark.i-assist.jp/data/china/image_1917th/78777402.pdf","78777402")</f>
        <v>78777402</v>
      </c>
      <c r="F68" s="9" t="s">
        <v>248</v>
      </c>
      <c r="G68" s="9" t="s">
        <v>246</v>
      </c>
      <c r="H68" s="9" t="s">
        <v>249</v>
      </c>
      <c r="I68" s="10">
        <v>45435</v>
      </c>
    </row>
    <row r="69" spans="1:9" x14ac:dyDescent="0.15">
      <c r="A69" s="9">
        <v>68</v>
      </c>
      <c r="B69" s="9" t="s">
        <v>9</v>
      </c>
      <c r="C69" s="9">
        <v>1917</v>
      </c>
      <c r="D69" s="10">
        <v>45653</v>
      </c>
      <c r="E69" s="9" t="str">
        <f>+HYPERLINK("http://trademark.i-assist.jp/data/china/image_1917th/78831240.pdf","78831240")</f>
        <v>78831240</v>
      </c>
      <c r="F69" s="9" t="s">
        <v>250</v>
      </c>
      <c r="G69" s="12" t="s">
        <v>251</v>
      </c>
      <c r="H69" s="9" t="s">
        <v>252</v>
      </c>
      <c r="I69" s="10">
        <v>45437</v>
      </c>
    </row>
    <row r="70" spans="1:9" x14ac:dyDescent="0.15">
      <c r="A70" s="9">
        <v>69</v>
      </c>
      <c r="B70" s="9" t="s">
        <v>9</v>
      </c>
      <c r="C70" s="9">
        <v>1917</v>
      </c>
      <c r="D70" s="10">
        <v>45653</v>
      </c>
      <c r="E70" s="9" t="str">
        <f>+HYPERLINK("http://trademark.i-assist.jp/data/china/image_1917th/79043010.pdf","79043010")</f>
        <v>79043010</v>
      </c>
      <c r="F70" s="9" t="s">
        <v>253</v>
      </c>
      <c r="G70" s="9" t="s">
        <v>254</v>
      </c>
      <c r="H70" s="9" t="s">
        <v>255</v>
      </c>
      <c r="I70" s="10">
        <v>45448</v>
      </c>
    </row>
    <row r="71" spans="1:9" x14ac:dyDescent="0.15">
      <c r="A71" s="9">
        <v>70</v>
      </c>
      <c r="B71" s="9" t="s">
        <v>9</v>
      </c>
      <c r="C71" s="9">
        <v>1917</v>
      </c>
      <c r="D71" s="10">
        <v>45653</v>
      </c>
      <c r="E71" s="9" t="str">
        <f>+HYPERLINK("http://trademark.i-assist.jp/data/china/image_1917th/79075046.pdf","79075046")</f>
        <v>79075046</v>
      </c>
      <c r="F71" s="9" t="s">
        <v>256</v>
      </c>
      <c r="G71" s="12" t="s">
        <v>257</v>
      </c>
      <c r="H71" s="9" t="s">
        <v>258</v>
      </c>
      <c r="I71" s="10">
        <v>45449</v>
      </c>
    </row>
    <row r="72" spans="1:9" x14ac:dyDescent="0.15">
      <c r="A72" s="9">
        <v>71</v>
      </c>
      <c r="B72" s="9" t="s">
        <v>9</v>
      </c>
      <c r="C72" s="9">
        <v>1917</v>
      </c>
      <c r="D72" s="10">
        <v>45653</v>
      </c>
      <c r="E72" s="9" t="str">
        <f>+HYPERLINK("http://trademark.i-assist.jp/data/china/image_1917th/79140020.pdf","79140020")</f>
        <v>79140020</v>
      </c>
      <c r="F72" s="9" t="s">
        <v>259</v>
      </c>
      <c r="G72" s="9" t="s">
        <v>260</v>
      </c>
      <c r="H72" s="9" t="s">
        <v>261</v>
      </c>
      <c r="I72" s="10">
        <v>45454</v>
      </c>
    </row>
    <row r="73" spans="1:9" x14ac:dyDescent="0.15">
      <c r="A73" s="9">
        <v>72</v>
      </c>
      <c r="B73" s="9" t="s">
        <v>9</v>
      </c>
      <c r="C73" s="9">
        <v>1917</v>
      </c>
      <c r="D73" s="10">
        <v>45653</v>
      </c>
      <c r="E73" s="9" t="str">
        <f>+HYPERLINK("http://trademark.i-assist.jp/data/china/image_1917th/79206558.pdf","79206558")</f>
        <v>79206558</v>
      </c>
      <c r="F73" s="9" t="s">
        <v>262</v>
      </c>
      <c r="G73" s="9" t="s">
        <v>263</v>
      </c>
      <c r="H73" s="9" t="s">
        <v>264</v>
      </c>
      <c r="I73" s="10">
        <v>45456</v>
      </c>
    </row>
    <row r="74" spans="1:9" x14ac:dyDescent="0.15">
      <c r="A74" s="9">
        <v>73</v>
      </c>
      <c r="B74" s="9" t="s">
        <v>9</v>
      </c>
      <c r="C74" s="9">
        <v>1917</v>
      </c>
      <c r="D74" s="10">
        <v>45653</v>
      </c>
      <c r="E74" s="9" t="str">
        <f>+HYPERLINK("http://trademark.i-assist.jp/data/china/image_1917th/79243687.pdf","79243687")</f>
        <v>79243687</v>
      </c>
      <c r="F74" s="9" t="s">
        <v>265</v>
      </c>
      <c r="G74" s="12" t="s">
        <v>266</v>
      </c>
      <c r="H74" s="9" t="s">
        <v>267</v>
      </c>
      <c r="I74" s="10">
        <v>45460</v>
      </c>
    </row>
    <row r="75" spans="1:9" x14ac:dyDescent="0.15">
      <c r="A75" s="9">
        <v>74</v>
      </c>
      <c r="B75" s="9" t="s">
        <v>9</v>
      </c>
      <c r="C75" s="9">
        <v>1917</v>
      </c>
      <c r="D75" s="10">
        <v>45653</v>
      </c>
      <c r="E75" s="9" t="str">
        <f>+HYPERLINK("http://trademark.i-assist.jp/data/china/image_1917th/79279687.pdf","79279687")</f>
        <v>79279687</v>
      </c>
      <c r="F75" s="9" t="s">
        <v>268</v>
      </c>
      <c r="G75" s="9" t="s">
        <v>269</v>
      </c>
      <c r="H75" s="9" t="s">
        <v>270</v>
      </c>
      <c r="I75" s="10">
        <v>45461</v>
      </c>
    </row>
    <row r="76" spans="1:9" x14ac:dyDescent="0.15">
      <c r="A76" s="9">
        <v>75</v>
      </c>
      <c r="B76" s="9" t="s">
        <v>9</v>
      </c>
      <c r="C76" s="9">
        <v>1917</v>
      </c>
      <c r="D76" s="10">
        <v>45653</v>
      </c>
      <c r="E76" s="9" t="str">
        <f>+HYPERLINK("http://trademark.i-assist.jp/data/china/image_1917th/79281577.pdf","79281577")</f>
        <v>79281577</v>
      </c>
      <c r="F76" s="9" t="s">
        <v>271</v>
      </c>
      <c r="G76" s="9" t="s">
        <v>272</v>
      </c>
      <c r="H76" s="9" t="s">
        <v>273</v>
      </c>
      <c r="I76" s="10">
        <v>45461</v>
      </c>
    </row>
    <row r="77" spans="1:9" x14ac:dyDescent="0.15">
      <c r="A77" s="9">
        <v>76</v>
      </c>
      <c r="B77" s="9" t="s">
        <v>9</v>
      </c>
      <c r="C77" s="9">
        <v>1917</v>
      </c>
      <c r="D77" s="10">
        <v>45653</v>
      </c>
      <c r="E77" s="9" t="str">
        <f>+HYPERLINK("http://trademark.i-assist.jp/data/china/image_1917th/79282346.pdf","79282346")</f>
        <v>79282346</v>
      </c>
      <c r="F77" s="9" t="s">
        <v>274</v>
      </c>
      <c r="G77" s="9" t="s">
        <v>275</v>
      </c>
      <c r="H77" s="9" t="s">
        <v>276</v>
      </c>
      <c r="I77" s="10">
        <v>45461</v>
      </c>
    </row>
    <row r="78" spans="1:9" x14ac:dyDescent="0.15">
      <c r="A78" s="9">
        <v>77</v>
      </c>
      <c r="B78" s="9" t="s">
        <v>9</v>
      </c>
      <c r="C78" s="9">
        <v>1917</v>
      </c>
      <c r="D78" s="10">
        <v>45653</v>
      </c>
      <c r="E78" s="9" t="str">
        <f>+HYPERLINK("http://trademark.i-assist.jp/data/china/image_1917th/79337699.pdf","79337699")</f>
        <v>79337699</v>
      </c>
      <c r="F78" s="9" t="s">
        <v>277</v>
      </c>
      <c r="G78" s="9" t="s">
        <v>278</v>
      </c>
      <c r="H78" s="9" t="s">
        <v>279</v>
      </c>
      <c r="I78" s="10">
        <v>45463</v>
      </c>
    </row>
    <row r="79" spans="1:9" x14ac:dyDescent="0.15">
      <c r="A79" s="9">
        <v>78</v>
      </c>
      <c r="B79" s="9" t="s">
        <v>9</v>
      </c>
      <c r="C79" s="9">
        <v>1917</v>
      </c>
      <c r="D79" s="10">
        <v>45653</v>
      </c>
      <c r="E79" s="9" t="str">
        <f>+HYPERLINK("http://trademark.i-assist.jp/data/china/image_1917th/79347985.pdf","79347985")</f>
        <v>79347985</v>
      </c>
      <c r="F79" s="12" t="s">
        <v>12</v>
      </c>
      <c r="G79" s="9" t="s">
        <v>280</v>
      </c>
      <c r="H79" s="12" t="s">
        <v>281</v>
      </c>
      <c r="I79" s="10">
        <v>45463</v>
      </c>
    </row>
    <row r="80" spans="1:9" x14ac:dyDescent="0.15">
      <c r="A80" s="9">
        <v>79</v>
      </c>
      <c r="B80" s="9" t="s">
        <v>9</v>
      </c>
      <c r="C80" s="9">
        <v>1917</v>
      </c>
      <c r="D80" s="10">
        <v>45653</v>
      </c>
      <c r="E80" s="9" t="str">
        <f>+HYPERLINK("http://trademark.i-assist.jp/data/china/image_1917th/79353631.pdf","79353631")</f>
        <v>79353631</v>
      </c>
      <c r="F80" s="9" t="s">
        <v>282</v>
      </c>
      <c r="G80" s="9" t="s">
        <v>26</v>
      </c>
      <c r="H80" s="9" t="s">
        <v>283</v>
      </c>
      <c r="I80" s="10">
        <v>45464</v>
      </c>
    </row>
    <row r="81" spans="1:9" x14ac:dyDescent="0.15">
      <c r="A81" s="9">
        <v>80</v>
      </c>
      <c r="B81" s="9" t="s">
        <v>9</v>
      </c>
      <c r="C81" s="9">
        <v>1917</v>
      </c>
      <c r="D81" s="10">
        <v>45653</v>
      </c>
      <c r="E81" s="9" t="str">
        <f>+HYPERLINK("http://trademark.i-assist.jp/data/china/image_1917th/79358680.pdf","79358680")</f>
        <v>79358680</v>
      </c>
      <c r="F81" s="9" t="s">
        <v>284</v>
      </c>
      <c r="G81" s="9" t="s">
        <v>26</v>
      </c>
      <c r="H81" s="9" t="s">
        <v>285</v>
      </c>
      <c r="I81" s="10">
        <v>45464</v>
      </c>
    </row>
    <row r="82" spans="1:9" x14ac:dyDescent="0.15">
      <c r="A82" s="9">
        <v>81</v>
      </c>
      <c r="B82" s="9" t="s">
        <v>9</v>
      </c>
      <c r="C82" s="9">
        <v>1917</v>
      </c>
      <c r="D82" s="10">
        <v>45653</v>
      </c>
      <c r="E82" s="9" t="str">
        <f>+HYPERLINK("http://trademark.i-assist.jp/data/china/image_1917th/79366346.pdf","79366346")</f>
        <v>79366346</v>
      </c>
      <c r="F82" s="12" t="s">
        <v>12</v>
      </c>
      <c r="G82" s="9" t="s">
        <v>286</v>
      </c>
      <c r="H82" s="9" t="s">
        <v>287</v>
      </c>
      <c r="I82" s="10">
        <v>45464</v>
      </c>
    </row>
    <row r="83" spans="1:9" x14ac:dyDescent="0.15">
      <c r="A83" s="9">
        <v>82</v>
      </c>
      <c r="B83" s="9" t="s">
        <v>9</v>
      </c>
      <c r="C83" s="9">
        <v>1917</v>
      </c>
      <c r="D83" s="10">
        <v>45653</v>
      </c>
      <c r="E83" s="9" t="str">
        <f>+HYPERLINK("http://trademark.i-assist.jp/data/china/image_1917th/79367123.pdf","79367123")</f>
        <v>79367123</v>
      </c>
      <c r="F83" s="9" t="s">
        <v>288</v>
      </c>
      <c r="G83" s="9" t="s">
        <v>26</v>
      </c>
      <c r="H83" s="9" t="s">
        <v>289</v>
      </c>
      <c r="I83" s="10">
        <v>45464</v>
      </c>
    </row>
    <row r="84" spans="1:9" x14ac:dyDescent="0.15">
      <c r="A84" s="9">
        <v>83</v>
      </c>
      <c r="B84" s="9" t="s">
        <v>9</v>
      </c>
      <c r="C84" s="9">
        <v>1917</v>
      </c>
      <c r="D84" s="10">
        <v>45653</v>
      </c>
      <c r="E84" s="9" t="str">
        <f>+HYPERLINK("http://trademark.i-assist.jp/data/china/image_1917th/79389550.pdf","79389550")</f>
        <v>79389550</v>
      </c>
      <c r="F84" s="9" t="s">
        <v>290</v>
      </c>
      <c r="G84" s="9" t="s">
        <v>291</v>
      </c>
      <c r="H84" s="9" t="s">
        <v>292</v>
      </c>
      <c r="I84" s="10">
        <v>45467</v>
      </c>
    </row>
    <row r="85" spans="1:9" x14ac:dyDescent="0.15">
      <c r="A85" s="9">
        <v>84</v>
      </c>
      <c r="B85" s="9" t="s">
        <v>9</v>
      </c>
      <c r="C85" s="9">
        <v>1917</v>
      </c>
      <c r="D85" s="10">
        <v>45653</v>
      </c>
      <c r="E85" s="9" t="str">
        <f>+HYPERLINK("http://trademark.i-assist.jp/data/china/image_1917th/79391087.pdf","79391087")</f>
        <v>79391087</v>
      </c>
      <c r="F85" s="9" t="s">
        <v>293</v>
      </c>
      <c r="G85" s="9" t="s">
        <v>291</v>
      </c>
      <c r="H85" s="9" t="s">
        <v>294</v>
      </c>
      <c r="I85" s="10">
        <v>45467</v>
      </c>
    </row>
    <row r="86" spans="1:9" x14ac:dyDescent="0.15">
      <c r="A86" s="9">
        <v>85</v>
      </c>
      <c r="B86" s="9" t="s">
        <v>9</v>
      </c>
      <c r="C86" s="9">
        <v>1917</v>
      </c>
      <c r="D86" s="10">
        <v>45653</v>
      </c>
      <c r="E86" s="9" t="str">
        <f>+HYPERLINK("http://trademark.i-assist.jp/data/china/image_1917th/79409622.pdf","79409622")</f>
        <v>79409622</v>
      </c>
      <c r="F86" s="9" t="s">
        <v>295</v>
      </c>
      <c r="G86" s="9" t="s">
        <v>296</v>
      </c>
      <c r="H86" s="9" t="s">
        <v>297</v>
      </c>
      <c r="I86" s="10">
        <v>45467</v>
      </c>
    </row>
    <row r="87" spans="1:9" x14ac:dyDescent="0.15">
      <c r="A87" s="9">
        <v>86</v>
      </c>
      <c r="B87" s="9" t="s">
        <v>9</v>
      </c>
      <c r="C87" s="9">
        <v>1917</v>
      </c>
      <c r="D87" s="10">
        <v>45653</v>
      </c>
      <c r="E87" s="9" t="str">
        <f>+HYPERLINK("http://trademark.i-assist.jp/data/china/image_1917th/79422559.pdf","79422559")</f>
        <v>79422559</v>
      </c>
      <c r="F87" s="12" t="s">
        <v>12</v>
      </c>
      <c r="G87" s="9" t="s">
        <v>298</v>
      </c>
      <c r="H87" s="9" t="s">
        <v>299</v>
      </c>
      <c r="I87" s="10">
        <v>45468</v>
      </c>
    </row>
    <row r="88" spans="1:9" x14ac:dyDescent="0.15">
      <c r="A88" s="9">
        <v>87</v>
      </c>
      <c r="B88" s="9" t="s">
        <v>9</v>
      </c>
      <c r="C88" s="9">
        <v>1917</v>
      </c>
      <c r="D88" s="10">
        <v>45653</v>
      </c>
      <c r="E88" s="9" t="str">
        <f>+HYPERLINK("http://trademark.i-assist.jp/data/china/image_1917th/79429414.pdf","79429414")</f>
        <v>79429414</v>
      </c>
      <c r="F88" s="12" t="s">
        <v>300</v>
      </c>
      <c r="G88" s="9" t="s">
        <v>301</v>
      </c>
      <c r="H88" s="9" t="s">
        <v>302</v>
      </c>
      <c r="I88" s="10">
        <v>45468</v>
      </c>
    </row>
    <row r="89" spans="1:9" x14ac:dyDescent="0.15">
      <c r="A89" s="9">
        <v>88</v>
      </c>
      <c r="B89" s="9" t="s">
        <v>9</v>
      </c>
      <c r="C89" s="9">
        <v>1917</v>
      </c>
      <c r="D89" s="10">
        <v>45653</v>
      </c>
      <c r="E89" s="9" t="str">
        <f>+HYPERLINK("http://trademark.i-assist.jp/data/china/image_1917th/79458339.pdf","79458339")</f>
        <v>79458339</v>
      </c>
      <c r="F89" s="9" t="s">
        <v>303</v>
      </c>
      <c r="G89" s="9" t="s">
        <v>304</v>
      </c>
      <c r="H89" s="9" t="s">
        <v>305</v>
      </c>
      <c r="I89" s="10">
        <v>45469</v>
      </c>
    </row>
    <row r="90" spans="1:9" x14ac:dyDescent="0.15">
      <c r="A90" s="9">
        <v>89</v>
      </c>
      <c r="B90" s="9" t="s">
        <v>9</v>
      </c>
      <c r="C90" s="9">
        <v>1917</v>
      </c>
      <c r="D90" s="10">
        <v>45653</v>
      </c>
      <c r="E90" s="9" t="str">
        <f>+HYPERLINK("http://trademark.i-assist.jp/data/china/image_1917th/79479277.pdf","79479277")</f>
        <v>79479277</v>
      </c>
      <c r="F90" s="9" t="s">
        <v>306</v>
      </c>
      <c r="G90" s="9" t="s">
        <v>307</v>
      </c>
      <c r="H90" s="9" t="s">
        <v>308</v>
      </c>
      <c r="I90" s="10">
        <v>45470</v>
      </c>
    </row>
    <row r="91" spans="1:9" x14ac:dyDescent="0.15">
      <c r="A91" s="9">
        <v>90</v>
      </c>
      <c r="B91" s="9" t="s">
        <v>9</v>
      </c>
      <c r="C91" s="9">
        <v>1917</v>
      </c>
      <c r="D91" s="10">
        <v>45653</v>
      </c>
      <c r="E91" s="9" t="str">
        <f>+HYPERLINK("http://trademark.i-assist.jp/data/china/image_1917th/79488827.pdf","79488827")</f>
        <v>79488827</v>
      </c>
      <c r="F91" s="9" t="s">
        <v>309</v>
      </c>
      <c r="G91" s="9" t="s">
        <v>310</v>
      </c>
      <c r="H91" s="12" t="s">
        <v>311</v>
      </c>
      <c r="I91" s="10">
        <v>45471</v>
      </c>
    </row>
    <row r="92" spans="1:9" x14ac:dyDescent="0.15">
      <c r="A92" s="9">
        <v>91</v>
      </c>
      <c r="B92" s="9" t="s">
        <v>9</v>
      </c>
      <c r="C92" s="9">
        <v>1917</v>
      </c>
      <c r="D92" s="10">
        <v>45653</v>
      </c>
      <c r="E92" s="9" t="str">
        <f>+HYPERLINK("http://trademark.i-assist.jp/data/china/image_1917th/79592562.pdf","79592562")</f>
        <v>79592562</v>
      </c>
      <c r="F92" s="9" t="s">
        <v>312</v>
      </c>
      <c r="G92" s="9" t="s">
        <v>313</v>
      </c>
      <c r="H92" s="12" t="s">
        <v>314</v>
      </c>
      <c r="I92" s="10">
        <v>45476</v>
      </c>
    </row>
    <row r="93" spans="1:9" x14ac:dyDescent="0.15">
      <c r="A93" s="9">
        <v>92</v>
      </c>
      <c r="B93" s="9" t="s">
        <v>9</v>
      </c>
      <c r="C93" s="9">
        <v>1917</v>
      </c>
      <c r="D93" s="10">
        <v>45653</v>
      </c>
      <c r="E93" s="9" t="str">
        <f>+HYPERLINK("http://trademark.i-assist.jp/data/china/image_1917th/79606176.pdf","79606176")</f>
        <v>79606176</v>
      </c>
      <c r="F93" s="9" t="s">
        <v>315</v>
      </c>
      <c r="G93" s="9" t="s">
        <v>316</v>
      </c>
      <c r="H93" s="12" t="s">
        <v>317</v>
      </c>
      <c r="I93" s="10">
        <v>45477</v>
      </c>
    </row>
    <row r="94" spans="1:9" x14ac:dyDescent="0.15">
      <c r="A94" s="9">
        <v>93</v>
      </c>
      <c r="B94" s="9" t="s">
        <v>9</v>
      </c>
      <c r="C94" s="9">
        <v>1917</v>
      </c>
      <c r="D94" s="10">
        <v>45653</v>
      </c>
      <c r="E94" s="9" t="str">
        <f>+HYPERLINK("http://trademark.i-assist.jp/data/china/image_1917th/79650547.pdf","79650547")</f>
        <v>79650547</v>
      </c>
      <c r="F94" s="9" t="s">
        <v>318</v>
      </c>
      <c r="G94" s="9" t="s">
        <v>319</v>
      </c>
      <c r="H94" s="9" t="s">
        <v>320</v>
      </c>
      <c r="I94" s="10">
        <v>45479</v>
      </c>
    </row>
    <row r="95" spans="1:9" x14ac:dyDescent="0.15">
      <c r="A95" s="9">
        <v>94</v>
      </c>
      <c r="B95" s="9" t="s">
        <v>9</v>
      </c>
      <c r="C95" s="9">
        <v>1917</v>
      </c>
      <c r="D95" s="10">
        <v>45653</v>
      </c>
      <c r="E95" s="9" t="str">
        <f>+HYPERLINK("http://trademark.i-assist.jp/data/china/image_1917th/79651204.pdf","79651204")</f>
        <v>79651204</v>
      </c>
      <c r="F95" s="9" t="s">
        <v>321</v>
      </c>
      <c r="G95" s="9" t="s">
        <v>322</v>
      </c>
      <c r="H95" s="9" t="s">
        <v>323</v>
      </c>
      <c r="I95" s="10">
        <v>45479</v>
      </c>
    </row>
    <row r="96" spans="1:9" x14ac:dyDescent="0.15">
      <c r="A96" s="9">
        <v>95</v>
      </c>
      <c r="B96" s="9" t="s">
        <v>9</v>
      </c>
      <c r="C96" s="9">
        <v>1917</v>
      </c>
      <c r="D96" s="10">
        <v>45653</v>
      </c>
      <c r="E96" s="9" t="str">
        <f>+HYPERLINK("http://trademark.i-assist.jp/data/china/image_1917th/79655745.pdf","79655745")</f>
        <v>79655745</v>
      </c>
      <c r="F96" s="12" t="s">
        <v>12</v>
      </c>
      <c r="G96" s="12" t="s">
        <v>324</v>
      </c>
      <c r="H96" s="9" t="s">
        <v>325</v>
      </c>
      <c r="I96" s="10">
        <v>45480</v>
      </c>
    </row>
    <row r="97" spans="1:9" x14ac:dyDescent="0.15">
      <c r="A97" s="9">
        <v>96</v>
      </c>
      <c r="B97" s="9" t="s">
        <v>9</v>
      </c>
      <c r="C97" s="9">
        <v>1917</v>
      </c>
      <c r="D97" s="10">
        <v>45653</v>
      </c>
      <c r="E97" s="9" t="str">
        <f>+HYPERLINK("http://trademark.i-assist.jp/data/china/image_1917th/79663470.pdf","79663470")</f>
        <v>79663470</v>
      </c>
      <c r="F97" s="9" t="s">
        <v>326</v>
      </c>
      <c r="G97" s="12" t="s">
        <v>327</v>
      </c>
      <c r="H97" s="9" t="s">
        <v>328</v>
      </c>
      <c r="I97" s="10">
        <v>45481</v>
      </c>
    </row>
    <row r="98" spans="1:9" x14ac:dyDescent="0.15">
      <c r="A98" s="9">
        <v>97</v>
      </c>
      <c r="B98" s="9" t="s">
        <v>9</v>
      </c>
      <c r="C98" s="9">
        <v>1917</v>
      </c>
      <c r="D98" s="10">
        <v>45653</v>
      </c>
      <c r="E98" s="9" t="str">
        <f>+HYPERLINK("http://trademark.i-assist.jp/data/china/image_1917th/79668964.pdf","79668964")</f>
        <v>79668964</v>
      </c>
      <c r="F98" s="9" t="s">
        <v>329</v>
      </c>
      <c r="G98" s="9" t="s">
        <v>330</v>
      </c>
      <c r="H98" s="9" t="s">
        <v>331</v>
      </c>
      <c r="I98" s="10">
        <v>45481</v>
      </c>
    </row>
    <row r="99" spans="1:9" x14ac:dyDescent="0.15">
      <c r="A99" s="9">
        <v>98</v>
      </c>
      <c r="B99" s="9" t="s">
        <v>9</v>
      </c>
      <c r="C99" s="9">
        <v>1917</v>
      </c>
      <c r="D99" s="10">
        <v>45653</v>
      </c>
      <c r="E99" s="9" t="str">
        <f>+HYPERLINK("http://trademark.i-assist.jp/data/china/image_1917th/79747635.pdf","79747635")</f>
        <v>79747635</v>
      </c>
      <c r="F99" s="9" t="s">
        <v>332</v>
      </c>
      <c r="G99" s="9" t="s">
        <v>333</v>
      </c>
      <c r="H99" s="9" t="s">
        <v>334</v>
      </c>
      <c r="I99" s="10">
        <v>45484</v>
      </c>
    </row>
    <row r="100" spans="1:9" x14ac:dyDescent="0.15">
      <c r="A100" s="9">
        <v>99</v>
      </c>
      <c r="B100" s="9" t="s">
        <v>9</v>
      </c>
      <c r="C100" s="9">
        <v>1917</v>
      </c>
      <c r="D100" s="10">
        <v>45653</v>
      </c>
      <c r="E100" s="9" t="str">
        <f>+HYPERLINK("http://trademark.i-assist.jp/data/china/image_1917th/79762723.pdf","79762723")</f>
        <v>79762723</v>
      </c>
      <c r="F100" s="9" t="s">
        <v>335</v>
      </c>
      <c r="G100" s="9" t="s">
        <v>336</v>
      </c>
      <c r="H100" s="9" t="s">
        <v>337</v>
      </c>
      <c r="I100" s="10">
        <v>45485</v>
      </c>
    </row>
    <row r="101" spans="1:9" x14ac:dyDescent="0.15">
      <c r="A101" s="9">
        <v>100</v>
      </c>
      <c r="B101" s="9" t="s">
        <v>9</v>
      </c>
      <c r="C101" s="9">
        <v>1917</v>
      </c>
      <c r="D101" s="10">
        <v>45653</v>
      </c>
      <c r="E101" s="9" t="str">
        <f>+HYPERLINK("http://trademark.i-assist.jp/data/china/image_1917th/79774127.pdf","79774127")</f>
        <v>79774127</v>
      </c>
      <c r="F101" s="9" t="s">
        <v>338</v>
      </c>
      <c r="G101" s="9" t="s">
        <v>278</v>
      </c>
      <c r="H101" s="12" t="s">
        <v>339</v>
      </c>
      <c r="I101" s="10">
        <v>45485</v>
      </c>
    </row>
    <row r="102" spans="1:9" x14ac:dyDescent="0.15">
      <c r="A102" s="9">
        <v>101</v>
      </c>
      <c r="B102" s="9" t="s">
        <v>9</v>
      </c>
      <c r="C102" s="9">
        <v>1917</v>
      </c>
      <c r="D102" s="10">
        <v>45653</v>
      </c>
      <c r="E102" s="9" t="str">
        <f>+HYPERLINK("http://trademark.i-assist.jp/data/china/image_1917th/79793394.pdf","79793394")</f>
        <v>79793394</v>
      </c>
      <c r="F102" s="12" t="s">
        <v>340</v>
      </c>
      <c r="G102" s="12" t="s">
        <v>341</v>
      </c>
      <c r="H102" s="9" t="s">
        <v>342</v>
      </c>
      <c r="I102" s="10">
        <v>45488</v>
      </c>
    </row>
    <row r="103" spans="1:9" x14ac:dyDescent="0.15">
      <c r="A103" s="9">
        <v>102</v>
      </c>
      <c r="B103" s="9" t="s">
        <v>9</v>
      </c>
      <c r="C103" s="9">
        <v>1917</v>
      </c>
      <c r="D103" s="10">
        <v>45653</v>
      </c>
      <c r="E103" s="9" t="str">
        <f>+HYPERLINK("http://trademark.i-assist.jp/data/china/image_1917th/79809674.pdf","79809674")</f>
        <v>79809674</v>
      </c>
      <c r="F103" s="9" t="s">
        <v>343</v>
      </c>
      <c r="G103" s="9" t="s">
        <v>344</v>
      </c>
      <c r="H103" s="12" t="s">
        <v>345</v>
      </c>
      <c r="I103" s="10">
        <v>45489</v>
      </c>
    </row>
    <row r="104" spans="1:9" x14ac:dyDescent="0.15">
      <c r="A104" s="9">
        <v>103</v>
      </c>
      <c r="B104" s="9" t="s">
        <v>9</v>
      </c>
      <c r="C104" s="9">
        <v>1917</v>
      </c>
      <c r="D104" s="10">
        <v>45653</v>
      </c>
      <c r="E104" s="9" t="str">
        <f>+HYPERLINK("http://trademark.i-assist.jp/data/china/image_1917th/79815112.pdf","79815112")</f>
        <v>79815112</v>
      </c>
      <c r="F104" s="11" t="s">
        <v>346</v>
      </c>
      <c r="G104" s="9" t="s">
        <v>347</v>
      </c>
      <c r="H104" s="9" t="s">
        <v>348</v>
      </c>
      <c r="I104" s="10">
        <v>45489</v>
      </c>
    </row>
    <row r="105" spans="1:9" x14ac:dyDescent="0.15">
      <c r="A105" s="9">
        <v>104</v>
      </c>
      <c r="B105" s="9" t="s">
        <v>9</v>
      </c>
      <c r="C105" s="9">
        <v>1917</v>
      </c>
      <c r="D105" s="10">
        <v>45653</v>
      </c>
      <c r="E105" s="9" t="str">
        <f>+HYPERLINK("http://trademark.i-assist.jp/data/china/image_1917th/79817871.pdf","79817871")</f>
        <v>79817871</v>
      </c>
      <c r="F105" s="9" t="s">
        <v>349</v>
      </c>
      <c r="G105" s="9" t="s">
        <v>350</v>
      </c>
      <c r="H105" s="9" t="s">
        <v>351</v>
      </c>
      <c r="I105" s="10">
        <v>45489</v>
      </c>
    </row>
    <row r="106" spans="1:9" x14ac:dyDescent="0.15">
      <c r="A106" s="9">
        <v>105</v>
      </c>
      <c r="B106" s="9" t="s">
        <v>9</v>
      </c>
      <c r="C106" s="9">
        <v>1917</v>
      </c>
      <c r="D106" s="10">
        <v>45653</v>
      </c>
      <c r="E106" s="9" t="str">
        <f>+HYPERLINK("http://trademark.i-assist.jp/data/china/image_1917th/79821330.pdf","79821330")</f>
        <v>79821330</v>
      </c>
      <c r="F106" s="12" t="s">
        <v>12</v>
      </c>
      <c r="G106" s="12" t="s">
        <v>352</v>
      </c>
      <c r="H106" s="12" t="s">
        <v>353</v>
      </c>
      <c r="I106" s="10">
        <v>45489</v>
      </c>
    </row>
    <row r="107" spans="1:9" x14ac:dyDescent="0.15">
      <c r="A107" s="9">
        <v>106</v>
      </c>
      <c r="B107" s="9" t="s">
        <v>9</v>
      </c>
      <c r="C107" s="9">
        <v>1917</v>
      </c>
      <c r="D107" s="10">
        <v>45653</v>
      </c>
      <c r="E107" s="9" t="str">
        <f>+HYPERLINK("http://trademark.i-assist.jp/data/china/image_1917th/79829282.pdf","79829282")</f>
        <v>79829282</v>
      </c>
      <c r="F107" s="9" t="s">
        <v>312</v>
      </c>
      <c r="G107" s="9" t="s">
        <v>313</v>
      </c>
      <c r="H107" s="9" t="s">
        <v>354</v>
      </c>
      <c r="I107" s="10">
        <v>45489</v>
      </c>
    </row>
    <row r="108" spans="1:9" x14ac:dyDescent="0.15">
      <c r="A108" s="9">
        <v>107</v>
      </c>
      <c r="B108" s="9" t="s">
        <v>9</v>
      </c>
      <c r="C108" s="9">
        <v>1917</v>
      </c>
      <c r="D108" s="10">
        <v>45653</v>
      </c>
      <c r="E108" s="9" t="str">
        <f>+HYPERLINK("http://trademark.i-assist.jp/data/china/image_1917th/79833470.pdf","79833470")</f>
        <v>79833470</v>
      </c>
      <c r="F108" s="9" t="s">
        <v>355</v>
      </c>
      <c r="G108" s="12" t="s">
        <v>356</v>
      </c>
      <c r="H108" s="9" t="s">
        <v>357</v>
      </c>
      <c r="I108" s="10">
        <v>45490</v>
      </c>
    </row>
    <row r="109" spans="1:9" x14ac:dyDescent="0.15">
      <c r="A109" s="9">
        <v>108</v>
      </c>
      <c r="B109" s="9" t="s">
        <v>9</v>
      </c>
      <c r="C109" s="9">
        <v>1917</v>
      </c>
      <c r="D109" s="10">
        <v>45653</v>
      </c>
      <c r="E109" s="9" t="str">
        <f>+HYPERLINK("http://trademark.i-assist.jp/data/china/image_1917th/79837071.pdf","79837071")</f>
        <v>79837071</v>
      </c>
      <c r="F109" s="9" t="s">
        <v>358</v>
      </c>
      <c r="G109" s="12" t="s">
        <v>359</v>
      </c>
      <c r="H109" s="9" t="s">
        <v>360</v>
      </c>
      <c r="I109" s="10">
        <v>45490</v>
      </c>
    </row>
    <row r="110" spans="1:9" x14ac:dyDescent="0.15">
      <c r="A110" s="9">
        <v>109</v>
      </c>
      <c r="B110" s="9" t="s">
        <v>9</v>
      </c>
      <c r="C110" s="9">
        <v>1917</v>
      </c>
      <c r="D110" s="10">
        <v>45653</v>
      </c>
      <c r="E110" s="9" t="str">
        <f>+HYPERLINK("http://trademark.i-assist.jp/data/china/image_1917th/79843092.pdf","79843092")</f>
        <v>79843092</v>
      </c>
      <c r="F110" s="9" t="s">
        <v>361</v>
      </c>
      <c r="G110" s="9" t="s">
        <v>362</v>
      </c>
      <c r="H110" s="9" t="s">
        <v>363</v>
      </c>
      <c r="I110" s="10">
        <v>45490</v>
      </c>
    </row>
    <row r="111" spans="1:9" x14ac:dyDescent="0.15">
      <c r="A111" s="9">
        <v>110</v>
      </c>
      <c r="B111" s="9" t="s">
        <v>9</v>
      </c>
      <c r="C111" s="9">
        <v>1917</v>
      </c>
      <c r="D111" s="10">
        <v>45653</v>
      </c>
      <c r="E111" s="9" t="str">
        <f>+HYPERLINK("http://trademark.i-assist.jp/data/china/image_1917th/79854593.pdf","79854593")</f>
        <v>79854593</v>
      </c>
      <c r="F111" s="9" t="s">
        <v>364</v>
      </c>
      <c r="G111" s="12" t="s">
        <v>16</v>
      </c>
      <c r="H111" s="9" t="s">
        <v>365</v>
      </c>
      <c r="I111" s="10">
        <v>45490</v>
      </c>
    </row>
    <row r="112" spans="1:9" x14ac:dyDescent="0.15">
      <c r="A112" s="9">
        <v>111</v>
      </c>
      <c r="B112" s="9" t="s">
        <v>9</v>
      </c>
      <c r="C112" s="9">
        <v>1917</v>
      </c>
      <c r="D112" s="10">
        <v>45653</v>
      </c>
      <c r="E112" s="9" t="str">
        <f>+HYPERLINK("http://trademark.i-assist.jp/data/china/image_1917th/79856956.pdf","79856956")</f>
        <v>79856956</v>
      </c>
      <c r="F112" s="12" t="s">
        <v>366</v>
      </c>
      <c r="G112" s="9" t="s">
        <v>367</v>
      </c>
      <c r="H112" s="9" t="s">
        <v>368</v>
      </c>
      <c r="I112" s="10">
        <v>45491</v>
      </c>
    </row>
    <row r="113" spans="1:9" x14ac:dyDescent="0.15">
      <c r="A113" s="9">
        <v>112</v>
      </c>
      <c r="B113" s="9" t="s">
        <v>9</v>
      </c>
      <c r="C113" s="9">
        <v>1917</v>
      </c>
      <c r="D113" s="10">
        <v>45653</v>
      </c>
      <c r="E113" s="9" t="str">
        <f>+HYPERLINK("http://trademark.i-assist.jp/data/china/image_1917th/79867864.pdf","79867864")</f>
        <v>79867864</v>
      </c>
      <c r="F113" s="9" t="s">
        <v>369</v>
      </c>
      <c r="G113" s="9" t="s">
        <v>370</v>
      </c>
      <c r="H113" s="9" t="s">
        <v>371</v>
      </c>
      <c r="I113" s="10">
        <v>45491</v>
      </c>
    </row>
    <row r="114" spans="1:9" x14ac:dyDescent="0.15">
      <c r="A114" s="9">
        <v>113</v>
      </c>
      <c r="B114" s="9" t="s">
        <v>9</v>
      </c>
      <c r="C114" s="9">
        <v>1917</v>
      </c>
      <c r="D114" s="10">
        <v>45653</v>
      </c>
      <c r="E114" s="9" t="str">
        <f>+HYPERLINK("http://trademark.i-assist.jp/data/china/image_1917th/79872162.pdf","79872162")</f>
        <v>79872162</v>
      </c>
      <c r="F114" s="9" t="s">
        <v>372</v>
      </c>
      <c r="G114" s="9" t="s">
        <v>370</v>
      </c>
      <c r="H114" s="9" t="s">
        <v>373</v>
      </c>
      <c r="I114" s="10">
        <v>45491</v>
      </c>
    </row>
    <row r="115" spans="1:9" x14ac:dyDescent="0.15">
      <c r="A115" s="9">
        <v>114</v>
      </c>
      <c r="B115" s="9" t="s">
        <v>9</v>
      </c>
      <c r="C115" s="9">
        <v>1917</v>
      </c>
      <c r="D115" s="10">
        <v>45653</v>
      </c>
      <c r="E115" s="9" t="str">
        <f>+HYPERLINK("http://trademark.i-assist.jp/data/china/image_1917th/79883380.pdf","79883380")</f>
        <v>79883380</v>
      </c>
      <c r="F115" s="9" t="s">
        <v>374</v>
      </c>
      <c r="G115" s="9" t="s">
        <v>375</v>
      </c>
      <c r="H115" s="9" t="s">
        <v>376</v>
      </c>
      <c r="I115" s="10">
        <v>45492</v>
      </c>
    </row>
    <row r="116" spans="1:9" x14ac:dyDescent="0.15">
      <c r="A116" s="9">
        <v>115</v>
      </c>
      <c r="B116" s="9" t="s">
        <v>9</v>
      </c>
      <c r="C116" s="9">
        <v>1917</v>
      </c>
      <c r="D116" s="10">
        <v>45653</v>
      </c>
      <c r="E116" s="9" t="str">
        <f>+HYPERLINK("http://trademark.i-assist.jp/data/china/image_1917th/79891364.pdf","79891364")</f>
        <v>79891364</v>
      </c>
      <c r="F116" s="9" t="s">
        <v>377</v>
      </c>
      <c r="G116" s="9" t="s">
        <v>378</v>
      </c>
      <c r="H116" s="9" t="s">
        <v>379</v>
      </c>
      <c r="I116" s="10">
        <v>45492</v>
      </c>
    </row>
    <row r="117" spans="1:9" x14ac:dyDescent="0.15">
      <c r="A117" s="9">
        <v>116</v>
      </c>
      <c r="B117" s="9" t="s">
        <v>9</v>
      </c>
      <c r="C117" s="9">
        <v>1917</v>
      </c>
      <c r="D117" s="10">
        <v>45653</v>
      </c>
      <c r="E117" s="9" t="str">
        <f>+HYPERLINK("http://trademark.i-assist.jp/data/china/image_1917th/79893392.pdf","79893392")</f>
        <v>79893392</v>
      </c>
      <c r="F117" s="9" t="s">
        <v>380</v>
      </c>
      <c r="G117" s="9" t="s">
        <v>378</v>
      </c>
      <c r="H117" s="9" t="s">
        <v>381</v>
      </c>
      <c r="I117" s="10">
        <v>45492</v>
      </c>
    </row>
    <row r="118" spans="1:9" x14ac:dyDescent="0.15">
      <c r="A118" s="9">
        <v>117</v>
      </c>
      <c r="B118" s="9" t="s">
        <v>9</v>
      </c>
      <c r="C118" s="9">
        <v>1917</v>
      </c>
      <c r="D118" s="10">
        <v>45653</v>
      </c>
      <c r="E118" s="9" t="str">
        <f>+HYPERLINK("http://trademark.i-assist.jp/data/china/image_1917th/79922298.pdf","79922298")</f>
        <v>79922298</v>
      </c>
      <c r="F118" s="12" t="s">
        <v>382</v>
      </c>
      <c r="G118" s="9" t="s">
        <v>383</v>
      </c>
      <c r="H118" s="9" t="s">
        <v>384</v>
      </c>
      <c r="I118" s="10">
        <v>45495</v>
      </c>
    </row>
    <row r="119" spans="1:9" x14ac:dyDescent="0.15">
      <c r="A119" s="9">
        <v>118</v>
      </c>
      <c r="B119" s="9" t="s">
        <v>9</v>
      </c>
      <c r="C119" s="9">
        <v>1917</v>
      </c>
      <c r="D119" s="10">
        <v>45653</v>
      </c>
      <c r="E119" s="9" t="str">
        <f>+HYPERLINK("http://trademark.i-assist.jp/data/china/image_1917th/79940859.pdf","79940859")</f>
        <v>79940859</v>
      </c>
      <c r="F119" s="12" t="s">
        <v>385</v>
      </c>
      <c r="G119" s="9" t="s">
        <v>386</v>
      </c>
      <c r="H119" s="9" t="s">
        <v>387</v>
      </c>
      <c r="I119" s="10">
        <v>45496</v>
      </c>
    </row>
    <row r="120" spans="1:9" x14ac:dyDescent="0.15">
      <c r="A120" s="9">
        <v>119</v>
      </c>
      <c r="B120" s="9" t="s">
        <v>9</v>
      </c>
      <c r="C120" s="9">
        <v>1917</v>
      </c>
      <c r="D120" s="10">
        <v>45653</v>
      </c>
      <c r="E120" s="9" t="str">
        <f>+HYPERLINK("http://trademark.i-assist.jp/data/china/image_1917th/79943849.pdf","79943849")</f>
        <v>79943849</v>
      </c>
      <c r="F120" s="9" t="s">
        <v>388</v>
      </c>
      <c r="G120" s="9" t="s">
        <v>389</v>
      </c>
      <c r="H120" s="9" t="s">
        <v>390</v>
      </c>
      <c r="I120" s="10">
        <v>45496</v>
      </c>
    </row>
    <row r="121" spans="1:9" x14ac:dyDescent="0.15">
      <c r="A121" s="9">
        <v>120</v>
      </c>
      <c r="B121" s="9" t="s">
        <v>9</v>
      </c>
      <c r="C121" s="9">
        <v>1917</v>
      </c>
      <c r="D121" s="10">
        <v>45653</v>
      </c>
      <c r="E121" s="9" t="str">
        <f>+HYPERLINK("http://trademark.i-assist.jp/data/china/image_1917th/79983832.pdf","79983832")</f>
        <v>79983832</v>
      </c>
      <c r="F121" s="9" t="s">
        <v>391</v>
      </c>
      <c r="G121" s="9" t="s">
        <v>392</v>
      </c>
      <c r="H121" s="9" t="s">
        <v>393</v>
      </c>
      <c r="I121" s="10">
        <v>45497</v>
      </c>
    </row>
    <row r="122" spans="1:9" x14ac:dyDescent="0.15">
      <c r="A122" s="9">
        <v>121</v>
      </c>
      <c r="B122" s="9" t="s">
        <v>9</v>
      </c>
      <c r="C122" s="9">
        <v>1917</v>
      </c>
      <c r="D122" s="10">
        <v>45653</v>
      </c>
      <c r="E122" s="9" t="str">
        <f>+HYPERLINK("http://trademark.i-assist.jp/data/china/image_1917th/79990701.pdf","79990701")</f>
        <v>79990701</v>
      </c>
      <c r="F122" s="9" t="s">
        <v>394</v>
      </c>
      <c r="G122" s="9" t="s">
        <v>395</v>
      </c>
      <c r="H122" s="9" t="s">
        <v>396</v>
      </c>
      <c r="I122" s="10">
        <v>45498</v>
      </c>
    </row>
    <row r="123" spans="1:9" x14ac:dyDescent="0.15">
      <c r="A123" s="9">
        <v>122</v>
      </c>
      <c r="B123" s="9" t="s">
        <v>9</v>
      </c>
      <c r="C123" s="9">
        <v>1917</v>
      </c>
      <c r="D123" s="10">
        <v>45653</v>
      </c>
      <c r="E123" s="9" t="str">
        <f>+HYPERLINK("http://trademark.i-assist.jp/data/china/image_1917th/80006768.pdf","80006768")</f>
        <v>80006768</v>
      </c>
      <c r="F123" s="9" t="s">
        <v>397</v>
      </c>
      <c r="G123" s="9" t="s">
        <v>398</v>
      </c>
      <c r="H123" s="9" t="s">
        <v>399</v>
      </c>
      <c r="I123" s="10">
        <v>45498</v>
      </c>
    </row>
    <row r="124" spans="1:9" x14ac:dyDescent="0.15">
      <c r="A124" s="9">
        <v>123</v>
      </c>
      <c r="B124" s="9" t="s">
        <v>9</v>
      </c>
      <c r="C124" s="9">
        <v>1917</v>
      </c>
      <c r="D124" s="10">
        <v>45653</v>
      </c>
      <c r="E124" s="9" t="str">
        <f>+HYPERLINK("http://trademark.i-assist.jp/data/china/image_1917th/80006814.pdf","80006814")</f>
        <v>80006814</v>
      </c>
      <c r="F124" s="9" t="s">
        <v>400</v>
      </c>
      <c r="G124" s="9" t="s">
        <v>401</v>
      </c>
      <c r="H124" s="9" t="s">
        <v>402</v>
      </c>
      <c r="I124" s="10">
        <v>45498</v>
      </c>
    </row>
    <row r="125" spans="1:9" x14ac:dyDescent="0.15">
      <c r="A125" s="9">
        <v>124</v>
      </c>
      <c r="B125" s="9" t="s">
        <v>9</v>
      </c>
      <c r="C125" s="9">
        <v>1917</v>
      </c>
      <c r="D125" s="10">
        <v>45653</v>
      </c>
      <c r="E125" s="9" t="str">
        <f>+HYPERLINK("http://trademark.i-assist.jp/data/china/image_1917th/80009990.pdf","80009990")</f>
        <v>80009990</v>
      </c>
      <c r="F125" s="9" t="s">
        <v>403</v>
      </c>
      <c r="G125" s="9" t="s">
        <v>404</v>
      </c>
      <c r="H125" s="9" t="s">
        <v>405</v>
      </c>
      <c r="I125" s="10">
        <v>45498</v>
      </c>
    </row>
    <row r="126" spans="1:9" x14ac:dyDescent="0.15">
      <c r="A126" s="9">
        <v>125</v>
      </c>
      <c r="B126" s="9" t="s">
        <v>9</v>
      </c>
      <c r="C126" s="9">
        <v>1917</v>
      </c>
      <c r="D126" s="10">
        <v>45653</v>
      </c>
      <c r="E126" s="9" t="str">
        <f>+HYPERLINK("http://trademark.i-assist.jp/data/china/image_1917th/80016204.pdf","80016204")</f>
        <v>80016204</v>
      </c>
      <c r="F126" s="9" t="s">
        <v>406</v>
      </c>
      <c r="G126" s="9" t="s">
        <v>407</v>
      </c>
      <c r="H126" s="9" t="s">
        <v>408</v>
      </c>
      <c r="I126" s="10">
        <v>45499</v>
      </c>
    </row>
    <row r="127" spans="1:9" x14ac:dyDescent="0.15">
      <c r="A127" s="9">
        <v>126</v>
      </c>
      <c r="B127" s="9" t="s">
        <v>9</v>
      </c>
      <c r="C127" s="9">
        <v>1917</v>
      </c>
      <c r="D127" s="10">
        <v>45653</v>
      </c>
      <c r="E127" s="9" t="str">
        <f>+HYPERLINK("http://trademark.i-assist.jp/data/china/image_1917th/80019933.pdf","80019933")</f>
        <v>80019933</v>
      </c>
      <c r="F127" s="9" t="s">
        <v>409</v>
      </c>
      <c r="G127" s="9" t="s">
        <v>410</v>
      </c>
      <c r="H127" s="9" t="s">
        <v>411</v>
      </c>
      <c r="I127" s="10">
        <v>45500</v>
      </c>
    </row>
    <row r="128" spans="1:9" x14ac:dyDescent="0.15">
      <c r="A128" s="9">
        <v>127</v>
      </c>
      <c r="B128" s="9" t="s">
        <v>9</v>
      </c>
      <c r="C128" s="9">
        <v>1917</v>
      </c>
      <c r="D128" s="10">
        <v>45653</v>
      </c>
      <c r="E128" s="9" t="str">
        <f>+HYPERLINK("http://trademark.i-assist.jp/data/china/image_1917th/80025369.pdf","80025369")</f>
        <v>80025369</v>
      </c>
      <c r="F128" s="9" t="s">
        <v>412</v>
      </c>
      <c r="G128" s="12" t="s">
        <v>413</v>
      </c>
      <c r="H128" s="9" t="s">
        <v>414</v>
      </c>
      <c r="I128" s="10">
        <v>45499</v>
      </c>
    </row>
    <row r="129" spans="1:9" x14ac:dyDescent="0.15">
      <c r="A129" s="9">
        <v>128</v>
      </c>
      <c r="B129" s="9" t="s">
        <v>9</v>
      </c>
      <c r="C129" s="9">
        <v>1917</v>
      </c>
      <c r="D129" s="10">
        <v>45653</v>
      </c>
      <c r="E129" s="9" t="str">
        <f>+HYPERLINK("http://trademark.i-assist.jp/data/china/image_1917th/80040511.pdf","80040511")</f>
        <v>80040511</v>
      </c>
      <c r="F129" s="9" t="s">
        <v>415</v>
      </c>
      <c r="G129" s="12" t="s">
        <v>416</v>
      </c>
      <c r="H129" s="9" t="s">
        <v>417</v>
      </c>
      <c r="I129" s="10">
        <v>45500</v>
      </c>
    </row>
    <row r="130" spans="1:9" x14ac:dyDescent="0.15">
      <c r="A130" s="9">
        <v>129</v>
      </c>
      <c r="B130" s="9" t="s">
        <v>9</v>
      </c>
      <c r="C130" s="9">
        <v>1917</v>
      </c>
      <c r="D130" s="10">
        <v>45653</v>
      </c>
      <c r="E130" s="9" t="str">
        <f>+HYPERLINK("http://trademark.i-assist.jp/data/china/image_1917th/80083017.pdf","80083017")</f>
        <v>80083017</v>
      </c>
      <c r="F130" s="9" t="s">
        <v>418</v>
      </c>
      <c r="G130" s="9" t="s">
        <v>419</v>
      </c>
      <c r="H130" s="12" t="s">
        <v>420</v>
      </c>
      <c r="I130" s="10">
        <v>45503</v>
      </c>
    </row>
    <row r="131" spans="1:9" x14ac:dyDescent="0.15">
      <c r="A131" s="9">
        <v>130</v>
      </c>
      <c r="B131" s="9" t="s">
        <v>9</v>
      </c>
      <c r="C131" s="9">
        <v>1917</v>
      </c>
      <c r="D131" s="10">
        <v>45653</v>
      </c>
      <c r="E131" s="9" t="str">
        <f>+HYPERLINK("http://trademark.i-assist.jp/data/china/image_1917th/80101592.pdf","80101592")</f>
        <v>80101592</v>
      </c>
      <c r="F131" s="9" t="s">
        <v>421</v>
      </c>
      <c r="G131" s="9" t="s">
        <v>422</v>
      </c>
      <c r="H131" s="9" t="s">
        <v>423</v>
      </c>
      <c r="I131" s="10">
        <v>45504</v>
      </c>
    </row>
    <row r="132" spans="1:9" x14ac:dyDescent="0.15">
      <c r="A132" s="9">
        <v>131</v>
      </c>
      <c r="B132" s="9" t="s">
        <v>9</v>
      </c>
      <c r="C132" s="9">
        <v>1917</v>
      </c>
      <c r="D132" s="10">
        <v>45653</v>
      </c>
      <c r="E132" s="9" t="str">
        <f>+HYPERLINK("http://trademark.i-assist.jp/data/china/image_1917th/80119038.pdf","80119038")</f>
        <v>80119038</v>
      </c>
      <c r="F132" s="9" t="s">
        <v>424</v>
      </c>
      <c r="G132" s="12" t="s">
        <v>425</v>
      </c>
      <c r="H132" s="12" t="s">
        <v>426</v>
      </c>
      <c r="I132" s="10">
        <v>45504</v>
      </c>
    </row>
    <row r="133" spans="1:9" x14ac:dyDescent="0.15">
      <c r="A133" s="9">
        <v>132</v>
      </c>
      <c r="B133" s="9" t="s">
        <v>9</v>
      </c>
      <c r="C133" s="9">
        <v>1917</v>
      </c>
      <c r="D133" s="10">
        <v>45653</v>
      </c>
      <c r="E133" s="9" t="str">
        <f>+HYPERLINK("http://trademark.i-assist.jp/data/china/image_1917th/80119954.pdf","80119954")</f>
        <v>80119954</v>
      </c>
      <c r="F133" s="9" t="s">
        <v>427</v>
      </c>
      <c r="G133" s="9" t="s">
        <v>18</v>
      </c>
      <c r="H133" s="9" t="s">
        <v>428</v>
      </c>
      <c r="I133" s="10">
        <v>45505</v>
      </c>
    </row>
    <row r="134" spans="1:9" x14ac:dyDescent="0.15">
      <c r="A134" s="9">
        <v>133</v>
      </c>
      <c r="B134" s="9" t="s">
        <v>9</v>
      </c>
      <c r="C134" s="9">
        <v>1917</v>
      </c>
      <c r="D134" s="10">
        <v>45653</v>
      </c>
      <c r="E134" s="9" t="str">
        <f>+HYPERLINK("http://trademark.i-assist.jp/data/china/image_1917th/80119968.pdf","80119968")</f>
        <v>80119968</v>
      </c>
      <c r="F134" s="9" t="s">
        <v>429</v>
      </c>
      <c r="G134" s="9" t="s">
        <v>18</v>
      </c>
      <c r="H134" s="9" t="s">
        <v>430</v>
      </c>
      <c r="I134" s="10">
        <v>45505</v>
      </c>
    </row>
    <row r="135" spans="1:9" x14ac:dyDescent="0.15">
      <c r="A135" s="9">
        <v>134</v>
      </c>
      <c r="B135" s="9" t="s">
        <v>9</v>
      </c>
      <c r="C135" s="9">
        <v>1917</v>
      </c>
      <c r="D135" s="10">
        <v>45653</v>
      </c>
      <c r="E135" s="9" t="str">
        <f>+HYPERLINK("http://trademark.i-assist.jp/data/china/image_1917th/80126233.pdf","80126233")</f>
        <v>80126233</v>
      </c>
      <c r="F135" s="9" t="s">
        <v>431</v>
      </c>
      <c r="G135" s="9" t="s">
        <v>18</v>
      </c>
      <c r="H135" s="9" t="s">
        <v>432</v>
      </c>
      <c r="I135" s="10">
        <v>45505</v>
      </c>
    </row>
    <row r="136" spans="1:9" x14ac:dyDescent="0.15">
      <c r="A136" s="9">
        <v>135</v>
      </c>
      <c r="B136" s="9" t="s">
        <v>9</v>
      </c>
      <c r="C136" s="9">
        <v>1917</v>
      </c>
      <c r="D136" s="10">
        <v>45653</v>
      </c>
      <c r="E136" s="9" t="str">
        <f>+HYPERLINK("http://trademark.i-assist.jp/data/china/image_1917th/80130380.pdf","80130380")</f>
        <v>80130380</v>
      </c>
      <c r="F136" s="9" t="s">
        <v>433</v>
      </c>
      <c r="G136" s="9" t="s">
        <v>18</v>
      </c>
      <c r="H136" s="9" t="s">
        <v>434</v>
      </c>
      <c r="I136" s="10">
        <v>45505</v>
      </c>
    </row>
    <row r="137" spans="1:9" x14ac:dyDescent="0.15">
      <c r="A137" s="9">
        <v>136</v>
      </c>
      <c r="B137" s="9" t="s">
        <v>9</v>
      </c>
      <c r="C137" s="9">
        <v>1917</v>
      </c>
      <c r="D137" s="10">
        <v>45653</v>
      </c>
      <c r="E137" s="9" t="str">
        <f>+HYPERLINK("http://trademark.i-assist.jp/data/china/image_1917th/80131923.pdf","80131923")</f>
        <v>80131923</v>
      </c>
      <c r="F137" s="9" t="s">
        <v>435</v>
      </c>
      <c r="G137" s="9" t="s">
        <v>18</v>
      </c>
      <c r="H137" s="12" t="s">
        <v>436</v>
      </c>
      <c r="I137" s="10">
        <v>45505</v>
      </c>
    </row>
    <row r="138" spans="1:9" x14ac:dyDescent="0.15">
      <c r="A138" s="9">
        <v>137</v>
      </c>
      <c r="B138" s="9" t="s">
        <v>9</v>
      </c>
      <c r="C138" s="9">
        <v>1917</v>
      </c>
      <c r="D138" s="10">
        <v>45653</v>
      </c>
      <c r="E138" s="9" t="str">
        <f>+HYPERLINK("http://trademark.i-assist.jp/data/china/image_1917th/80133722.pdf","80133722")</f>
        <v>80133722</v>
      </c>
      <c r="F138" s="9" t="s">
        <v>437</v>
      </c>
      <c r="G138" s="9" t="s">
        <v>18</v>
      </c>
      <c r="H138" s="9" t="s">
        <v>438</v>
      </c>
      <c r="I138" s="10">
        <v>45505</v>
      </c>
    </row>
    <row r="139" spans="1:9" x14ac:dyDescent="0.15">
      <c r="A139" s="9">
        <v>138</v>
      </c>
      <c r="B139" s="9" t="s">
        <v>9</v>
      </c>
      <c r="C139" s="9">
        <v>1917</v>
      </c>
      <c r="D139" s="10">
        <v>45653</v>
      </c>
      <c r="E139" s="9" t="str">
        <f>+HYPERLINK("http://trademark.i-assist.jp/data/china/image_1917th/80133731.pdf","80133731")</f>
        <v>80133731</v>
      </c>
      <c r="F139" s="9" t="s">
        <v>439</v>
      </c>
      <c r="G139" s="9" t="s">
        <v>18</v>
      </c>
      <c r="H139" s="9" t="s">
        <v>440</v>
      </c>
      <c r="I139" s="10">
        <v>45505</v>
      </c>
    </row>
    <row r="140" spans="1:9" x14ac:dyDescent="0.15">
      <c r="A140" s="9">
        <v>139</v>
      </c>
      <c r="B140" s="9" t="s">
        <v>9</v>
      </c>
      <c r="C140" s="9">
        <v>1917</v>
      </c>
      <c r="D140" s="10">
        <v>45653</v>
      </c>
      <c r="E140" s="9" t="str">
        <f>+HYPERLINK("http://trademark.i-assist.jp/data/china/image_1917th/80135433.pdf","80135433")</f>
        <v>80135433</v>
      </c>
      <c r="F140" s="9" t="s">
        <v>441</v>
      </c>
      <c r="G140" s="9" t="s">
        <v>18</v>
      </c>
      <c r="H140" s="9" t="s">
        <v>442</v>
      </c>
      <c r="I140" s="10">
        <v>45505</v>
      </c>
    </row>
    <row r="141" spans="1:9" x14ac:dyDescent="0.15">
      <c r="A141" s="9">
        <v>140</v>
      </c>
      <c r="B141" s="9" t="s">
        <v>9</v>
      </c>
      <c r="C141" s="9">
        <v>1917</v>
      </c>
      <c r="D141" s="10">
        <v>45653</v>
      </c>
      <c r="E141" s="9" t="str">
        <f>+HYPERLINK("http://trademark.i-assist.jp/data/china/image_1917th/80141146.pdf","80141146")</f>
        <v>80141146</v>
      </c>
      <c r="F141" s="9" t="s">
        <v>443</v>
      </c>
      <c r="G141" s="9" t="s">
        <v>18</v>
      </c>
      <c r="H141" s="9" t="s">
        <v>444</v>
      </c>
      <c r="I141" s="10">
        <v>45505</v>
      </c>
    </row>
    <row r="142" spans="1:9" x14ac:dyDescent="0.15">
      <c r="A142" s="9">
        <v>141</v>
      </c>
      <c r="B142" s="9" t="s">
        <v>9</v>
      </c>
      <c r="C142" s="9">
        <v>1917</v>
      </c>
      <c r="D142" s="10">
        <v>45653</v>
      </c>
      <c r="E142" s="9" t="str">
        <f>+HYPERLINK("http://trademark.i-assist.jp/data/china/image_1917th/80142942.pdf","80142942")</f>
        <v>80142942</v>
      </c>
      <c r="F142" s="12" t="s">
        <v>445</v>
      </c>
      <c r="G142" s="9" t="s">
        <v>446</v>
      </c>
      <c r="H142" s="12" t="s">
        <v>447</v>
      </c>
      <c r="I142" s="10">
        <v>45506</v>
      </c>
    </row>
    <row r="143" spans="1:9" x14ac:dyDescent="0.15">
      <c r="A143" s="9">
        <v>142</v>
      </c>
      <c r="B143" s="9" t="s">
        <v>9</v>
      </c>
      <c r="C143" s="9">
        <v>1917</v>
      </c>
      <c r="D143" s="10">
        <v>45653</v>
      </c>
      <c r="E143" s="9" t="str">
        <f>+HYPERLINK("http://trademark.i-assist.jp/data/china/image_1917th/80143021.pdf","80143021")</f>
        <v>80143021</v>
      </c>
      <c r="F143" s="9" t="s">
        <v>448</v>
      </c>
      <c r="G143" s="12" t="s">
        <v>449</v>
      </c>
      <c r="H143" s="9" t="s">
        <v>450</v>
      </c>
      <c r="I143" s="10">
        <v>45506</v>
      </c>
    </row>
    <row r="144" spans="1:9" x14ac:dyDescent="0.15">
      <c r="A144" s="9">
        <v>143</v>
      </c>
      <c r="B144" s="9" t="s">
        <v>9</v>
      </c>
      <c r="C144" s="9">
        <v>1917</v>
      </c>
      <c r="D144" s="10">
        <v>45653</v>
      </c>
      <c r="E144" s="9" t="str">
        <f>+HYPERLINK("http://trademark.i-assist.jp/data/china/image_1917th/80149217.pdf","80149217")</f>
        <v>80149217</v>
      </c>
      <c r="F144" s="9" t="s">
        <v>451</v>
      </c>
      <c r="G144" s="9" t="s">
        <v>18</v>
      </c>
      <c r="H144" s="12" t="s">
        <v>452</v>
      </c>
      <c r="I144" s="10">
        <v>45506</v>
      </c>
    </row>
    <row r="145" spans="1:9" x14ac:dyDescent="0.15">
      <c r="A145" s="9">
        <v>144</v>
      </c>
      <c r="B145" s="9" t="s">
        <v>9</v>
      </c>
      <c r="C145" s="9">
        <v>1917</v>
      </c>
      <c r="D145" s="10">
        <v>45653</v>
      </c>
      <c r="E145" s="9" t="str">
        <f>+HYPERLINK("http://trademark.i-assist.jp/data/china/image_1917th/80187251.pdf","80187251")</f>
        <v>80187251</v>
      </c>
      <c r="F145" s="9" t="s">
        <v>453</v>
      </c>
      <c r="G145" s="9" t="s">
        <v>454</v>
      </c>
      <c r="H145" s="9" t="s">
        <v>455</v>
      </c>
      <c r="I145" s="10">
        <v>45509</v>
      </c>
    </row>
    <row r="146" spans="1:9" x14ac:dyDescent="0.15">
      <c r="A146" s="9">
        <v>145</v>
      </c>
      <c r="B146" s="9" t="s">
        <v>9</v>
      </c>
      <c r="C146" s="9">
        <v>1917</v>
      </c>
      <c r="D146" s="10">
        <v>45653</v>
      </c>
      <c r="E146" s="9" t="str">
        <f>+HYPERLINK("http://trademark.i-assist.jp/data/china/image_1917th/80250081.pdf","80250081")</f>
        <v>80250081</v>
      </c>
      <c r="F146" s="9" t="s">
        <v>456</v>
      </c>
      <c r="G146" s="9" t="s">
        <v>18</v>
      </c>
      <c r="H146" s="9" t="s">
        <v>457</v>
      </c>
      <c r="I146" s="10">
        <v>45512</v>
      </c>
    </row>
    <row r="147" spans="1:9" x14ac:dyDescent="0.15">
      <c r="A147" s="9">
        <v>146</v>
      </c>
      <c r="B147" s="9" t="s">
        <v>9</v>
      </c>
      <c r="C147" s="9">
        <v>1917</v>
      </c>
      <c r="D147" s="10">
        <v>45653</v>
      </c>
      <c r="E147" s="9" t="str">
        <f>+HYPERLINK("http://trademark.i-assist.jp/data/china/image_1917th/80250083.pdf","80250083")</f>
        <v>80250083</v>
      </c>
      <c r="F147" s="9" t="s">
        <v>458</v>
      </c>
      <c r="G147" s="9" t="s">
        <v>18</v>
      </c>
      <c r="H147" s="9" t="s">
        <v>459</v>
      </c>
      <c r="I147" s="10">
        <v>45512</v>
      </c>
    </row>
    <row r="148" spans="1:9" x14ac:dyDescent="0.15">
      <c r="A148" s="9">
        <v>147</v>
      </c>
      <c r="B148" s="9" t="s">
        <v>9</v>
      </c>
      <c r="C148" s="9">
        <v>1917</v>
      </c>
      <c r="D148" s="10">
        <v>45653</v>
      </c>
      <c r="E148" s="9" t="str">
        <f>+HYPERLINK("http://trademark.i-assist.jp/data/china/image_1917th/80263074.pdf","80263074")</f>
        <v>80263074</v>
      </c>
      <c r="F148" s="9" t="s">
        <v>460</v>
      </c>
      <c r="G148" s="9" t="s">
        <v>461</v>
      </c>
      <c r="H148" s="12" t="s">
        <v>462</v>
      </c>
      <c r="I148" s="10">
        <v>45512</v>
      </c>
    </row>
    <row r="149" spans="1:9" x14ac:dyDescent="0.15">
      <c r="A149" s="9">
        <v>148</v>
      </c>
      <c r="B149" s="9" t="s">
        <v>9</v>
      </c>
      <c r="C149" s="9">
        <v>1917</v>
      </c>
      <c r="D149" s="10">
        <v>45653</v>
      </c>
      <c r="E149" s="9" t="str">
        <f>+HYPERLINK("http://trademark.i-assist.jp/data/china/image_1917th/80268730.pdf","80268730")</f>
        <v>80268730</v>
      </c>
      <c r="F149" s="9" t="s">
        <v>463</v>
      </c>
      <c r="G149" s="9" t="s">
        <v>13</v>
      </c>
      <c r="H149" s="9" t="s">
        <v>464</v>
      </c>
      <c r="I149" s="10">
        <v>45513</v>
      </c>
    </row>
    <row r="150" spans="1:9" x14ac:dyDescent="0.15">
      <c r="A150" s="9">
        <v>149</v>
      </c>
      <c r="B150" s="9" t="s">
        <v>9</v>
      </c>
      <c r="C150" s="9">
        <v>1917</v>
      </c>
      <c r="D150" s="10">
        <v>45653</v>
      </c>
      <c r="E150" s="9" t="str">
        <f>+HYPERLINK("http://trademark.i-assist.jp/data/china/image_1917th/80271124.pdf","80271124")</f>
        <v>80271124</v>
      </c>
      <c r="F150" s="9" t="s">
        <v>465</v>
      </c>
      <c r="G150" s="9" t="s">
        <v>466</v>
      </c>
      <c r="H150" s="12" t="s">
        <v>467</v>
      </c>
      <c r="I150" s="10">
        <v>45513</v>
      </c>
    </row>
    <row r="151" spans="1:9" x14ac:dyDescent="0.15">
      <c r="A151" s="9">
        <v>150</v>
      </c>
      <c r="B151" s="9" t="s">
        <v>9</v>
      </c>
      <c r="C151" s="9">
        <v>1917</v>
      </c>
      <c r="D151" s="10">
        <v>45653</v>
      </c>
      <c r="E151" s="9" t="str">
        <f>+HYPERLINK("http://trademark.i-assist.jp/data/china/image_1917th/80277826.pdf","80277826")</f>
        <v>80277826</v>
      </c>
      <c r="F151" s="12" t="s">
        <v>468</v>
      </c>
      <c r="G151" s="9" t="s">
        <v>469</v>
      </c>
      <c r="H151" s="9" t="s">
        <v>470</v>
      </c>
      <c r="I151" s="10">
        <v>45513</v>
      </c>
    </row>
    <row r="152" spans="1:9" x14ac:dyDescent="0.15">
      <c r="A152" s="9">
        <v>151</v>
      </c>
      <c r="B152" s="9" t="s">
        <v>9</v>
      </c>
      <c r="C152" s="9">
        <v>1917</v>
      </c>
      <c r="D152" s="10">
        <v>45653</v>
      </c>
      <c r="E152" s="9" t="str">
        <f>+HYPERLINK("http://trademark.i-assist.jp/data/china/image_1917th/80283417.pdf","80283417")</f>
        <v>80283417</v>
      </c>
      <c r="F152" s="9" t="s">
        <v>471</v>
      </c>
      <c r="G152" s="9" t="s">
        <v>472</v>
      </c>
      <c r="H152" s="9" t="s">
        <v>473</v>
      </c>
      <c r="I152" s="10">
        <v>45513</v>
      </c>
    </row>
    <row r="153" spans="1:9" x14ac:dyDescent="0.15">
      <c r="A153" s="9">
        <v>152</v>
      </c>
      <c r="B153" s="9" t="s">
        <v>9</v>
      </c>
      <c r="C153" s="9">
        <v>1917</v>
      </c>
      <c r="D153" s="10">
        <v>45653</v>
      </c>
      <c r="E153" s="9" t="str">
        <f>+HYPERLINK("http://trademark.i-assist.jp/data/china/image_1917th/80311532.pdf","80311532")</f>
        <v>80311532</v>
      </c>
      <c r="F153" s="9" t="s">
        <v>474</v>
      </c>
      <c r="G153" s="9" t="s">
        <v>33</v>
      </c>
      <c r="H153" s="9" t="s">
        <v>475</v>
      </c>
      <c r="I153" s="10">
        <v>45516</v>
      </c>
    </row>
    <row r="154" spans="1:9" x14ac:dyDescent="0.15">
      <c r="A154" s="9">
        <v>153</v>
      </c>
      <c r="B154" s="9" t="s">
        <v>9</v>
      </c>
      <c r="C154" s="9">
        <v>1917</v>
      </c>
      <c r="D154" s="10">
        <v>45653</v>
      </c>
      <c r="E154" s="9" t="str">
        <f>+HYPERLINK("http://trademark.i-assist.jp/data/china/image_1917th/80315969.pdf","80315969")</f>
        <v>80315969</v>
      </c>
      <c r="F154" s="12" t="s">
        <v>476</v>
      </c>
      <c r="G154" s="9" t="s">
        <v>477</v>
      </c>
      <c r="H154" s="9" t="s">
        <v>478</v>
      </c>
      <c r="I154" s="10">
        <v>45516</v>
      </c>
    </row>
    <row r="155" spans="1:9" x14ac:dyDescent="0.15">
      <c r="A155" s="9">
        <v>154</v>
      </c>
      <c r="B155" s="9" t="s">
        <v>9</v>
      </c>
      <c r="C155" s="9">
        <v>1917</v>
      </c>
      <c r="D155" s="10">
        <v>45653</v>
      </c>
      <c r="E155" s="9" t="str">
        <f>+HYPERLINK("http://trademark.i-assist.jp/data/china/image_1917th/80332404.pdf","80332404")</f>
        <v>80332404</v>
      </c>
      <c r="F155" s="9" t="s">
        <v>479</v>
      </c>
      <c r="G155" s="9" t="s">
        <v>480</v>
      </c>
      <c r="H155" s="9" t="s">
        <v>481</v>
      </c>
      <c r="I155" s="10">
        <v>45517</v>
      </c>
    </row>
    <row r="156" spans="1:9" x14ac:dyDescent="0.15">
      <c r="A156" s="9">
        <v>155</v>
      </c>
      <c r="B156" s="9" t="s">
        <v>9</v>
      </c>
      <c r="C156" s="9">
        <v>1917</v>
      </c>
      <c r="D156" s="10">
        <v>45653</v>
      </c>
      <c r="E156" s="9" t="str">
        <f>+HYPERLINK("http://trademark.i-assist.jp/data/china/image_1917th/80350044.pdf","80350044")</f>
        <v>80350044</v>
      </c>
      <c r="F156" s="9" t="s">
        <v>482</v>
      </c>
      <c r="G156" s="9" t="s">
        <v>483</v>
      </c>
      <c r="H156" s="9" t="s">
        <v>484</v>
      </c>
      <c r="I156" s="10">
        <v>45518</v>
      </c>
    </row>
    <row r="157" spans="1:9" x14ac:dyDescent="0.15">
      <c r="A157" s="9">
        <v>156</v>
      </c>
      <c r="B157" s="9" t="s">
        <v>9</v>
      </c>
      <c r="C157" s="9">
        <v>1917</v>
      </c>
      <c r="D157" s="10">
        <v>45653</v>
      </c>
      <c r="E157" s="9" t="str">
        <f>+HYPERLINK("http://trademark.i-assist.jp/data/china/image_1917th/80377008.pdf","80377008")</f>
        <v>80377008</v>
      </c>
      <c r="F157" s="12" t="s">
        <v>485</v>
      </c>
      <c r="G157" s="12" t="s">
        <v>486</v>
      </c>
      <c r="H157" s="9" t="s">
        <v>487</v>
      </c>
      <c r="I157" s="10">
        <v>45519</v>
      </c>
    </row>
    <row r="158" spans="1:9" x14ac:dyDescent="0.15">
      <c r="A158" s="9">
        <v>157</v>
      </c>
      <c r="B158" s="9" t="s">
        <v>9</v>
      </c>
      <c r="C158" s="9">
        <v>1917</v>
      </c>
      <c r="D158" s="10">
        <v>45653</v>
      </c>
      <c r="E158" s="9" t="str">
        <f>+HYPERLINK("http://trademark.i-assist.jp/data/china/image_1917th/80398340.pdf","80398340")</f>
        <v>80398340</v>
      </c>
      <c r="F158" s="9" t="s">
        <v>488</v>
      </c>
      <c r="G158" s="12" t="s">
        <v>489</v>
      </c>
      <c r="H158" s="9" t="s">
        <v>490</v>
      </c>
      <c r="I158" s="10">
        <v>45520</v>
      </c>
    </row>
    <row r="159" spans="1:9" x14ac:dyDescent="0.15">
      <c r="A159" s="9">
        <v>158</v>
      </c>
      <c r="B159" s="9" t="s">
        <v>9</v>
      </c>
      <c r="C159" s="9">
        <v>1917</v>
      </c>
      <c r="D159" s="10">
        <v>45653</v>
      </c>
      <c r="E159" s="9" t="str">
        <f>+HYPERLINK("http://trademark.i-assist.jp/data/china/image_1917th/80412967.pdf","80412967")</f>
        <v>80412967</v>
      </c>
      <c r="F159" s="12" t="s">
        <v>491</v>
      </c>
      <c r="G159" s="9" t="s">
        <v>492</v>
      </c>
      <c r="H159" s="9" t="s">
        <v>493</v>
      </c>
      <c r="I159" s="10">
        <v>45520</v>
      </c>
    </row>
    <row r="160" spans="1:9" x14ac:dyDescent="0.15">
      <c r="A160" s="9">
        <v>159</v>
      </c>
      <c r="B160" s="9" t="s">
        <v>9</v>
      </c>
      <c r="C160" s="9">
        <v>1917</v>
      </c>
      <c r="D160" s="10">
        <v>45653</v>
      </c>
      <c r="E160" s="9" t="str">
        <f>+HYPERLINK("http://trademark.i-assist.jp/data/china/image_1917th/80423333.pdf","80423333")</f>
        <v>80423333</v>
      </c>
      <c r="F160" s="12" t="s">
        <v>494</v>
      </c>
      <c r="G160" s="12" t="s">
        <v>495</v>
      </c>
      <c r="H160" s="9" t="s">
        <v>496</v>
      </c>
      <c r="I160" s="10">
        <v>45521</v>
      </c>
    </row>
    <row r="161" spans="1:9" x14ac:dyDescent="0.15">
      <c r="A161" s="9">
        <v>160</v>
      </c>
      <c r="B161" s="9" t="s">
        <v>9</v>
      </c>
      <c r="C161" s="9">
        <v>1917</v>
      </c>
      <c r="D161" s="10">
        <v>45653</v>
      </c>
      <c r="E161" s="9" t="str">
        <f>+HYPERLINK("http://trademark.i-assist.jp/data/china/image_1917th/80428071.pdf","80428071")</f>
        <v>80428071</v>
      </c>
      <c r="F161" s="9" t="s">
        <v>497</v>
      </c>
      <c r="G161" s="9" t="s">
        <v>498</v>
      </c>
      <c r="H161" s="9" t="s">
        <v>499</v>
      </c>
      <c r="I161" s="10">
        <v>45523</v>
      </c>
    </row>
    <row r="162" spans="1:9" x14ac:dyDescent="0.15">
      <c r="A162" s="9">
        <v>161</v>
      </c>
      <c r="B162" s="9" t="s">
        <v>9</v>
      </c>
      <c r="C162" s="9">
        <v>1917</v>
      </c>
      <c r="D162" s="10">
        <v>45653</v>
      </c>
      <c r="E162" s="9" t="str">
        <f>+HYPERLINK("http://trademark.i-assist.jp/data/china/image_1917th/80434821.pdf","80434821")</f>
        <v>80434821</v>
      </c>
      <c r="F162" s="9" t="s">
        <v>500</v>
      </c>
      <c r="G162" s="12" t="s">
        <v>501</v>
      </c>
      <c r="H162" s="9" t="s">
        <v>502</v>
      </c>
      <c r="I162" s="10">
        <v>45523</v>
      </c>
    </row>
    <row r="163" spans="1:9" x14ac:dyDescent="0.15">
      <c r="A163" s="9">
        <v>162</v>
      </c>
      <c r="B163" s="9" t="s">
        <v>9</v>
      </c>
      <c r="C163" s="9">
        <v>1917</v>
      </c>
      <c r="D163" s="10">
        <v>45653</v>
      </c>
      <c r="E163" s="9" t="str">
        <f>+HYPERLINK("http://trademark.i-assist.jp/data/china/image_1917th/80440876.pdf","80440876")</f>
        <v>80440876</v>
      </c>
      <c r="F163" s="12" t="s">
        <v>503</v>
      </c>
      <c r="G163" s="9" t="s">
        <v>504</v>
      </c>
      <c r="H163" s="9" t="s">
        <v>505</v>
      </c>
      <c r="I163" s="10">
        <v>45523</v>
      </c>
    </row>
    <row r="164" spans="1:9" x14ac:dyDescent="0.15">
      <c r="A164" s="9">
        <v>163</v>
      </c>
      <c r="B164" s="9" t="s">
        <v>9</v>
      </c>
      <c r="C164" s="9">
        <v>1917</v>
      </c>
      <c r="D164" s="10">
        <v>45653</v>
      </c>
      <c r="E164" s="9" t="str">
        <f>+HYPERLINK("http://trademark.i-assist.jp/data/china/image_1917th/80452581.pdf","80452581")</f>
        <v>80452581</v>
      </c>
      <c r="F164" s="9" t="s">
        <v>506</v>
      </c>
      <c r="G164" s="12" t="s">
        <v>507</v>
      </c>
      <c r="H164" s="12" t="s">
        <v>508</v>
      </c>
      <c r="I164" s="10">
        <v>45524</v>
      </c>
    </row>
    <row r="165" spans="1:9" x14ac:dyDescent="0.15">
      <c r="A165" s="9">
        <v>164</v>
      </c>
      <c r="B165" s="9" t="s">
        <v>9</v>
      </c>
      <c r="C165" s="9">
        <v>1917</v>
      </c>
      <c r="D165" s="10">
        <v>45653</v>
      </c>
      <c r="E165" s="9" t="str">
        <f>+HYPERLINK("http://trademark.i-assist.jp/data/china/image_1917th/80461202.pdf","80461202")</f>
        <v>80461202</v>
      </c>
      <c r="F165" s="9" t="s">
        <v>509</v>
      </c>
      <c r="G165" s="9" t="s">
        <v>510</v>
      </c>
      <c r="H165" s="9" t="s">
        <v>511</v>
      </c>
      <c r="I165" s="10">
        <v>45524</v>
      </c>
    </row>
    <row r="166" spans="1:9" x14ac:dyDescent="0.15">
      <c r="A166" s="9">
        <v>165</v>
      </c>
      <c r="B166" s="9" t="s">
        <v>9</v>
      </c>
      <c r="C166" s="9">
        <v>1917</v>
      </c>
      <c r="D166" s="10">
        <v>45653</v>
      </c>
      <c r="E166" s="9" t="str">
        <f>+HYPERLINK("http://trademark.i-assist.jp/data/china/image_1917th/80462001.pdf","80462001")</f>
        <v>80462001</v>
      </c>
      <c r="F166" s="9" t="s">
        <v>512</v>
      </c>
      <c r="G166" s="12" t="s">
        <v>513</v>
      </c>
      <c r="H166" s="9" t="s">
        <v>514</v>
      </c>
      <c r="I166" s="10">
        <v>45524</v>
      </c>
    </row>
    <row r="167" spans="1:9" x14ac:dyDescent="0.15">
      <c r="A167" s="9">
        <v>166</v>
      </c>
      <c r="B167" s="9" t="s">
        <v>9</v>
      </c>
      <c r="C167" s="9">
        <v>1917</v>
      </c>
      <c r="D167" s="10">
        <v>45653</v>
      </c>
      <c r="E167" s="9" t="str">
        <f>+HYPERLINK("http://trademark.i-assist.jp/data/china/image_1917th/80502851.pdf","80502851")</f>
        <v>80502851</v>
      </c>
      <c r="F167" s="9" t="s">
        <v>515</v>
      </c>
      <c r="G167" s="12" t="s">
        <v>516</v>
      </c>
      <c r="H167" s="9" t="s">
        <v>517</v>
      </c>
      <c r="I167" s="10">
        <v>45526</v>
      </c>
    </row>
    <row r="168" spans="1:9" x14ac:dyDescent="0.15">
      <c r="A168" s="9">
        <v>167</v>
      </c>
      <c r="B168" s="9" t="s">
        <v>9</v>
      </c>
      <c r="C168" s="9">
        <v>1917</v>
      </c>
      <c r="D168" s="10">
        <v>45653</v>
      </c>
      <c r="E168" s="9" t="str">
        <f>+HYPERLINK("http://trademark.i-assist.jp/data/china/image_1917th/80506217.pdf","80506217")</f>
        <v>80506217</v>
      </c>
      <c r="F168" s="9" t="s">
        <v>518</v>
      </c>
      <c r="G168" s="9" t="s">
        <v>519</v>
      </c>
      <c r="H168" s="12" t="s">
        <v>520</v>
      </c>
      <c r="I168" s="10">
        <v>45526</v>
      </c>
    </row>
    <row r="169" spans="1:9" x14ac:dyDescent="0.15">
      <c r="A169" s="9">
        <v>168</v>
      </c>
      <c r="B169" s="9" t="s">
        <v>9</v>
      </c>
      <c r="C169" s="9">
        <v>1917</v>
      </c>
      <c r="D169" s="10">
        <v>45653</v>
      </c>
      <c r="E169" s="9" t="str">
        <f>+HYPERLINK("http://trademark.i-assist.jp/data/china/image_1917th/80512417.pdf","80512417")</f>
        <v>80512417</v>
      </c>
      <c r="F169" s="9" t="s">
        <v>521</v>
      </c>
      <c r="G169" s="9" t="s">
        <v>522</v>
      </c>
      <c r="H169" s="9" t="s">
        <v>523</v>
      </c>
      <c r="I169" s="10">
        <v>45526</v>
      </c>
    </row>
    <row r="170" spans="1:9" x14ac:dyDescent="0.15">
      <c r="A170" s="9">
        <v>169</v>
      </c>
      <c r="B170" s="9" t="s">
        <v>9</v>
      </c>
      <c r="C170" s="9">
        <v>1917</v>
      </c>
      <c r="D170" s="10">
        <v>45653</v>
      </c>
      <c r="E170" s="9" t="str">
        <f>+HYPERLINK("http://trademark.i-assist.jp/data/china/image_1917th/80517994.pdf","80517994")</f>
        <v>80517994</v>
      </c>
      <c r="F170" s="12" t="s">
        <v>524</v>
      </c>
      <c r="G170" s="12" t="s">
        <v>45</v>
      </c>
      <c r="H170" s="9" t="s">
        <v>525</v>
      </c>
      <c r="I170" s="10">
        <v>45526</v>
      </c>
    </row>
    <row r="171" spans="1:9" x14ac:dyDescent="0.15">
      <c r="A171" s="9">
        <v>170</v>
      </c>
      <c r="B171" s="9" t="s">
        <v>9</v>
      </c>
      <c r="C171" s="9">
        <v>1917</v>
      </c>
      <c r="D171" s="10">
        <v>45653</v>
      </c>
      <c r="E171" s="9" t="str">
        <f>+HYPERLINK("http://trademark.i-assist.jp/data/china/image_1917th/80525974.pdf","80525974")</f>
        <v>80525974</v>
      </c>
      <c r="F171" s="12" t="s">
        <v>12</v>
      </c>
      <c r="G171" s="9" t="s">
        <v>526</v>
      </c>
      <c r="H171" s="9" t="s">
        <v>527</v>
      </c>
      <c r="I171" s="10">
        <v>45527</v>
      </c>
    </row>
    <row r="172" spans="1:9" x14ac:dyDescent="0.15">
      <c r="A172" s="9">
        <v>171</v>
      </c>
      <c r="B172" s="9" t="s">
        <v>9</v>
      </c>
      <c r="C172" s="9">
        <v>1917</v>
      </c>
      <c r="D172" s="10">
        <v>45653</v>
      </c>
      <c r="E172" s="9" t="str">
        <f>+HYPERLINK("http://trademark.i-assist.jp/data/china/image_1917th/80531533.pdf","80531533")</f>
        <v>80531533</v>
      </c>
      <c r="F172" s="9" t="s">
        <v>528</v>
      </c>
      <c r="G172" s="9" t="s">
        <v>529</v>
      </c>
      <c r="H172" s="12" t="s">
        <v>530</v>
      </c>
      <c r="I172" s="10">
        <v>45527</v>
      </c>
    </row>
    <row r="173" spans="1:9" x14ac:dyDescent="0.15">
      <c r="A173" s="9">
        <v>172</v>
      </c>
      <c r="B173" s="9" t="s">
        <v>9</v>
      </c>
      <c r="C173" s="9">
        <v>1917</v>
      </c>
      <c r="D173" s="10">
        <v>45653</v>
      </c>
      <c r="E173" s="9" t="str">
        <f>+HYPERLINK("http://trademark.i-assist.jp/data/china/image_1917th/80536111.pdf","80536111")</f>
        <v>80536111</v>
      </c>
      <c r="F173" s="9" t="s">
        <v>531</v>
      </c>
      <c r="G173" s="9" t="s">
        <v>532</v>
      </c>
      <c r="H173" s="9" t="s">
        <v>533</v>
      </c>
      <c r="I173" s="10">
        <v>45527</v>
      </c>
    </row>
    <row r="174" spans="1:9" x14ac:dyDescent="0.15">
      <c r="A174" s="9">
        <v>173</v>
      </c>
      <c r="B174" s="9" t="s">
        <v>9</v>
      </c>
      <c r="C174" s="9">
        <v>1917</v>
      </c>
      <c r="D174" s="10">
        <v>45653</v>
      </c>
      <c r="E174" s="9" t="str">
        <f>+HYPERLINK("http://trademark.i-assist.jp/data/china/image_1917th/80537312.pdf","80537312")</f>
        <v>80537312</v>
      </c>
      <c r="F174" s="9" t="s">
        <v>534</v>
      </c>
      <c r="G174" s="9" t="s">
        <v>535</v>
      </c>
      <c r="H174" s="9" t="s">
        <v>536</v>
      </c>
      <c r="I174" s="10">
        <v>45527</v>
      </c>
    </row>
    <row r="175" spans="1:9" x14ac:dyDescent="0.15">
      <c r="A175" s="9">
        <v>174</v>
      </c>
      <c r="B175" s="9" t="s">
        <v>9</v>
      </c>
      <c r="C175" s="9">
        <v>1917</v>
      </c>
      <c r="D175" s="10">
        <v>45653</v>
      </c>
      <c r="E175" s="9" t="str">
        <f>+HYPERLINK("http://trademark.i-assist.jp/data/china/image_1917th/80546192.pdf","80546192")</f>
        <v>80546192</v>
      </c>
      <c r="F175" s="9" t="s">
        <v>537</v>
      </c>
      <c r="G175" s="9" t="s">
        <v>538</v>
      </c>
      <c r="H175" s="9" t="s">
        <v>539</v>
      </c>
      <c r="I175" s="10">
        <v>45528</v>
      </c>
    </row>
    <row r="176" spans="1:9" x14ac:dyDescent="0.15">
      <c r="A176" s="9">
        <v>175</v>
      </c>
      <c r="B176" s="9" t="s">
        <v>9</v>
      </c>
      <c r="C176" s="9">
        <v>1917</v>
      </c>
      <c r="D176" s="10">
        <v>45653</v>
      </c>
      <c r="E176" s="9" t="str">
        <f>+HYPERLINK("http://trademark.i-assist.jp/data/china/image_1917th/80547670.pdf","80547670")</f>
        <v>80547670</v>
      </c>
      <c r="F176" s="9" t="s">
        <v>540</v>
      </c>
      <c r="G176" s="9" t="s">
        <v>538</v>
      </c>
      <c r="H176" s="9" t="s">
        <v>541</v>
      </c>
      <c r="I176" s="10">
        <v>45528</v>
      </c>
    </row>
    <row r="177" spans="1:9" x14ac:dyDescent="0.15">
      <c r="A177" s="9">
        <v>176</v>
      </c>
      <c r="B177" s="9" t="s">
        <v>9</v>
      </c>
      <c r="C177" s="9">
        <v>1917</v>
      </c>
      <c r="D177" s="10">
        <v>45653</v>
      </c>
      <c r="E177" s="9" t="str">
        <f>+HYPERLINK("http://trademark.i-assist.jp/data/china/image_1917th/80551460.pdf","80551460")</f>
        <v>80551460</v>
      </c>
      <c r="F177" s="9" t="s">
        <v>542</v>
      </c>
      <c r="G177" s="9" t="s">
        <v>538</v>
      </c>
      <c r="H177" s="12" t="s">
        <v>543</v>
      </c>
      <c r="I177" s="10">
        <v>45528</v>
      </c>
    </row>
    <row r="178" spans="1:9" x14ac:dyDescent="0.15">
      <c r="A178" s="9">
        <v>177</v>
      </c>
      <c r="B178" s="9" t="s">
        <v>9</v>
      </c>
      <c r="C178" s="9">
        <v>1917</v>
      </c>
      <c r="D178" s="10">
        <v>45653</v>
      </c>
      <c r="E178" s="9" t="str">
        <f>+HYPERLINK("http://trademark.i-assist.jp/data/china/image_1917th/80572662.pdf","80572662")</f>
        <v>80572662</v>
      </c>
      <c r="F178" s="9" t="s">
        <v>544</v>
      </c>
      <c r="G178" s="12" t="s">
        <v>545</v>
      </c>
      <c r="H178" s="9" t="s">
        <v>546</v>
      </c>
      <c r="I178" s="10">
        <v>45530</v>
      </c>
    </row>
    <row r="179" spans="1:9" x14ac:dyDescent="0.15">
      <c r="A179" s="9">
        <v>178</v>
      </c>
      <c r="B179" s="9" t="s">
        <v>9</v>
      </c>
      <c r="C179" s="9">
        <v>1917</v>
      </c>
      <c r="D179" s="10">
        <v>45653</v>
      </c>
      <c r="E179" s="9" t="str">
        <f>+HYPERLINK("http://trademark.i-assist.jp/data/china/image_1917th/80577457.pdf","80577457")</f>
        <v>80577457</v>
      </c>
      <c r="F179" s="9" t="s">
        <v>547</v>
      </c>
      <c r="G179" s="12" t="s">
        <v>548</v>
      </c>
      <c r="H179" s="9" t="s">
        <v>549</v>
      </c>
      <c r="I179" s="10">
        <v>45530</v>
      </c>
    </row>
    <row r="180" spans="1:9" x14ac:dyDescent="0.15">
      <c r="A180" s="9">
        <v>179</v>
      </c>
      <c r="B180" s="9" t="s">
        <v>9</v>
      </c>
      <c r="C180" s="9">
        <v>1917</v>
      </c>
      <c r="D180" s="10">
        <v>45653</v>
      </c>
      <c r="E180" s="9" t="str">
        <f>+HYPERLINK("http://trademark.i-assist.jp/data/china/image_1917th/80578635.pdf","80578635")</f>
        <v>80578635</v>
      </c>
      <c r="F180" s="9" t="s">
        <v>550</v>
      </c>
      <c r="G180" s="9" t="s">
        <v>551</v>
      </c>
      <c r="H180" s="9" t="s">
        <v>552</v>
      </c>
      <c r="I180" s="10">
        <v>45531</v>
      </c>
    </row>
    <row r="181" spans="1:9" x14ac:dyDescent="0.15">
      <c r="A181" s="9">
        <v>180</v>
      </c>
      <c r="B181" s="9" t="s">
        <v>9</v>
      </c>
      <c r="C181" s="9">
        <v>1917</v>
      </c>
      <c r="D181" s="10">
        <v>45653</v>
      </c>
      <c r="E181" s="9" t="str">
        <f>+HYPERLINK("http://trademark.i-assist.jp/data/china/image_1917th/80580680.pdf","80580680")</f>
        <v>80580680</v>
      </c>
      <c r="F181" s="9" t="s">
        <v>553</v>
      </c>
      <c r="G181" s="9" t="s">
        <v>554</v>
      </c>
      <c r="H181" s="9" t="s">
        <v>555</v>
      </c>
      <c r="I181" s="10">
        <v>45531</v>
      </c>
    </row>
    <row r="182" spans="1:9" x14ac:dyDescent="0.15">
      <c r="A182" s="9">
        <v>181</v>
      </c>
      <c r="B182" s="9" t="s">
        <v>9</v>
      </c>
      <c r="C182" s="9">
        <v>1917</v>
      </c>
      <c r="D182" s="10">
        <v>45653</v>
      </c>
      <c r="E182" s="9" t="str">
        <f>+HYPERLINK("http://trademark.i-assist.jp/data/china/image_1917th/80580683.pdf","80580683")</f>
        <v>80580683</v>
      </c>
      <c r="F182" s="9" t="s">
        <v>556</v>
      </c>
      <c r="G182" s="9" t="s">
        <v>554</v>
      </c>
      <c r="H182" s="9" t="s">
        <v>557</v>
      </c>
      <c r="I182" s="10">
        <v>45531</v>
      </c>
    </row>
    <row r="183" spans="1:9" x14ac:dyDescent="0.15">
      <c r="A183" s="9">
        <v>182</v>
      </c>
      <c r="B183" s="9" t="s">
        <v>9</v>
      </c>
      <c r="C183" s="9">
        <v>1917</v>
      </c>
      <c r="D183" s="10">
        <v>45653</v>
      </c>
      <c r="E183" s="9" t="str">
        <f>+HYPERLINK("http://trademark.i-assist.jp/data/china/image_1917th/80585724.pdf","80585724")</f>
        <v>80585724</v>
      </c>
      <c r="F183" s="9" t="s">
        <v>558</v>
      </c>
      <c r="G183" s="9" t="s">
        <v>554</v>
      </c>
      <c r="H183" s="9" t="s">
        <v>559</v>
      </c>
      <c r="I183" s="10">
        <v>45531</v>
      </c>
    </row>
    <row r="184" spans="1:9" x14ac:dyDescent="0.15">
      <c r="A184" s="9">
        <v>183</v>
      </c>
      <c r="B184" s="9" t="s">
        <v>9</v>
      </c>
      <c r="C184" s="9">
        <v>1917</v>
      </c>
      <c r="D184" s="10">
        <v>45653</v>
      </c>
      <c r="E184" s="9" t="str">
        <f>+HYPERLINK("http://trademark.i-assist.jp/data/china/image_1917th/80590366.pdf","80590366")</f>
        <v>80590366</v>
      </c>
      <c r="F184" s="9" t="s">
        <v>560</v>
      </c>
      <c r="G184" s="9" t="s">
        <v>461</v>
      </c>
      <c r="H184" s="9" t="s">
        <v>561</v>
      </c>
      <c r="I184" s="10">
        <v>45531</v>
      </c>
    </row>
    <row r="185" spans="1:9" x14ac:dyDescent="0.15">
      <c r="A185" s="9">
        <v>184</v>
      </c>
      <c r="B185" s="9" t="s">
        <v>9</v>
      </c>
      <c r="C185" s="9">
        <v>1917</v>
      </c>
      <c r="D185" s="10">
        <v>45653</v>
      </c>
      <c r="E185" s="9" t="str">
        <f>+HYPERLINK("http://trademark.i-assist.jp/data/china/image_1917th/80590519.pdf","80590519")</f>
        <v>80590519</v>
      </c>
      <c r="F185" s="9" t="s">
        <v>562</v>
      </c>
      <c r="G185" s="9" t="s">
        <v>554</v>
      </c>
      <c r="H185" s="9" t="s">
        <v>563</v>
      </c>
      <c r="I185" s="10">
        <v>45531</v>
      </c>
    </row>
    <row r="186" spans="1:9" x14ac:dyDescent="0.15">
      <c r="A186" s="9">
        <v>185</v>
      </c>
      <c r="B186" s="9" t="s">
        <v>9</v>
      </c>
      <c r="C186" s="9">
        <v>1917</v>
      </c>
      <c r="D186" s="10">
        <v>45653</v>
      </c>
      <c r="E186" s="9" t="str">
        <f>+HYPERLINK("http://trademark.i-assist.jp/data/china/image_1917th/80590565.pdf","80590565")</f>
        <v>80590565</v>
      </c>
      <c r="F186" s="9" t="s">
        <v>564</v>
      </c>
      <c r="G186" s="9" t="s">
        <v>565</v>
      </c>
      <c r="H186" s="12" t="s">
        <v>566</v>
      </c>
      <c r="I186" s="10">
        <v>45531</v>
      </c>
    </row>
    <row r="187" spans="1:9" x14ac:dyDescent="0.15">
      <c r="A187" s="9">
        <v>186</v>
      </c>
      <c r="B187" s="9" t="s">
        <v>9</v>
      </c>
      <c r="C187" s="9">
        <v>1917</v>
      </c>
      <c r="D187" s="10">
        <v>45653</v>
      </c>
      <c r="E187" s="9" t="str">
        <f>+HYPERLINK("http://trademark.i-assist.jp/data/china/image_1917th/80592649.pdf","80592649")</f>
        <v>80592649</v>
      </c>
      <c r="F187" s="9" t="s">
        <v>567</v>
      </c>
      <c r="G187" s="9" t="s">
        <v>461</v>
      </c>
      <c r="H187" s="12" t="s">
        <v>568</v>
      </c>
      <c r="I187" s="10">
        <v>45531</v>
      </c>
    </row>
    <row r="188" spans="1:9" x14ac:dyDescent="0.15">
      <c r="A188" s="9">
        <v>187</v>
      </c>
      <c r="B188" s="9" t="s">
        <v>9</v>
      </c>
      <c r="C188" s="9">
        <v>1917</v>
      </c>
      <c r="D188" s="10">
        <v>45653</v>
      </c>
      <c r="E188" s="9" t="str">
        <f>+HYPERLINK("http://trademark.i-assist.jp/data/china/image_1917th/80594584.pdf","80594584")</f>
        <v>80594584</v>
      </c>
      <c r="F188" s="9" t="s">
        <v>569</v>
      </c>
      <c r="G188" s="9" t="s">
        <v>461</v>
      </c>
      <c r="H188" s="12" t="s">
        <v>570</v>
      </c>
      <c r="I188" s="10">
        <v>45531</v>
      </c>
    </row>
    <row r="189" spans="1:9" x14ac:dyDescent="0.15">
      <c r="A189" s="9">
        <v>188</v>
      </c>
      <c r="B189" s="9" t="s">
        <v>9</v>
      </c>
      <c r="C189" s="9">
        <v>1917</v>
      </c>
      <c r="D189" s="10">
        <v>45653</v>
      </c>
      <c r="E189" s="9" t="str">
        <f>+HYPERLINK("http://trademark.i-assist.jp/data/china/image_1917th/80599061A.pdf","80599061A")</f>
        <v>80599061A</v>
      </c>
      <c r="F189" s="9" t="s">
        <v>571</v>
      </c>
      <c r="G189" s="9" t="s">
        <v>572</v>
      </c>
      <c r="H189" s="9" t="s">
        <v>573</v>
      </c>
      <c r="I189" s="10">
        <v>45531</v>
      </c>
    </row>
    <row r="190" spans="1:9" x14ac:dyDescent="0.15">
      <c r="A190" s="9">
        <v>189</v>
      </c>
      <c r="B190" s="9" t="s">
        <v>9</v>
      </c>
      <c r="C190" s="9">
        <v>1917</v>
      </c>
      <c r="D190" s="10">
        <v>45653</v>
      </c>
      <c r="E190" s="9" t="str">
        <f>+HYPERLINK("http://trademark.i-assist.jp/data/china/image_1917th/80599513.pdf","80599513")</f>
        <v>80599513</v>
      </c>
      <c r="F190" s="9" t="s">
        <v>574</v>
      </c>
      <c r="G190" s="9" t="s">
        <v>575</v>
      </c>
      <c r="H190" s="9" t="s">
        <v>576</v>
      </c>
      <c r="I190" s="10">
        <v>45531</v>
      </c>
    </row>
    <row r="191" spans="1:9" x14ac:dyDescent="0.15">
      <c r="A191" s="9">
        <v>190</v>
      </c>
      <c r="B191" s="9" t="s">
        <v>9</v>
      </c>
      <c r="C191" s="9">
        <v>1917</v>
      </c>
      <c r="D191" s="10">
        <v>45653</v>
      </c>
      <c r="E191" s="9" t="str">
        <f>+HYPERLINK("http://trademark.i-assist.jp/data/china/image_1917th/80599988.pdf","80599988")</f>
        <v>80599988</v>
      </c>
      <c r="F191" s="9" t="s">
        <v>577</v>
      </c>
      <c r="G191" s="9" t="s">
        <v>461</v>
      </c>
      <c r="H191" s="12" t="s">
        <v>578</v>
      </c>
      <c r="I191" s="10">
        <v>45531</v>
      </c>
    </row>
    <row r="192" spans="1:9" x14ac:dyDescent="0.15">
      <c r="A192" s="9">
        <v>191</v>
      </c>
      <c r="B192" s="9" t="s">
        <v>9</v>
      </c>
      <c r="C192" s="9">
        <v>1917</v>
      </c>
      <c r="D192" s="10">
        <v>45653</v>
      </c>
      <c r="E192" s="9" t="str">
        <f>+HYPERLINK("http://trademark.i-assist.jp/data/china/image_1917th/80601424.pdf","80601424")</f>
        <v>80601424</v>
      </c>
      <c r="F192" s="12" t="s">
        <v>579</v>
      </c>
      <c r="G192" s="12" t="s">
        <v>580</v>
      </c>
      <c r="H192" s="9" t="s">
        <v>581</v>
      </c>
      <c r="I192" s="10">
        <v>45531</v>
      </c>
    </row>
    <row r="193" spans="1:9" x14ac:dyDescent="0.15">
      <c r="A193" s="9">
        <v>192</v>
      </c>
      <c r="B193" s="9" t="s">
        <v>9</v>
      </c>
      <c r="C193" s="9">
        <v>1917</v>
      </c>
      <c r="D193" s="10">
        <v>45653</v>
      </c>
      <c r="E193" s="9" t="str">
        <f>+HYPERLINK("http://trademark.i-assist.jp/data/china/image_1917th/80601612.pdf","80601612")</f>
        <v>80601612</v>
      </c>
      <c r="F193" s="9" t="s">
        <v>582</v>
      </c>
      <c r="G193" s="9" t="s">
        <v>583</v>
      </c>
      <c r="H193" s="12" t="s">
        <v>584</v>
      </c>
      <c r="I193" s="10">
        <v>45532</v>
      </c>
    </row>
    <row r="194" spans="1:9" x14ac:dyDescent="0.15">
      <c r="A194" s="9">
        <v>193</v>
      </c>
      <c r="B194" s="9" t="s">
        <v>9</v>
      </c>
      <c r="C194" s="9">
        <v>1917</v>
      </c>
      <c r="D194" s="10">
        <v>45653</v>
      </c>
      <c r="E194" s="9" t="str">
        <f>+HYPERLINK("http://trademark.i-assist.jp/data/china/image_1917th/80603194.pdf","80603194")</f>
        <v>80603194</v>
      </c>
      <c r="F194" s="9" t="s">
        <v>585</v>
      </c>
      <c r="G194" s="9" t="s">
        <v>586</v>
      </c>
      <c r="H194" s="9" t="s">
        <v>587</v>
      </c>
      <c r="I194" s="10">
        <v>45532</v>
      </c>
    </row>
    <row r="195" spans="1:9" x14ac:dyDescent="0.15">
      <c r="A195" s="9">
        <v>194</v>
      </c>
      <c r="B195" s="9" t="s">
        <v>9</v>
      </c>
      <c r="C195" s="9">
        <v>1917</v>
      </c>
      <c r="D195" s="10">
        <v>45653</v>
      </c>
      <c r="E195" s="9" t="str">
        <f>+HYPERLINK("http://trademark.i-assist.jp/data/china/image_1917th/80606386.pdf","80606386")</f>
        <v>80606386</v>
      </c>
      <c r="F195" s="9" t="s">
        <v>588</v>
      </c>
      <c r="G195" s="9" t="s">
        <v>589</v>
      </c>
      <c r="H195" s="9" t="s">
        <v>590</v>
      </c>
      <c r="I195" s="10">
        <v>45532</v>
      </c>
    </row>
    <row r="196" spans="1:9" x14ac:dyDescent="0.15">
      <c r="A196" s="9">
        <v>195</v>
      </c>
      <c r="B196" s="9" t="s">
        <v>9</v>
      </c>
      <c r="C196" s="9">
        <v>1917</v>
      </c>
      <c r="D196" s="10">
        <v>45653</v>
      </c>
      <c r="E196" s="9" t="str">
        <f>+HYPERLINK("http://trademark.i-assist.jp/data/china/image_1917th/80606575.pdf","80606575")</f>
        <v>80606575</v>
      </c>
      <c r="F196" s="9" t="s">
        <v>591</v>
      </c>
      <c r="G196" s="9" t="s">
        <v>592</v>
      </c>
      <c r="H196" s="9" t="s">
        <v>593</v>
      </c>
      <c r="I196" s="10">
        <v>45532</v>
      </c>
    </row>
    <row r="197" spans="1:9" x14ac:dyDescent="0.15">
      <c r="A197" s="9">
        <v>196</v>
      </c>
      <c r="B197" s="9" t="s">
        <v>9</v>
      </c>
      <c r="C197" s="9">
        <v>1917</v>
      </c>
      <c r="D197" s="10">
        <v>45653</v>
      </c>
      <c r="E197" s="9" t="str">
        <f>+HYPERLINK("http://trademark.i-assist.jp/data/china/image_1917th/80608306.pdf","80608306")</f>
        <v>80608306</v>
      </c>
      <c r="F197" s="9" t="s">
        <v>594</v>
      </c>
      <c r="G197" s="9" t="s">
        <v>594</v>
      </c>
      <c r="H197" s="9" t="s">
        <v>595</v>
      </c>
      <c r="I197" s="10">
        <v>45532</v>
      </c>
    </row>
    <row r="198" spans="1:9" x14ac:dyDescent="0.15">
      <c r="A198" s="9">
        <v>197</v>
      </c>
      <c r="B198" s="9" t="s">
        <v>9</v>
      </c>
      <c r="C198" s="9">
        <v>1917</v>
      </c>
      <c r="D198" s="10">
        <v>45653</v>
      </c>
      <c r="E198" s="9" t="str">
        <f>+HYPERLINK("http://trademark.i-assist.jp/data/china/image_1917th/80610829.pdf","80610829")</f>
        <v>80610829</v>
      </c>
      <c r="F198" s="9" t="s">
        <v>596</v>
      </c>
      <c r="G198" s="9" t="s">
        <v>597</v>
      </c>
      <c r="H198" s="9" t="s">
        <v>598</v>
      </c>
      <c r="I198" s="10">
        <v>45532</v>
      </c>
    </row>
    <row r="199" spans="1:9" x14ac:dyDescent="0.15">
      <c r="A199" s="9">
        <v>198</v>
      </c>
      <c r="B199" s="9" t="s">
        <v>9</v>
      </c>
      <c r="C199" s="9">
        <v>1917</v>
      </c>
      <c r="D199" s="10">
        <v>45653</v>
      </c>
      <c r="E199" s="9" t="str">
        <f>+HYPERLINK("http://trademark.i-assist.jp/data/china/image_1917th/80611062.pdf","80611062")</f>
        <v>80611062</v>
      </c>
      <c r="F199" s="9" t="s">
        <v>599</v>
      </c>
      <c r="G199" s="9" t="s">
        <v>600</v>
      </c>
      <c r="H199" s="9" t="s">
        <v>601</v>
      </c>
      <c r="I199" s="10">
        <v>45532</v>
      </c>
    </row>
    <row r="200" spans="1:9" x14ac:dyDescent="0.15">
      <c r="A200" s="9">
        <v>199</v>
      </c>
      <c r="B200" s="9" t="s">
        <v>9</v>
      </c>
      <c r="C200" s="9">
        <v>1917</v>
      </c>
      <c r="D200" s="10">
        <v>45653</v>
      </c>
      <c r="E200" s="9" t="str">
        <f>+HYPERLINK("http://trademark.i-assist.jp/data/china/image_1917th/80612996.pdf","80612996")</f>
        <v>80612996</v>
      </c>
      <c r="F200" s="12" t="s">
        <v>12</v>
      </c>
      <c r="G200" s="9" t="s">
        <v>602</v>
      </c>
      <c r="H200" s="9" t="s">
        <v>603</v>
      </c>
      <c r="I200" s="10">
        <v>45532</v>
      </c>
    </row>
    <row r="201" spans="1:9" x14ac:dyDescent="0.15">
      <c r="A201" s="9">
        <v>200</v>
      </c>
      <c r="B201" s="9" t="s">
        <v>9</v>
      </c>
      <c r="C201" s="9">
        <v>1917</v>
      </c>
      <c r="D201" s="10">
        <v>45653</v>
      </c>
      <c r="E201" s="9" t="str">
        <f>+HYPERLINK("http://trademark.i-assist.jp/data/china/image_1917th/80613974.pdf","80613974")</f>
        <v>80613974</v>
      </c>
      <c r="F201" s="9" t="s">
        <v>604</v>
      </c>
      <c r="G201" s="9" t="s">
        <v>605</v>
      </c>
      <c r="H201" s="9" t="s">
        <v>606</v>
      </c>
      <c r="I201" s="10">
        <v>45532</v>
      </c>
    </row>
    <row r="202" spans="1:9" x14ac:dyDescent="0.15">
      <c r="A202" s="9">
        <v>201</v>
      </c>
      <c r="B202" s="9" t="s">
        <v>9</v>
      </c>
      <c r="C202" s="9">
        <v>1917</v>
      </c>
      <c r="D202" s="10">
        <v>45653</v>
      </c>
      <c r="E202" s="9" t="str">
        <f>+HYPERLINK("http://trademark.i-assist.jp/data/china/image_1917th/80618779.pdf","80618779")</f>
        <v>80618779</v>
      </c>
      <c r="F202" s="12" t="s">
        <v>607</v>
      </c>
      <c r="G202" s="9" t="s">
        <v>47</v>
      </c>
      <c r="H202" s="9" t="s">
        <v>608</v>
      </c>
      <c r="I202" s="10">
        <v>45532</v>
      </c>
    </row>
    <row r="203" spans="1:9" x14ac:dyDescent="0.15">
      <c r="A203" s="9">
        <v>202</v>
      </c>
      <c r="B203" s="9" t="s">
        <v>9</v>
      </c>
      <c r="C203" s="9">
        <v>1917</v>
      </c>
      <c r="D203" s="10">
        <v>45653</v>
      </c>
      <c r="E203" s="9" t="str">
        <f>+HYPERLINK("http://trademark.i-assist.jp/data/china/image_1917th/80619989.pdf","80619989")</f>
        <v>80619989</v>
      </c>
      <c r="F203" s="9" t="s">
        <v>609</v>
      </c>
      <c r="G203" s="11" t="s">
        <v>610</v>
      </c>
      <c r="H203" s="12" t="s">
        <v>611</v>
      </c>
      <c r="I203" s="10">
        <v>45532</v>
      </c>
    </row>
    <row r="204" spans="1:9" x14ac:dyDescent="0.15">
      <c r="A204" s="9">
        <v>203</v>
      </c>
      <c r="B204" s="9" t="s">
        <v>9</v>
      </c>
      <c r="C204" s="9">
        <v>1917</v>
      </c>
      <c r="D204" s="10">
        <v>45653</v>
      </c>
      <c r="E204" s="9" t="str">
        <f>+HYPERLINK("http://trademark.i-assist.jp/data/china/image_1917th/80620366.pdf","80620366")</f>
        <v>80620366</v>
      </c>
      <c r="F204" s="9" t="s">
        <v>612</v>
      </c>
      <c r="G204" s="9" t="s">
        <v>613</v>
      </c>
      <c r="H204" s="9" t="s">
        <v>614</v>
      </c>
      <c r="I204" s="10">
        <v>45532</v>
      </c>
    </row>
    <row r="205" spans="1:9" x14ac:dyDescent="0.15">
      <c r="A205" s="9">
        <v>204</v>
      </c>
      <c r="B205" s="9" t="s">
        <v>9</v>
      </c>
      <c r="C205" s="9">
        <v>1917</v>
      </c>
      <c r="D205" s="10">
        <v>45653</v>
      </c>
      <c r="E205" s="9" t="str">
        <f>+HYPERLINK("http://trademark.i-assist.jp/data/china/image_1917th/80624776.pdf","80624776")</f>
        <v>80624776</v>
      </c>
      <c r="F205" s="9" t="s">
        <v>615</v>
      </c>
      <c r="G205" s="9" t="s">
        <v>616</v>
      </c>
      <c r="H205" s="9" t="s">
        <v>617</v>
      </c>
      <c r="I205" s="10">
        <v>45532</v>
      </c>
    </row>
    <row r="206" spans="1:9" x14ac:dyDescent="0.15">
      <c r="A206" s="9">
        <v>205</v>
      </c>
      <c r="B206" s="9" t="s">
        <v>9</v>
      </c>
      <c r="C206" s="9">
        <v>1917</v>
      </c>
      <c r="D206" s="10">
        <v>45653</v>
      </c>
      <c r="E206" s="9" t="str">
        <f>+HYPERLINK("http://trademark.i-assist.jp/data/china/image_1917th/80628200.pdf","80628200")</f>
        <v>80628200</v>
      </c>
      <c r="F206" s="9" t="s">
        <v>618</v>
      </c>
      <c r="G206" s="9" t="s">
        <v>25</v>
      </c>
      <c r="H206" s="9" t="s">
        <v>619</v>
      </c>
      <c r="I206" s="10">
        <v>45533</v>
      </c>
    </row>
    <row r="207" spans="1:9" x14ac:dyDescent="0.15">
      <c r="A207" s="9">
        <v>206</v>
      </c>
      <c r="B207" s="9" t="s">
        <v>9</v>
      </c>
      <c r="C207" s="9">
        <v>1917</v>
      </c>
      <c r="D207" s="10">
        <v>45653</v>
      </c>
      <c r="E207" s="9" t="str">
        <f>+HYPERLINK("http://trademark.i-assist.jp/data/china/image_1917th/80628286.pdf","80628286")</f>
        <v>80628286</v>
      </c>
      <c r="F207" s="9" t="s">
        <v>620</v>
      </c>
      <c r="G207" s="9" t="s">
        <v>621</v>
      </c>
      <c r="H207" s="9" t="s">
        <v>622</v>
      </c>
      <c r="I207" s="10">
        <v>45533</v>
      </c>
    </row>
    <row r="208" spans="1:9" x14ac:dyDescent="0.15">
      <c r="A208" s="9">
        <v>207</v>
      </c>
      <c r="B208" s="9" t="s">
        <v>9</v>
      </c>
      <c r="C208" s="9">
        <v>1917</v>
      </c>
      <c r="D208" s="10">
        <v>45653</v>
      </c>
      <c r="E208" s="9" t="str">
        <f>+HYPERLINK("http://trademark.i-assist.jp/data/china/image_1917th/80636364.pdf","80636364")</f>
        <v>80636364</v>
      </c>
      <c r="F208" s="9" t="s">
        <v>623</v>
      </c>
      <c r="G208" s="9" t="s">
        <v>624</v>
      </c>
      <c r="H208" s="9" t="s">
        <v>625</v>
      </c>
      <c r="I208" s="10">
        <v>45533</v>
      </c>
    </row>
    <row r="209" spans="1:9" x14ac:dyDescent="0.15">
      <c r="A209" s="9">
        <v>208</v>
      </c>
      <c r="B209" s="9" t="s">
        <v>9</v>
      </c>
      <c r="C209" s="9">
        <v>1917</v>
      </c>
      <c r="D209" s="10">
        <v>45653</v>
      </c>
      <c r="E209" s="9" t="str">
        <f>+HYPERLINK("http://trademark.i-assist.jp/data/china/image_1917th/80642629.pdf","80642629")</f>
        <v>80642629</v>
      </c>
      <c r="F209" s="9" t="s">
        <v>626</v>
      </c>
      <c r="G209" s="9" t="s">
        <v>627</v>
      </c>
      <c r="H209" s="12" t="s">
        <v>628</v>
      </c>
      <c r="I209" s="10">
        <v>45533</v>
      </c>
    </row>
    <row r="210" spans="1:9" x14ac:dyDescent="0.15">
      <c r="A210" s="9">
        <v>209</v>
      </c>
      <c r="B210" s="9" t="s">
        <v>9</v>
      </c>
      <c r="C210" s="9">
        <v>1917</v>
      </c>
      <c r="D210" s="10">
        <v>45653</v>
      </c>
      <c r="E210" s="9" t="str">
        <f>+HYPERLINK("http://trademark.i-assist.jp/data/china/image_1917th/80642794.pdf","80642794")</f>
        <v>80642794</v>
      </c>
      <c r="F210" s="9" t="s">
        <v>629</v>
      </c>
      <c r="G210" s="9" t="s">
        <v>621</v>
      </c>
      <c r="H210" s="9" t="s">
        <v>630</v>
      </c>
      <c r="I210" s="10">
        <v>45533</v>
      </c>
    </row>
    <row r="211" spans="1:9" x14ac:dyDescent="0.15">
      <c r="A211" s="9">
        <v>210</v>
      </c>
      <c r="B211" s="9" t="s">
        <v>9</v>
      </c>
      <c r="C211" s="9">
        <v>1917</v>
      </c>
      <c r="D211" s="10">
        <v>45653</v>
      </c>
      <c r="E211" s="9" t="str">
        <f>+HYPERLINK("http://trademark.i-assist.jp/data/china/image_1917th/80643907.pdf","80643907")</f>
        <v>80643907</v>
      </c>
      <c r="F211" s="9" t="s">
        <v>631</v>
      </c>
      <c r="G211" s="9" t="s">
        <v>621</v>
      </c>
      <c r="H211" s="9" t="s">
        <v>632</v>
      </c>
      <c r="I211" s="10">
        <v>45533</v>
      </c>
    </row>
    <row r="212" spans="1:9" x14ac:dyDescent="0.15">
      <c r="A212" s="9">
        <v>211</v>
      </c>
      <c r="B212" s="9" t="s">
        <v>9</v>
      </c>
      <c r="C212" s="9">
        <v>1917</v>
      </c>
      <c r="D212" s="10">
        <v>45653</v>
      </c>
      <c r="E212" s="9" t="str">
        <f>+HYPERLINK("http://trademark.i-assist.jp/data/china/image_1917th/80645030.pdf","80645030")</f>
        <v>80645030</v>
      </c>
      <c r="F212" s="9" t="s">
        <v>626</v>
      </c>
      <c r="G212" s="9" t="s">
        <v>627</v>
      </c>
      <c r="H212" s="9" t="s">
        <v>633</v>
      </c>
      <c r="I212" s="10">
        <v>45533</v>
      </c>
    </row>
    <row r="213" spans="1:9" x14ac:dyDescent="0.15">
      <c r="A213" s="9">
        <v>212</v>
      </c>
      <c r="B213" s="9" t="s">
        <v>9</v>
      </c>
      <c r="C213" s="9">
        <v>1917</v>
      </c>
      <c r="D213" s="10">
        <v>45653</v>
      </c>
      <c r="E213" s="9" t="str">
        <f>+HYPERLINK("http://trademark.i-assist.jp/data/china/image_1917th/80645857.pdf","80645857")</f>
        <v>80645857</v>
      </c>
      <c r="F213" s="9" t="s">
        <v>634</v>
      </c>
      <c r="G213" s="9" t="s">
        <v>25</v>
      </c>
      <c r="H213" s="9" t="s">
        <v>635</v>
      </c>
      <c r="I213" s="10">
        <v>45533</v>
      </c>
    </row>
    <row r="214" spans="1:9" x14ac:dyDescent="0.15">
      <c r="A214" s="9">
        <v>213</v>
      </c>
      <c r="B214" s="9" t="s">
        <v>9</v>
      </c>
      <c r="C214" s="9">
        <v>1917</v>
      </c>
      <c r="D214" s="10">
        <v>45653</v>
      </c>
      <c r="E214" s="9" t="str">
        <f>+HYPERLINK("http://trademark.i-assist.jp/data/china/image_1917th/80650043.pdf","80650043")</f>
        <v>80650043</v>
      </c>
      <c r="F214" s="9" t="s">
        <v>636</v>
      </c>
      <c r="G214" s="9" t="s">
        <v>637</v>
      </c>
      <c r="H214" s="9" t="s">
        <v>638</v>
      </c>
      <c r="I214" s="10">
        <v>45534</v>
      </c>
    </row>
    <row r="215" spans="1:9" x14ac:dyDescent="0.15">
      <c r="A215" s="9">
        <v>214</v>
      </c>
      <c r="B215" s="9" t="s">
        <v>9</v>
      </c>
      <c r="C215" s="9">
        <v>1917</v>
      </c>
      <c r="D215" s="10">
        <v>45653</v>
      </c>
      <c r="E215" s="9" t="str">
        <f>+HYPERLINK("http://trademark.i-assist.jp/data/china/image_1917th/80651300.pdf","80651300")</f>
        <v>80651300</v>
      </c>
      <c r="F215" s="9" t="s">
        <v>639</v>
      </c>
      <c r="G215" s="9" t="s">
        <v>25</v>
      </c>
      <c r="H215" s="9" t="s">
        <v>640</v>
      </c>
      <c r="I215" s="10">
        <v>45534</v>
      </c>
    </row>
    <row r="216" spans="1:9" x14ac:dyDescent="0.15">
      <c r="A216" s="9">
        <v>215</v>
      </c>
      <c r="B216" s="9" t="s">
        <v>9</v>
      </c>
      <c r="C216" s="9">
        <v>1917</v>
      </c>
      <c r="D216" s="10">
        <v>45653</v>
      </c>
      <c r="E216" s="9" t="str">
        <f>+HYPERLINK("http://trademark.i-assist.jp/data/china/image_1917th/80652889.pdf","80652889")</f>
        <v>80652889</v>
      </c>
      <c r="F216" s="9" t="s">
        <v>641</v>
      </c>
      <c r="G216" s="9" t="s">
        <v>642</v>
      </c>
      <c r="H216" s="9" t="s">
        <v>643</v>
      </c>
      <c r="I216" s="10">
        <v>45534</v>
      </c>
    </row>
    <row r="217" spans="1:9" x14ac:dyDescent="0.15">
      <c r="A217" s="9">
        <v>216</v>
      </c>
      <c r="B217" s="9" t="s">
        <v>9</v>
      </c>
      <c r="C217" s="9">
        <v>1917</v>
      </c>
      <c r="D217" s="10">
        <v>45653</v>
      </c>
      <c r="E217" s="9" t="str">
        <f>+HYPERLINK("http://trademark.i-assist.jp/data/china/image_1917th/80659050.pdf","80659050")</f>
        <v>80659050</v>
      </c>
      <c r="F217" s="9" t="s">
        <v>644</v>
      </c>
      <c r="G217" s="9" t="s">
        <v>554</v>
      </c>
      <c r="H217" s="9" t="s">
        <v>645</v>
      </c>
      <c r="I217" s="10">
        <v>45534</v>
      </c>
    </row>
    <row r="218" spans="1:9" x14ac:dyDescent="0.15">
      <c r="A218" s="9">
        <v>217</v>
      </c>
      <c r="B218" s="9" t="s">
        <v>9</v>
      </c>
      <c r="C218" s="9">
        <v>1917</v>
      </c>
      <c r="D218" s="10">
        <v>45653</v>
      </c>
      <c r="E218" s="9" t="str">
        <f>+HYPERLINK("http://trademark.i-assist.jp/data/china/image_1917th/80660253.pdf","80660253")</f>
        <v>80660253</v>
      </c>
      <c r="F218" s="9" t="s">
        <v>646</v>
      </c>
      <c r="G218" s="9" t="s">
        <v>647</v>
      </c>
      <c r="H218" s="9" t="s">
        <v>648</v>
      </c>
      <c r="I218" s="10">
        <v>45534</v>
      </c>
    </row>
    <row r="219" spans="1:9" x14ac:dyDescent="0.15">
      <c r="A219" s="9">
        <v>218</v>
      </c>
      <c r="B219" s="9" t="s">
        <v>9</v>
      </c>
      <c r="C219" s="9">
        <v>1917</v>
      </c>
      <c r="D219" s="10">
        <v>45653</v>
      </c>
      <c r="E219" s="9" t="str">
        <f>+HYPERLINK("http://trademark.i-assist.jp/data/china/image_1917th/80664106.pdf","80664106")</f>
        <v>80664106</v>
      </c>
      <c r="F219" s="9" t="s">
        <v>649</v>
      </c>
      <c r="G219" s="9" t="s">
        <v>13</v>
      </c>
      <c r="H219" s="9" t="s">
        <v>650</v>
      </c>
      <c r="I219" s="10">
        <v>45534</v>
      </c>
    </row>
    <row r="220" spans="1:9" x14ac:dyDescent="0.15">
      <c r="A220" s="9">
        <v>219</v>
      </c>
      <c r="B220" s="9" t="s">
        <v>9</v>
      </c>
      <c r="C220" s="9">
        <v>1917</v>
      </c>
      <c r="D220" s="10">
        <v>45653</v>
      </c>
      <c r="E220" s="9" t="str">
        <f>+HYPERLINK("http://trademark.i-assist.jp/data/china/image_1917th/80666869.pdf","80666869")</f>
        <v>80666869</v>
      </c>
      <c r="F220" s="9" t="s">
        <v>651</v>
      </c>
      <c r="G220" s="9" t="s">
        <v>652</v>
      </c>
      <c r="H220" s="9" t="s">
        <v>653</v>
      </c>
      <c r="I220" s="10">
        <v>45534</v>
      </c>
    </row>
    <row r="221" spans="1:9" x14ac:dyDescent="0.15">
      <c r="A221" s="9">
        <v>220</v>
      </c>
      <c r="B221" s="9" t="s">
        <v>9</v>
      </c>
      <c r="C221" s="9">
        <v>1917</v>
      </c>
      <c r="D221" s="10">
        <v>45653</v>
      </c>
      <c r="E221" s="9" t="str">
        <f>+HYPERLINK("http://trademark.i-assist.jp/data/china/image_1917th/80668703.pdf","80668703")</f>
        <v>80668703</v>
      </c>
      <c r="F221" s="9" t="s">
        <v>654</v>
      </c>
      <c r="G221" s="9" t="s">
        <v>554</v>
      </c>
      <c r="H221" s="9" t="s">
        <v>655</v>
      </c>
      <c r="I221" s="10">
        <v>45534</v>
      </c>
    </row>
    <row r="222" spans="1:9" x14ac:dyDescent="0.15">
      <c r="A222" s="9">
        <v>221</v>
      </c>
      <c r="B222" s="9" t="s">
        <v>9</v>
      </c>
      <c r="C222" s="9">
        <v>1917</v>
      </c>
      <c r="D222" s="10">
        <v>45653</v>
      </c>
      <c r="E222" s="9" t="str">
        <f>+HYPERLINK("http://trademark.i-assist.jp/data/china/image_1917th/80669706.pdf","80669706")</f>
        <v>80669706</v>
      </c>
      <c r="F222" s="12" t="s">
        <v>656</v>
      </c>
      <c r="G222" s="9" t="s">
        <v>25</v>
      </c>
      <c r="H222" s="9" t="s">
        <v>657</v>
      </c>
      <c r="I222" s="10">
        <v>45534</v>
      </c>
    </row>
    <row r="223" spans="1:9" x14ac:dyDescent="0.15">
      <c r="A223" s="9">
        <v>222</v>
      </c>
      <c r="B223" s="9" t="s">
        <v>9</v>
      </c>
      <c r="C223" s="9">
        <v>1917</v>
      </c>
      <c r="D223" s="10">
        <v>45653</v>
      </c>
      <c r="E223" s="9" t="str">
        <f>+HYPERLINK("http://trademark.i-assist.jp/data/china/image_1917th/80670366.pdf","80670366")</f>
        <v>80670366</v>
      </c>
      <c r="F223" s="9" t="s">
        <v>658</v>
      </c>
      <c r="G223" s="9" t="s">
        <v>659</v>
      </c>
      <c r="H223" s="12" t="s">
        <v>660</v>
      </c>
      <c r="I223" s="10">
        <v>45534</v>
      </c>
    </row>
    <row r="224" spans="1:9" x14ac:dyDescent="0.15">
      <c r="A224" s="9">
        <v>223</v>
      </c>
      <c r="B224" s="9" t="s">
        <v>9</v>
      </c>
      <c r="C224" s="9">
        <v>1917</v>
      </c>
      <c r="D224" s="10">
        <v>45653</v>
      </c>
      <c r="E224" s="9" t="str">
        <f>+HYPERLINK("http://trademark.i-assist.jp/data/china/image_1917th/80670885.pdf","80670885")</f>
        <v>80670885</v>
      </c>
      <c r="F224" s="12" t="s">
        <v>661</v>
      </c>
      <c r="G224" s="9" t="s">
        <v>554</v>
      </c>
      <c r="H224" s="9" t="s">
        <v>662</v>
      </c>
      <c r="I224" s="10">
        <v>45534</v>
      </c>
    </row>
    <row r="225" spans="1:9" x14ac:dyDescent="0.15">
      <c r="A225" s="9">
        <v>224</v>
      </c>
      <c r="B225" s="9" t="s">
        <v>9</v>
      </c>
      <c r="C225" s="9">
        <v>1917</v>
      </c>
      <c r="D225" s="10">
        <v>45653</v>
      </c>
      <c r="E225" s="9" t="str">
        <f>+HYPERLINK("http://trademark.i-assist.jp/data/china/image_1917th/80673501.pdf","80673501")</f>
        <v>80673501</v>
      </c>
      <c r="F225" s="9" t="s">
        <v>663</v>
      </c>
      <c r="G225" s="12" t="s">
        <v>664</v>
      </c>
      <c r="H225" s="9" t="s">
        <v>665</v>
      </c>
      <c r="I225" s="10">
        <v>45535</v>
      </c>
    </row>
    <row r="226" spans="1:9" x14ac:dyDescent="0.15">
      <c r="A226" s="9">
        <v>225</v>
      </c>
      <c r="B226" s="9" t="s">
        <v>9</v>
      </c>
      <c r="C226" s="9">
        <v>1917</v>
      </c>
      <c r="D226" s="10">
        <v>45653</v>
      </c>
      <c r="E226" s="9" t="str">
        <f>+HYPERLINK("http://trademark.i-assist.jp/data/china/image_1917th/80678975.pdf","80678975")</f>
        <v>80678975</v>
      </c>
      <c r="F226" s="9" t="s">
        <v>666</v>
      </c>
      <c r="G226" s="9" t="s">
        <v>554</v>
      </c>
      <c r="H226" s="9" t="s">
        <v>667</v>
      </c>
      <c r="I226" s="10">
        <v>45535</v>
      </c>
    </row>
    <row r="227" spans="1:9" x14ac:dyDescent="0.15">
      <c r="A227" s="9">
        <v>226</v>
      </c>
      <c r="B227" s="9" t="s">
        <v>9</v>
      </c>
      <c r="C227" s="9">
        <v>1917</v>
      </c>
      <c r="D227" s="10">
        <v>45653</v>
      </c>
      <c r="E227" s="9" t="str">
        <f>+HYPERLINK("http://trademark.i-assist.jp/data/china/image_1917th/80680188.pdf","80680188")</f>
        <v>80680188</v>
      </c>
      <c r="F227" s="9" t="s">
        <v>668</v>
      </c>
      <c r="G227" s="9" t="s">
        <v>669</v>
      </c>
      <c r="H227" s="9" t="s">
        <v>670</v>
      </c>
      <c r="I227" s="10">
        <v>45536</v>
      </c>
    </row>
    <row r="228" spans="1:9" x14ac:dyDescent="0.15">
      <c r="A228" s="9">
        <v>227</v>
      </c>
      <c r="B228" s="9" t="s">
        <v>9</v>
      </c>
      <c r="C228" s="9">
        <v>1917</v>
      </c>
      <c r="D228" s="10">
        <v>45653</v>
      </c>
      <c r="E228" s="9" t="str">
        <f>+HYPERLINK("http://trademark.i-assist.jp/data/china/image_1917th/80683266.pdf","80683266")</f>
        <v>80683266</v>
      </c>
      <c r="F228" s="9" t="s">
        <v>671</v>
      </c>
      <c r="G228" s="9" t="s">
        <v>672</v>
      </c>
      <c r="H228" s="9" t="s">
        <v>673</v>
      </c>
      <c r="I228" s="10">
        <v>45537</v>
      </c>
    </row>
    <row r="229" spans="1:9" x14ac:dyDescent="0.15">
      <c r="A229" s="9">
        <v>228</v>
      </c>
      <c r="B229" s="9" t="s">
        <v>9</v>
      </c>
      <c r="C229" s="9">
        <v>1917</v>
      </c>
      <c r="D229" s="10">
        <v>45653</v>
      </c>
      <c r="E229" s="9" t="str">
        <f>+HYPERLINK("http://trademark.i-assist.jp/data/china/image_1917th/80684892.pdf","80684892")</f>
        <v>80684892</v>
      </c>
      <c r="F229" s="9" t="s">
        <v>674</v>
      </c>
      <c r="G229" s="9" t="s">
        <v>675</v>
      </c>
      <c r="H229" s="9" t="s">
        <v>676</v>
      </c>
      <c r="I229" s="10">
        <v>45537</v>
      </c>
    </row>
    <row r="230" spans="1:9" x14ac:dyDescent="0.15">
      <c r="A230" s="9">
        <v>229</v>
      </c>
      <c r="B230" s="9" t="s">
        <v>9</v>
      </c>
      <c r="C230" s="9">
        <v>1917</v>
      </c>
      <c r="D230" s="10">
        <v>45653</v>
      </c>
      <c r="E230" s="9" t="str">
        <f>+HYPERLINK("http://trademark.i-assist.jp/data/china/image_1917th/80686742.pdf","80686742")</f>
        <v>80686742</v>
      </c>
      <c r="F230" s="9" t="s">
        <v>677</v>
      </c>
      <c r="G230" s="9" t="s">
        <v>678</v>
      </c>
      <c r="H230" s="9" t="s">
        <v>679</v>
      </c>
      <c r="I230" s="10">
        <v>45537</v>
      </c>
    </row>
    <row r="231" spans="1:9" x14ac:dyDescent="0.15">
      <c r="A231" s="9">
        <v>230</v>
      </c>
      <c r="B231" s="9" t="s">
        <v>9</v>
      </c>
      <c r="C231" s="9">
        <v>1917</v>
      </c>
      <c r="D231" s="10">
        <v>45653</v>
      </c>
      <c r="E231" s="9" t="str">
        <f>+HYPERLINK("http://trademark.i-assist.jp/data/china/image_1917th/80690623.pdf","80690623")</f>
        <v>80690623</v>
      </c>
      <c r="F231" s="9" t="s">
        <v>680</v>
      </c>
      <c r="G231" s="9" t="s">
        <v>681</v>
      </c>
      <c r="H231" s="9" t="s">
        <v>682</v>
      </c>
      <c r="I231" s="10">
        <v>45537</v>
      </c>
    </row>
    <row r="232" spans="1:9" x14ac:dyDescent="0.15">
      <c r="A232" s="9">
        <v>231</v>
      </c>
      <c r="B232" s="9" t="s">
        <v>9</v>
      </c>
      <c r="C232" s="9">
        <v>1917</v>
      </c>
      <c r="D232" s="10">
        <v>45653</v>
      </c>
      <c r="E232" s="9" t="str">
        <f>+HYPERLINK("http://trademark.i-assist.jp/data/china/image_1917th/80690731.pdf","80690731")</f>
        <v>80690731</v>
      </c>
      <c r="F232" s="9" t="s">
        <v>683</v>
      </c>
      <c r="G232" s="9" t="s">
        <v>684</v>
      </c>
      <c r="H232" s="9" t="s">
        <v>685</v>
      </c>
      <c r="I232" s="10">
        <v>45537</v>
      </c>
    </row>
    <row r="233" spans="1:9" x14ac:dyDescent="0.15">
      <c r="A233" s="9">
        <v>232</v>
      </c>
      <c r="B233" s="9" t="s">
        <v>9</v>
      </c>
      <c r="C233" s="9">
        <v>1917</v>
      </c>
      <c r="D233" s="10">
        <v>45653</v>
      </c>
      <c r="E233" s="9" t="str">
        <f>+HYPERLINK("http://trademark.i-assist.jp/data/china/image_1917th/80692546.pdf","80692546")</f>
        <v>80692546</v>
      </c>
      <c r="F233" s="12" t="s">
        <v>12</v>
      </c>
      <c r="G233" s="9" t="s">
        <v>686</v>
      </c>
      <c r="H233" s="9" t="s">
        <v>687</v>
      </c>
      <c r="I233" s="10">
        <v>45537</v>
      </c>
    </row>
    <row r="234" spans="1:9" x14ac:dyDescent="0.15">
      <c r="A234" s="9">
        <v>233</v>
      </c>
      <c r="B234" s="9" t="s">
        <v>9</v>
      </c>
      <c r="C234" s="9">
        <v>1917</v>
      </c>
      <c r="D234" s="10">
        <v>45653</v>
      </c>
      <c r="E234" s="9" t="str">
        <f>+HYPERLINK("http://trademark.i-assist.jp/data/china/image_1917th/80692553.pdf","80692553")</f>
        <v>80692553</v>
      </c>
      <c r="F234" s="9" t="s">
        <v>688</v>
      </c>
      <c r="G234" s="12" t="s">
        <v>689</v>
      </c>
      <c r="H234" s="9" t="s">
        <v>690</v>
      </c>
      <c r="I234" s="10">
        <v>45537</v>
      </c>
    </row>
    <row r="235" spans="1:9" x14ac:dyDescent="0.15">
      <c r="A235" s="9">
        <v>234</v>
      </c>
      <c r="B235" s="9" t="s">
        <v>9</v>
      </c>
      <c r="C235" s="9">
        <v>1917</v>
      </c>
      <c r="D235" s="10">
        <v>45653</v>
      </c>
      <c r="E235" s="9" t="str">
        <f>+HYPERLINK("http://trademark.i-assist.jp/data/china/image_1917th/80693368.pdf","80693368")</f>
        <v>80693368</v>
      </c>
      <c r="F235" s="12" t="s">
        <v>691</v>
      </c>
      <c r="G235" s="9" t="s">
        <v>692</v>
      </c>
      <c r="H235" s="9" t="s">
        <v>11</v>
      </c>
      <c r="I235" s="10">
        <v>45537</v>
      </c>
    </row>
    <row r="236" spans="1:9" x14ac:dyDescent="0.15">
      <c r="A236" s="9">
        <v>235</v>
      </c>
      <c r="B236" s="9" t="s">
        <v>9</v>
      </c>
      <c r="C236" s="9">
        <v>1917</v>
      </c>
      <c r="D236" s="10">
        <v>45653</v>
      </c>
      <c r="E236" s="9" t="str">
        <f>+HYPERLINK("http://trademark.i-assist.jp/data/china/image_1917th/80697046.pdf","80697046")</f>
        <v>80697046</v>
      </c>
      <c r="F236" s="9" t="s">
        <v>693</v>
      </c>
      <c r="G236" s="9" t="s">
        <v>694</v>
      </c>
      <c r="H236" s="9" t="s">
        <v>695</v>
      </c>
      <c r="I236" s="10">
        <v>45537</v>
      </c>
    </row>
    <row r="237" spans="1:9" x14ac:dyDescent="0.15">
      <c r="A237" s="9">
        <v>236</v>
      </c>
      <c r="B237" s="9" t="s">
        <v>9</v>
      </c>
      <c r="C237" s="9">
        <v>1917</v>
      </c>
      <c r="D237" s="10">
        <v>45653</v>
      </c>
      <c r="E237" s="9" t="str">
        <f>+HYPERLINK("http://trademark.i-assist.jp/data/china/image_1917th/80698034.pdf","80698034")</f>
        <v>80698034</v>
      </c>
      <c r="F237" s="9" t="s">
        <v>696</v>
      </c>
      <c r="G237" s="9" t="s">
        <v>697</v>
      </c>
      <c r="H237" s="9" t="s">
        <v>698</v>
      </c>
      <c r="I237" s="10">
        <v>45537</v>
      </c>
    </row>
    <row r="238" spans="1:9" x14ac:dyDescent="0.15">
      <c r="A238" s="9">
        <v>237</v>
      </c>
      <c r="B238" s="9" t="s">
        <v>9</v>
      </c>
      <c r="C238" s="9">
        <v>1917</v>
      </c>
      <c r="D238" s="10">
        <v>45653</v>
      </c>
      <c r="E238" s="9" t="str">
        <f>+HYPERLINK("http://trademark.i-assist.jp/data/china/image_1917th/80700391.pdf","80700391")</f>
        <v>80700391</v>
      </c>
      <c r="F238" s="9" t="s">
        <v>699</v>
      </c>
      <c r="G238" s="9" t="s">
        <v>700</v>
      </c>
      <c r="H238" s="9" t="s">
        <v>701</v>
      </c>
      <c r="I238" s="10">
        <v>45537</v>
      </c>
    </row>
    <row r="239" spans="1:9" x14ac:dyDescent="0.15">
      <c r="A239" s="9">
        <v>238</v>
      </c>
      <c r="B239" s="9" t="s">
        <v>9</v>
      </c>
      <c r="C239" s="9">
        <v>1917</v>
      </c>
      <c r="D239" s="10">
        <v>45653</v>
      </c>
      <c r="E239" s="9" t="str">
        <f>+HYPERLINK("http://trademark.i-assist.jp/data/china/image_1917th/80703031.pdf","80703031")</f>
        <v>80703031</v>
      </c>
      <c r="F239" s="9" t="s">
        <v>702</v>
      </c>
      <c r="G239" s="9" t="s">
        <v>703</v>
      </c>
      <c r="H239" s="9" t="s">
        <v>704</v>
      </c>
      <c r="I239" s="10">
        <v>45537</v>
      </c>
    </row>
    <row r="240" spans="1:9" x14ac:dyDescent="0.15">
      <c r="A240" s="9">
        <v>239</v>
      </c>
      <c r="B240" s="9" t="s">
        <v>9</v>
      </c>
      <c r="C240" s="9">
        <v>1917</v>
      </c>
      <c r="D240" s="10">
        <v>45653</v>
      </c>
      <c r="E240" s="9" t="str">
        <f>+HYPERLINK("http://trademark.i-assist.jp/data/china/image_1917th/80705021.pdf","80705021")</f>
        <v>80705021</v>
      </c>
      <c r="F240" s="9" t="s">
        <v>705</v>
      </c>
      <c r="G240" s="9" t="s">
        <v>706</v>
      </c>
      <c r="H240" s="12" t="s">
        <v>707</v>
      </c>
      <c r="I240" s="10">
        <v>45537</v>
      </c>
    </row>
    <row r="241" spans="1:9" x14ac:dyDescent="0.15">
      <c r="A241" s="9">
        <v>240</v>
      </c>
      <c r="B241" s="9" t="s">
        <v>9</v>
      </c>
      <c r="C241" s="9">
        <v>1917</v>
      </c>
      <c r="D241" s="10">
        <v>45653</v>
      </c>
      <c r="E241" s="9" t="str">
        <f>+HYPERLINK("http://trademark.i-assist.jp/data/china/image_1917th/80705404.pdf","80705404")</f>
        <v>80705404</v>
      </c>
      <c r="F241" s="9" t="s">
        <v>708</v>
      </c>
      <c r="G241" s="9" t="s">
        <v>709</v>
      </c>
      <c r="H241" s="9" t="s">
        <v>710</v>
      </c>
      <c r="I241" s="10">
        <v>45537</v>
      </c>
    </row>
    <row r="242" spans="1:9" x14ac:dyDescent="0.15">
      <c r="A242" s="9">
        <v>241</v>
      </c>
      <c r="B242" s="9" t="s">
        <v>9</v>
      </c>
      <c r="C242" s="9">
        <v>1917</v>
      </c>
      <c r="D242" s="10">
        <v>45653</v>
      </c>
      <c r="E242" s="9" t="str">
        <f>+HYPERLINK("http://trademark.i-assist.jp/data/china/image_1917th/80705582.pdf","80705582")</f>
        <v>80705582</v>
      </c>
      <c r="F242" s="9" t="s">
        <v>711</v>
      </c>
      <c r="G242" s="12" t="s">
        <v>712</v>
      </c>
      <c r="H242" s="9" t="s">
        <v>11</v>
      </c>
      <c r="I242" s="10">
        <v>45537</v>
      </c>
    </row>
    <row r="243" spans="1:9" x14ac:dyDescent="0.15">
      <c r="A243" s="9">
        <v>242</v>
      </c>
      <c r="B243" s="9" t="s">
        <v>9</v>
      </c>
      <c r="C243" s="9">
        <v>1917</v>
      </c>
      <c r="D243" s="10">
        <v>45653</v>
      </c>
      <c r="E243" s="9" t="str">
        <f>+HYPERLINK("http://trademark.i-assist.jp/data/china/image_1917th/80706659.pdf","80706659")</f>
        <v>80706659</v>
      </c>
      <c r="F243" s="12" t="s">
        <v>713</v>
      </c>
      <c r="G243" s="9" t="s">
        <v>714</v>
      </c>
      <c r="H243" s="9" t="s">
        <v>715</v>
      </c>
      <c r="I243" s="10">
        <v>45538</v>
      </c>
    </row>
    <row r="244" spans="1:9" x14ac:dyDescent="0.15">
      <c r="A244" s="9">
        <v>243</v>
      </c>
      <c r="B244" s="9" t="s">
        <v>9</v>
      </c>
      <c r="C244" s="9">
        <v>1917</v>
      </c>
      <c r="D244" s="10">
        <v>45653</v>
      </c>
      <c r="E244" s="9" t="str">
        <f>+HYPERLINK("http://trademark.i-assist.jp/data/china/image_1917th/80709723.pdf","80709723")</f>
        <v>80709723</v>
      </c>
      <c r="F244" s="9" t="s">
        <v>716</v>
      </c>
      <c r="G244" s="9" t="s">
        <v>717</v>
      </c>
      <c r="H244" s="12" t="s">
        <v>718</v>
      </c>
      <c r="I244" s="10">
        <v>45538</v>
      </c>
    </row>
    <row r="245" spans="1:9" x14ac:dyDescent="0.15">
      <c r="A245" s="9">
        <v>244</v>
      </c>
      <c r="B245" s="9" t="s">
        <v>9</v>
      </c>
      <c r="C245" s="9">
        <v>1917</v>
      </c>
      <c r="D245" s="10">
        <v>45653</v>
      </c>
      <c r="E245" s="9" t="str">
        <f>+HYPERLINK("http://trademark.i-assist.jp/data/china/image_1917th/80712404.pdf","80712404")</f>
        <v>80712404</v>
      </c>
      <c r="F245" s="9" t="s">
        <v>719</v>
      </c>
      <c r="G245" s="9" t="s">
        <v>720</v>
      </c>
      <c r="H245" s="9" t="s">
        <v>721</v>
      </c>
      <c r="I245" s="10">
        <v>45538</v>
      </c>
    </row>
    <row r="246" spans="1:9" x14ac:dyDescent="0.15">
      <c r="A246" s="9">
        <v>245</v>
      </c>
      <c r="B246" s="9" t="s">
        <v>9</v>
      </c>
      <c r="C246" s="9">
        <v>1917</v>
      </c>
      <c r="D246" s="10">
        <v>45653</v>
      </c>
      <c r="E246" s="9" t="str">
        <f>+HYPERLINK("http://trademark.i-assist.jp/data/china/image_1917th/80713149.pdf","80713149")</f>
        <v>80713149</v>
      </c>
      <c r="F246" s="9" t="s">
        <v>722</v>
      </c>
      <c r="G246" s="9" t="s">
        <v>714</v>
      </c>
      <c r="H246" s="9" t="s">
        <v>723</v>
      </c>
      <c r="I246" s="10">
        <v>45538</v>
      </c>
    </row>
    <row r="247" spans="1:9" x14ac:dyDescent="0.15">
      <c r="A247" s="9">
        <v>246</v>
      </c>
      <c r="B247" s="9" t="s">
        <v>9</v>
      </c>
      <c r="C247" s="9">
        <v>1917</v>
      </c>
      <c r="D247" s="10">
        <v>45653</v>
      </c>
      <c r="E247" s="9" t="str">
        <f>+HYPERLINK("http://trademark.i-assist.jp/data/china/image_1917th/80713759.pdf","80713759")</f>
        <v>80713759</v>
      </c>
      <c r="F247" s="12" t="s">
        <v>724</v>
      </c>
      <c r="G247" s="12" t="s">
        <v>725</v>
      </c>
      <c r="H247" s="9" t="s">
        <v>726</v>
      </c>
      <c r="I247" s="10">
        <v>45538</v>
      </c>
    </row>
    <row r="248" spans="1:9" x14ac:dyDescent="0.15">
      <c r="A248" s="9">
        <v>247</v>
      </c>
      <c r="B248" s="9" t="s">
        <v>9</v>
      </c>
      <c r="C248" s="9">
        <v>1917</v>
      </c>
      <c r="D248" s="10">
        <v>45653</v>
      </c>
      <c r="E248" s="9" t="str">
        <f>+HYPERLINK("http://trademark.i-assist.jp/data/china/image_1917th/80715839.pdf","80715839")</f>
        <v>80715839</v>
      </c>
      <c r="F248" s="9" t="s">
        <v>727</v>
      </c>
      <c r="G248" s="9" t="s">
        <v>728</v>
      </c>
      <c r="H248" s="9" t="s">
        <v>729</v>
      </c>
      <c r="I248" s="10">
        <v>45538</v>
      </c>
    </row>
    <row r="249" spans="1:9" x14ac:dyDescent="0.15">
      <c r="A249" s="9">
        <v>248</v>
      </c>
      <c r="B249" s="9" t="s">
        <v>9</v>
      </c>
      <c r="C249" s="9">
        <v>1917</v>
      </c>
      <c r="D249" s="10">
        <v>45653</v>
      </c>
      <c r="E249" s="9" t="str">
        <f>+HYPERLINK("http://trademark.i-assist.jp/data/china/image_1917th/80723085.pdf","80723085")</f>
        <v>80723085</v>
      </c>
      <c r="F249" s="9" t="s">
        <v>730</v>
      </c>
      <c r="G249" s="12" t="s">
        <v>731</v>
      </c>
      <c r="H249" s="9" t="s">
        <v>732</v>
      </c>
      <c r="I249" s="10">
        <v>45538</v>
      </c>
    </row>
    <row r="250" spans="1:9" x14ac:dyDescent="0.15">
      <c r="A250" s="9">
        <v>249</v>
      </c>
      <c r="B250" s="9" t="s">
        <v>9</v>
      </c>
      <c r="C250" s="9">
        <v>1917</v>
      </c>
      <c r="D250" s="10">
        <v>45653</v>
      </c>
      <c r="E250" s="9" t="str">
        <f>+HYPERLINK("http://trademark.i-assist.jp/data/china/image_1917th/80727857.pdf","80727857")</f>
        <v>80727857</v>
      </c>
      <c r="F250" s="12" t="s">
        <v>733</v>
      </c>
      <c r="G250" s="9" t="s">
        <v>734</v>
      </c>
      <c r="H250" s="9" t="s">
        <v>735</v>
      </c>
      <c r="I250" s="10">
        <v>45538</v>
      </c>
    </row>
    <row r="251" spans="1:9" x14ac:dyDescent="0.15">
      <c r="A251" s="9">
        <v>250</v>
      </c>
      <c r="B251" s="9" t="s">
        <v>9</v>
      </c>
      <c r="C251" s="9">
        <v>1917</v>
      </c>
      <c r="D251" s="10">
        <v>45653</v>
      </c>
      <c r="E251" s="9" t="str">
        <f>+HYPERLINK("http://trademark.i-assist.jp/data/china/image_1917th/80729988.pdf","80729988")</f>
        <v>80729988</v>
      </c>
      <c r="F251" s="9" t="s">
        <v>736</v>
      </c>
      <c r="G251" s="9" t="s">
        <v>737</v>
      </c>
      <c r="H251" s="9" t="s">
        <v>738</v>
      </c>
      <c r="I251" s="10">
        <v>45539</v>
      </c>
    </row>
    <row r="252" spans="1:9" x14ac:dyDescent="0.15">
      <c r="A252" s="9">
        <v>251</v>
      </c>
      <c r="B252" s="9" t="s">
        <v>9</v>
      </c>
      <c r="C252" s="9">
        <v>1917</v>
      </c>
      <c r="D252" s="10">
        <v>45653</v>
      </c>
      <c r="E252" s="9" t="str">
        <f>+HYPERLINK("http://trademark.i-assist.jp/data/china/image_1917th/80730505.pdf","80730505")</f>
        <v>80730505</v>
      </c>
      <c r="F252" s="9" t="s">
        <v>739</v>
      </c>
      <c r="G252" s="9" t="s">
        <v>740</v>
      </c>
      <c r="H252" s="9" t="s">
        <v>741</v>
      </c>
      <c r="I252" s="10">
        <v>45539</v>
      </c>
    </row>
    <row r="253" spans="1:9" x14ac:dyDescent="0.15">
      <c r="A253" s="9">
        <v>252</v>
      </c>
      <c r="B253" s="9" t="s">
        <v>9</v>
      </c>
      <c r="C253" s="9">
        <v>1917</v>
      </c>
      <c r="D253" s="10">
        <v>45653</v>
      </c>
      <c r="E253" s="9" t="str">
        <f>+HYPERLINK("http://trademark.i-assist.jp/data/china/image_1917th/80731491.pdf","80731491")</f>
        <v>80731491</v>
      </c>
      <c r="F253" s="9" t="s">
        <v>742</v>
      </c>
      <c r="G253" s="9" t="s">
        <v>319</v>
      </c>
      <c r="H253" s="9" t="s">
        <v>743</v>
      </c>
      <c r="I253" s="10">
        <v>45539</v>
      </c>
    </row>
    <row r="254" spans="1:9" x14ac:dyDescent="0.15">
      <c r="A254" s="9">
        <v>253</v>
      </c>
      <c r="B254" s="9" t="s">
        <v>9</v>
      </c>
      <c r="C254" s="9">
        <v>1917</v>
      </c>
      <c r="D254" s="10">
        <v>45653</v>
      </c>
      <c r="E254" s="9" t="str">
        <f>+HYPERLINK("http://trademark.i-assist.jp/data/china/image_1917th/80732110.pdf","80732110")</f>
        <v>80732110</v>
      </c>
      <c r="F254" s="9" t="s">
        <v>744</v>
      </c>
      <c r="G254" s="9" t="s">
        <v>18</v>
      </c>
      <c r="H254" s="9" t="s">
        <v>745</v>
      </c>
      <c r="I254" s="10">
        <v>45539</v>
      </c>
    </row>
    <row r="255" spans="1:9" x14ac:dyDescent="0.15">
      <c r="A255" s="9">
        <v>254</v>
      </c>
      <c r="B255" s="9" t="s">
        <v>9</v>
      </c>
      <c r="C255" s="9">
        <v>1917</v>
      </c>
      <c r="D255" s="10">
        <v>45653</v>
      </c>
      <c r="E255" s="9" t="str">
        <f>+HYPERLINK("http://trademark.i-assist.jp/data/china/image_1917th/80734575.pdf","80734575")</f>
        <v>80734575</v>
      </c>
      <c r="F255" s="9" t="s">
        <v>746</v>
      </c>
      <c r="G255" s="9" t="s">
        <v>319</v>
      </c>
      <c r="H255" s="9" t="s">
        <v>747</v>
      </c>
      <c r="I255" s="10">
        <v>45539</v>
      </c>
    </row>
    <row r="256" spans="1:9" x14ac:dyDescent="0.15">
      <c r="A256" s="9">
        <v>255</v>
      </c>
      <c r="B256" s="9" t="s">
        <v>9</v>
      </c>
      <c r="C256" s="9">
        <v>1917</v>
      </c>
      <c r="D256" s="10">
        <v>45653</v>
      </c>
      <c r="E256" s="9" t="str">
        <f>+HYPERLINK("http://trademark.i-assist.jp/data/china/image_1917th/80737341.pdf","80737341")</f>
        <v>80737341</v>
      </c>
      <c r="F256" s="9" t="s">
        <v>748</v>
      </c>
      <c r="G256" s="9" t="s">
        <v>50</v>
      </c>
      <c r="H256" s="9" t="s">
        <v>749</v>
      </c>
      <c r="I256" s="10">
        <v>45539</v>
      </c>
    </row>
    <row r="257" spans="1:9" x14ac:dyDescent="0.15">
      <c r="A257" s="9">
        <v>256</v>
      </c>
      <c r="B257" s="9" t="s">
        <v>9</v>
      </c>
      <c r="C257" s="9">
        <v>1917</v>
      </c>
      <c r="D257" s="10">
        <v>45653</v>
      </c>
      <c r="E257" s="9" t="str">
        <f>+HYPERLINK("http://trademark.i-assist.jp/data/china/image_1917th/80737867.pdf","80737867")</f>
        <v>80737867</v>
      </c>
      <c r="F257" s="9" t="s">
        <v>742</v>
      </c>
      <c r="G257" s="9" t="s">
        <v>319</v>
      </c>
      <c r="H257" s="9" t="s">
        <v>750</v>
      </c>
      <c r="I257" s="10">
        <v>45539</v>
      </c>
    </row>
    <row r="258" spans="1:9" x14ac:dyDescent="0.15">
      <c r="A258" s="9">
        <v>257</v>
      </c>
      <c r="B258" s="9" t="s">
        <v>9</v>
      </c>
      <c r="C258" s="9">
        <v>1917</v>
      </c>
      <c r="D258" s="10">
        <v>45653</v>
      </c>
      <c r="E258" s="9" t="str">
        <f>+HYPERLINK("http://trademark.i-assist.jp/data/china/image_1917th/80737876.pdf","80737876")</f>
        <v>80737876</v>
      </c>
      <c r="F258" s="9" t="s">
        <v>751</v>
      </c>
      <c r="G258" s="12" t="s">
        <v>752</v>
      </c>
      <c r="H258" s="9" t="s">
        <v>753</v>
      </c>
      <c r="I258" s="10">
        <v>45539</v>
      </c>
    </row>
    <row r="259" spans="1:9" x14ac:dyDescent="0.15">
      <c r="A259" s="9">
        <v>258</v>
      </c>
      <c r="B259" s="9" t="s">
        <v>9</v>
      </c>
      <c r="C259" s="9">
        <v>1917</v>
      </c>
      <c r="D259" s="10">
        <v>45653</v>
      </c>
      <c r="E259" s="9" t="str">
        <f>+HYPERLINK("http://trademark.i-assist.jp/data/china/image_1917th/80744664.pdf","80744664")</f>
        <v>80744664</v>
      </c>
      <c r="F259" s="9" t="s">
        <v>754</v>
      </c>
      <c r="G259" s="9" t="s">
        <v>755</v>
      </c>
      <c r="H259" s="9" t="s">
        <v>756</v>
      </c>
      <c r="I259" s="10">
        <v>45539</v>
      </c>
    </row>
    <row r="260" spans="1:9" x14ac:dyDescent="0.15">
      <c r="A260" s="9">
        <v>259</v>
      </c>
      <c r="B260" s="9" t="s">
        <v>9</v>
      </c>
      <c r="C260" s="9">
        <v>1917</v>
      </c>
      <c r="D260" s="10">
        <v>45653</v>
      </c>
      <c r="E260" s="9" t="str">
        <f>+HYPERLINK("http://trademark.i-assist.jp/data/china/image_1917th/80747771.pdf","80747771")</f>
        <v>80747771</v>
      </c>
      <c r="F260" s="9" t="s">
        <v>757</v>
      </c>
      <c r="G260" s="12" t="s">
        <v>758</v>
      </c>
      <c r="H260" s="9" t="s">
        <v>759</v>
      </c>
      <c r="I260" s="10">
        <v>45539</v>
      </c>
    </row>
    <row r="261" spans="1:9" x14ac:dyDescent="0.15">
      <c r="A261" s="9">
        <v>260</v>
      </c>
      <c r="B261" s="9" t="s">
        <v>9</v>
      </c>
      <c r="C261" s="9">
        <v>1917</v>
      </c>
      <c r="D261" s="10">
        <v>45653</v>
      </c>
      <c r="E261" s="9" t="str">
        <f>+HYPERLINK("http://trademark.i-assist.jp/data/china/image_1917th/80751483.pdf","80751483")</f>
        <v>80751483</v>
      </c>
      <c r="F261" s="12" t="s">
        <v>760</v>
      </c>
      <c r="G261" s="9" t="s">
        <v>761</v>
      </c>
      <c r="H261" s="9" t="s">
        <v>762</v>
      </c>
      <c r="I261" s="10">
        <v>45539</v>
      </c>
    </row>
    <row r="262" spans="1:9" x14ac:dyDescent="0.15">
      <c r="A262" s="9">
        <v>261</v>
      </c>
      <c r="B262" s="9" t="s">
        <v>9</v>
      </c>
      <c r="C262" s="9">
        <v>1917</v>
      </c>
      <c r="D262" s="10">
        <v>45653</v>
      </c>
      <c r="E262" s="9" t="str">
        <f>+HYPERLINK("http://trademark.i-assist.jp/data/china/image_1917th/80752092.pdf","80752092")</f>
        <v>80752092</v>
      </c>
      <c r="F262" s="12" t="s">
        <v>12</v>
      </c>
      <c r="G262" s="9" t="s">
        <v>763</v>
      </c>
      <c r="H262" s="9" t="s">
        <v>764</v>
      </c>
      <c r="I262" s="10">
        <v>45539</v>
      </c>
    </row>
    <row r="263" spans="1:9" x14ac:dyDescent="0.15">
      <c r="A263" s="9">
        <v>262</v>
      </c>
      <c r="B263" s="9" t="s">
        <v>9</v>
      </c>
      <c r="C263" s="9">
        <v>1917</v>
      </c>
      <c r="D263" s="10">
        <v>45653</v>
      </c>
      <c r="E263" s="9" t="str">
        <f>+HYPERLINK("http://trademark.i-assist.jp/data/china/image_1917th/80753245.pdf","80753245")</f>
        <v>80753245</v>
      </c>
      <c r="F263" s="9" t="s">
        <v>746</v>
      </c>
      <c r="G263" s="9" t="s">
        <v>319</v>
      </c>
      <c r="H263" s="9" t="s">
        <v>765</v>
      </c>
      <c r="I263" s="10">
        <v>45539</v>
      </c>
    </row>
    <row r="264" spans="1:9" x14ac:dyDescent="0.15">
      <c r="A264" s="9">
        <v>263</v>
      </c>
      <c r="B264" s="9" t="s">
        <v>9</v>
      </c>
      <c r="C264" s="9">
        <v>1917</v>
      </c>
      <c r="D264" s="10">
        <v>45653</v>
      </c>
      <c r="E264" s="9" t="str">
        <f>+HYPERLINK("http://trademark.i-assist.jp/data/china/image_1917th/80753414.pdf","80753414")</f>
        <v>80753414</v>
      </c>
      <c r="F264" s="9" t="s">
        <v>766</v>
      </c>
      <c r="G264" s="9" t="s">
        <v>767</v>
      </c>
      <c r="H264" s="9" t="s">
        <v>768</v>
      </c>
      <c r="I264" s="10">
        <v>45539</v>
      </c>
    </row>
    <row r="265" spans="1:9" x14ac:dyDescent="0.15">
      <c r="A265" s="9">
        <v>264</v>
      </c>
      <c r="B265" s="9" t="s">
        <v>9</v>
      </c>
      <c r="C265" s="9">
        <v>1917</v>
      </c>
      <c r="D265" s="10">
        <v>45653</v>
      </c>
      <c r="E265" s="9" t="str">
        <f>+HYPERLINK("http://trademark.i-assist.jp/data/china/image_1917th/80757865.pdf","80757865")</f>
        <v>80757865</v>
      </c>
      <c r="F265" s="9" t="s">
        <v>769</v>
      </c>
      <c r="G265" s="9" t="s">
        <v>770</v>
      </c>
      <c r="H265" s="9" t="s">
        <v>771</v>
      </c>
      <c r="I265" s="10">
        <v>45540</v>
      </c>
    </row>
    <row r="266" spans="1:9" x14ac:dyDescent="0.15">
      <c r="A266" s="9">
        <v>265</v>
      </c>
      <c r="B266" s="9" t="s">
        <v>9</v>
      </c>
      <c r="C266" s="9">
        <v>1917</v>
      </c>
      <c r="D266" s="10">
        <v>45653</v>
      </c>
      <c r="E266" s="9" t="str">
        <f>+HYPERLINK("http://trademark.i-assist.jp/data/china/image_1917th/80761296.pdf","80761296")</f>
        <v>80761296</v>
      </c>
      <c r="F266" s="9" t="s">
        <v>772</v>
      </c>
      <c r="G266" s="9" t="s">
        <v>773</v>
      </c>
      <c r="H266" s="9" t="s">
        <v>774</v>
      </c>
      <c r="I266" s="10">
        <v>45540</v>
      </c>
    </row>
    <row r="267" spans="1:9" x14ac:dyDescent="0.15">
      <c r="A267" s="9">
        <v>266</v>
      </c>
      <c r="B267" s="9" t="s">
        <v>9</v>
      </c>
      <c r="C267" s="9">
        <v>1917</v>
      </c>
      <c r="D267" s="10">
        <v>45653</v>
      </c>
      <c r="E267" s="9" t="str">
        <f>+HYPERLINK("http://trademark.i-assist.jp/data/china/image_1917th/80772078.pdf","80772078")</f>
        <v>80772078</v>
      </c>
      <c r="F267" s="9" t="s">
        <v>775</v>
      </c>
      <c r="G267" s="9" t="s">
        <v>776</v>
      </c>
      <c r="H267" s="9" t="s">
        <v>777</v>
      </c>
      <c r="I267" s="10">
        <v>45540</v>
      </c>
    </row>
    <row r="268" spans="1:9" x14ac:dyDescent="0.15">
      <c r="A268" s="9">
        <v>267</v>
      </c>
      <c r="B268" s="9" t="s">
        <v>9</v>
      </c>
      <c r="C268" s="9">
        <v>1917</v>
      </c>
      <c r="D268" s="10">
        <v>45653</v>
      </c>
      <c r="E268" s="9" t="str">
        <f>+HYPERLINK("http://trademark.i-assist.jp/data/china/image_1917th/80773857.pdf","80773857")</f>
        <v>80773857</v>
      </c>
      <c r="F268" s="9" t="s">
        <v>778</v>
      </c>
      <c r="G268" s="9" t="s">
        <v>779</v>
      </c>
      <c r="H268" s="9" t="s">
        <v>780</v>
      </c>
      <c r="I268" s="10">
        <v>45540</v>
      </c>
    </row>
    <row r="269" spans="1:9" x14ac:dyDescent="0.15">
      <c r="A269" s="9">
        <v>268</v>
      </c>
      <c r="B269" s="9" t="s">
        <v>9</v>
      </c>
      <c r="C269" s="9">
        <v>1917</v>
      </c>
      <c r="D269" s="10">
        <v>45653</v>
      </c>
      <c r="E269" s="9" t="str">
        <f>+HYPERLINK("http://trademark.i-assist.jp/data/china/image_1917th/80775153.pdf","80775153")</f>
        <v>80775153</v>
      </c>
      <c r="F269" s="9" t="s">
        <v>781</v>
      </c>
      <c r="G269" s="9" t="s">
        <v>782</v>
      </c>
      <c r="H269" s="9" t="s">
        <v>783</v>
      </c>
      <c r="I269" s="10">
        <v>45540</v>
      </c>
    </row>
    <row r="270" spans="1:9" x14ac:dyDescent="0.15">
      <c r="A270" s="9">
        <v>269</v>
      </c>
      <c r="B270" s="9" t="s">
        <v>9</v>
      </c>
      <c r="C270" s="9">
        <v>1917</v>
      </c>
      <c r="D270" s="10">
        <v>45653</v>
      </c>
      <c r="E270" s="9" t="str">
        <f>+HYPERLINK("http://trademark.i-assist.jp/data/china/image_1917th/80778298.pdf","80778298")</f>
        <v>80778298</v>
      </c>
      <c r="F270" s="9" t="s">
        <v>784</v>
      </c>
      <c r="G270" s="9" t="s">
        <v>785</v>
      </c>
      <c r="H270" s="9" t="s">
        <v>786</v>
      </c>
      <c r="I270" s="10">
        <v>45541</v>
      </c>
    </row>
    <row r="271" spans="1:9" x14ac:dyDescent="0.15">
      <c r="A271" s="9">
        <v>270</v>
      </c>
      <c r="B271" s="9" t="s">
        <v>9</v>
      </c>
      <c r="C271" s="9">
        <v>1917</v>
      </c>
      <c r="D271" s="10">
        <v>45653</v>
      </c>
      <c r="E271" s="9" t="str">
        <f>+HYPERLINK("http://trademark.i-assist.jp/data/china/image_1917th/80779306.pdf","80779306")</f>
        <v>80779306</v>
      </c>
      <c r="F271" s="12" t="s">
        <v>787</v>
      </c>
      <c r="G271" s="12" t="s">
        <v>788</v>
      </c>
      <c r="H271" s="9" t="s">
        <v>789</v>
      </c>
      <c r="I271" s="10">
        <v>45541</v>
      </c>
    </row>
    <row r="272" spans="1:9" x14ac:dyDescent="0.15">
      <c r="A272" s="9">
        <v>271</v>
      </c>
      <c r="B272" s="9" t="s">
        <v>9</v>
      </c>
      <c r="C272" s="9">
        <v>1917</v>
      </c>
      <c r="D272" s="10">
        <v>45653</v>
      </c>
      <c r="E272" s="9" t="str">
        <f>+HYPERLINK("http://trademark.i-assist.jp/data/china/image_1917th/80780186.pdf","80780186")</f>
        <v>80780186</v>
      </c>
      <c r="F272" s="9" t="s">
        <v>790</v>
      </c>
      <c r="G272" s="12" t="s">
        <v>16</v>
      </c>
      <c r="H272" s="9" t="s">
        <v>791</v>
      </c>
      <c r="I272" s="10">
        <v>45541</v>
      </c>
    </row>
    <row r="273" spans="1:9" x14ac:dyDescent="0.15">
      <c r="A273" s="9">
        <v>272</v>
      </c>
      <c r="B273" s="9" t="s">
        <v>9</v>
      </c>
      <c r="C273" s="9">
        <v>1917</v>
      </c>
      <c r="D273" s="10">
        <v>45653</v>
      </c>
      <c r="E273" s="9" t="str">
        <f>+HYPERLINK("http://trademark.i-assist.jp/data/china/image_1917th/80785601.pdf","80785601")</f>
        <v>80785601</v>
      </c>
      <c r="F273" s="9" t="s">
        <v>792</v>
      </c>
      <c r="G273" s="9" t="s">
        <v>793</v>
      </c>
      <c r="H273" s="9" t="s">
        <v>794</v>
      </c>
      <c r="I273" s="10">
        <v>45541</v>
      </c>
    </row>
    <row r="274" spans="1:9" x14ac:dyDescent="0.15">
      <c r="A274" s="9">
        <v>273</v>
      </c>
      <c r="B274" s="9" t="s">
        <v>9</v>
      </c>
      <c r="C274" s="9">
        <v>1917</v>
      </c>
      <c r="D274" s="10">
        <v>45653</v>
      </c>
      <c r="E274" s="9" t="str">
        <f>+HYPERLINK("http://trademark.i-assist.jp/data/china/image_1917th/80785645.pdf","80785645")</f>
        <v>80785645</v>
      </c>
      <c r="F274" s="9" t="s">
        <v>795</v>
      </c>
      <c r="G274" s="9" t="s">
        <v>796</v>
      </c>
      <c r="H274" s="9" t="s">
        <v>797</v>
      </c>
      <c r="I274" s="10">
        <v>45541</v>
      </c>
    </row>
    <row r="275" spans="1:9" x14ac:dyDescent="0.15">
      <c r="A275" s="9">
        <v>274</v>
      </c>
      <c r="B275" s="9" t="s">
        <v>9</v>
      </c>
      <c r="C275" s="9">
        <v>1917</v>
      </c>
      <c r="D275" s="10">
        <v>45653</v>
      </c>
      <c r="E275" s="9" t="str">
        <f>+HYPERLINK("http://trademark.i-assist.jp/data/china/image_1917th/80791554.pdf","80791554")</f>
        <v>80791554</v>
      </c>
      <c r="F275" s="9" t="s">
        <v>798</v>
      </c>
      <c r="G275" s="9" t="s">
        <v>799</v>
      </c>
      <c r="H275" s="9" t="s">
        <v>800</v>
      </c>
      <c r="I275" s="10">
        <v>45541</v>
      </c>
    </row>
    <row r="276" spans="1:9" x14ac:dyDescent="0.15">
      <c r="A276" s="9">
        <v>275</v>
      </c>
      <c r="B276" s="9" t="s">
        <v>9</v>
      </c>
      <c r="C276" s="9">
        <v>1917</v>
      </c>
      <c r="D276" s="10">
        <v>45653</v>
      </c>
      <c r="E276" s="9" t="str">
        <f>+HYPERLINK("http://trademark.i-assist.jp/data/china/image_1917th/80791586.pdf","80791586")</f>
        <v>80791586</v>
      </c>
      <c r="F276" s="9" t="s">
        <v>801</v>
      </c>
      <c r="G276" s="12" t="s">
        <v>802</v>
      </c>
      <c r="H276" s="9" t="s">
        <v>803</v>
      </c>
      <c r="I276" s="10">
        <v>45541</v>
      </c>
    </row>
    <row r="277" spans="1:9" x14ac:dyDescent="0.15">
      <c r="A277" s="9">
        <v>276</v>
      </c>
      <c r="B277" s="9" t="s">
        <v>9</v>
      </c>
      <c r="C277" s="9">
        <v>1917</v>
      </c>
      <c r="D277" s="10">
        <v>45653</v>
      </c>
      <c r="E277" s="9" t="str">
        <f>+HYPERLINK("http://trademark.i-assist.jp/data/china/image_1917th/80792289.pdf","80792289")</f>
        <v>80792289</v>
      </c>
      <c r="F277" s="9" t="s">
        <v>804</v>
      </c>
      <c r="G277" s="9" t="s">
        <v>805</v>
      </c>
      <c r="H277" s="9" t="s">
        <v>806</v>
      </c>
      <c r="I277" s="10">
        <v>45541</v>
      </c>
    </row>
    <row r="278" spans="1:9" x14ac:dyDescent="0.15">
      <c r="A278" s="9">
        <v>277</v>
      </c>
      <c r="B278" s="9" t="s">
        <v>9</v>
      </c>
      <c r="C278" s="9">
        <v>1917</v>
      </c>
      <c r="D278" s="10">
        <v>45653</v>
      </c>
      <c r="E278" s="9" t="str">
        <f>+HYPERLINK("http://trademark.i-assist.jp/data/china/image_1917th/80796705.pdf","80796705")</f>
        <v>80796705</v>
      </c>
      <c r="F278" s="12" t="s">
        <v>12</v>
      </c>
      <c r="G278" s="12" t="s">
        <v>807</v>
      </c>
      <c r="H278" s="9" t="s">
        <v>808</v>
      </c>
      <c r="I278" s="10">
        <v>45541</v>
      </c>
    </row>
    <row r="279" spans="1:9" x14ac:dyDescent="0.15">
      <c r="A279" s="9">
        <v>278</v>
      </c>
      <c r="B279" s="9" t="s">
        <v>9</v>
      </c>
      <c r="C279" s="9">
        <v>1917</v>
      </c>
      <c r="D279" s="10">
        <v>45653</v>
      </c>
      <c r="E279" s="9" t="str">
        <f>+HYPERLINK("http://trademark.i-assist.jp/data/china/image_1917th/80797095.pdf","80797095")</f>
        <v>80797095</v>
      </c>
      <c r="F279" s="9" t="s">
        <v>809</v>
      </c>
      <c r="G279" s="9" t="s">
        <v>810</v>
      </c>
      <c r="H279" s="9" t="s">
        <v>811</v>
      </c>
      <c r="I279" s="10">
        <v>45541</v>
      </c>
    </row>
    <row r="280" spans="1:9" x14ac:dyDescent="0.15">
      <c r="A280" s="9">
        <v>279</v>
      </c>
      <c r="B280" s="9" t="s">
        <v>9</v>
      </c>
      <c r="C280" s="9">
        <v>1917</v>
      </c>
      <c r="D280" s="10">
        <v>45653</v>
      </c>
      <c r="E280" s="9" t="str">
        <f>+HYPERLINK("http://trademark.i-assist.jp/data/china/image_1917th/80801289.pdf","80801289")</f>
        <v>80801289</v>
      </c>
      <c r="F280" s="12" t="s">
        <v>12</v>
      </c>
      <c r="G280" s="9" t="s">
        <v>812</v>
      </c>
      <c r="H280" s="9" t="s">
        <v>813</v>
      </c>
      <c r="I280" s="10">
        <v>45542</v>
      </c>
    </row>
    <row r="281" spans="1:9" x14ac:dyDescent="0.15">
      <c r="A281" s="9">
        <v>280</v>
      </c>
      <c r="B281" s="9" t="s">
        <v>9</v>
      </c>
      <c r="C281" s="9">
        <v>1917</v>
      </c>
      <c r="D281" s="10">
        <v>45653</v>
      </c>
      <c r="E281" s="9" t="str">
        <f>+HYPERLINK("http://trademark.i-assist.jp/data/china/image_1917th/80808646.pdf","80808646")</f>
        <v>80808646</v>
      </c>
      <c r="F281" s="12" t="s">
        <v>814</v>
      </c>
      <c r="G281" s="9" t="s">
        <v>815</v>
      </c>
      <c r="H281" s="9" t="s">
        <v>816</v>
      </c>
      <c r="I281" s="10">
        <v>45543</v>
      </c>
    </row>
    <row r="282" spans="1:9" x14ac:dyDescent="0.15">
      <c r="A282" s="9">
        <v>281</v>
      </c>
      <c r="B282" s="9" t="s">
        <v>9</v>
      </c>
      <c r="C282" s="9">
        <v>1917</v>
      </c>
      <c r="D282" s="10">
        <v>45653</v>
      </c>
      <c r="E282" s="9" t="str">
        <f>+HYPERLINK("http://trademark.i-assist.jp/data/china/image_1917th/80808700.pdf","80808700")</f>
        <v>80808700</v>
      </c>
      <c r="F282" s="12" t="s">
        <v>12</v>
      </c>
      <c r="G282" s="9" t="s">
        <v>817</v>
      </c>
      <c r="H282" s="9" t="s">
        <v>818</v>
      </c>
      <c r="I282" s="10">
        <v>45543</v>
      </c>
    </row>
    <row r="283" spans="1:9" x14ac:dyDescent="0.15">
      <c r="A283" s="9">
        <v>282</v>
      </c>
      <c r="B283" s="9" t="s">
        <v>9</v>
      </c>
      <c r="C283" s="9">
        <v>1917</v>
      </c>
      <c r="D283" s="10">
        <v>45653</v>
      </c>
      <c r="E283" s="9" t="str">
        <f>+HYPERLINK("http://trademark.i-assist.jp/data/china/image_1917th/80811942.pdf","80811942")</f>
        <v>80811942</v>
      </c>
      <c r="F283" s="12" t="s">
        <v>819</v>
      </c>
      <c r="G283" s="9" t="s">
        <v>820</v>
      </c>
      <c r="H283" s="9" t="s">
        <v>821</v>
      </c>
      <c r="I283" s="10">
        <v>45544</v>
      </c>
    </row>
    <row r="284" spans="1:9" x14ac:dyDescent="0.15">
      <c r="A284" s="9">
        <v>283</v>
      </c>
      <c r="B284" s="9" t="s">
        <v>9</v>
      </c>
      <c r="C284" s="9">
        <v>1917</v>
      </c>
      <c r="D284" s="10">
        <v>45653</v>
      </c>
      <c r="E284" s="9" t="str">
        <f>+HYPERLINK("http://trademark.i-assist.jp/data/china/image_1917th/80814352.pdf","80814352")</f>
        <v>80814352</v>
      </c>
      <c r="F284" s="9" t="s">
        <v>822</v>
      </c>
      <c r="G284" s="9" t="s">
        <v>823</v>
      </c>
      <c r="H284" s="9" t="s">
        <v>824</v>
      </c>
      <c r="I284" s="10">
        <v>45544</v>
      </c>
    </row>
    <row r="285" spans="1:9" x14ac:dyDescent="0.15">
      <c r="A285" s="9">
        <v>284</v>
      </c>
      <c r="B285" s="9" t="s">
        <v>9</v>
      </c>
      <c r="C285" s="9">
        <v>1917</v>
      </c>
      <c r="D285" s="10">
        <v>45653</v>
      </c>
      <c r="E285" s="9" t="str">
        <f>+HYPERLINK("http://trademark.i-assist.jp/data/china/image_1917th/80818631.pdf","80818631")</f>
        <v>80818631</v>
      </c>
      <c r="F285" s="12" t="s">
        <v>12</v>
      </c>
      <c r="G285" s="9" t="s">
        <v>825</v>
      </c>
      <c r="H285" s="9" t="s">
        <v>826</v>
      </c>
      <c r="I285" s="10">
        <v>45544</v>
      </c>
    </row>
    <row r="286" spans="1:9" x14ac:dyDescent="0.15">
      <c r="A286" s="9">
        <v>285</v>
      </c>
      <c r="B286" s="9" t="s">
        <v>9</v>
      </c>
      <c r="C286" s="9">
        <v>1917</v>
      </c>
      <c r="D286" s="10">
        <v>45653</v>
      </c>
      <c r="E286" s="9" t="str">
        <f>+HYPERLINK("http://trademark.i-assist.jp/data/china/image_1917th/80819337.pdf","80819337")</f>
        <v>80819337</v>
      </c>
      <c r="F286" s="9" t="s">
        <v>827</v>
      </c>
      <c r="G286" s="9" t="s">
        <v>828</v>
      </c>
      <c r="H286" s="9" t="s">
        <v>829</v>
      </c>
      <c r="I286" s="10">
        <v>45544</v>
      </c>
    </row>
    <row r="287" spans="1:9" x14ac:dyDescent="0.15">
      <c r="A287" s="9">
        <v>286</v>
      </c>
      <c r="B287" s="9" t="s">
        <v>9</v>
      </c>
      <c r="C287" s="9">
        <v>1917</v>
      </c>
      <c r="D287" s="10">
        <v>45653</v>
      </c>
      <c r="E287" s="9" t="str">
        <f>+HYPERLINK("http://trademark.i-assist.jp/data/china/image_1917th/80819940.pdf","80819940")</f>
        <v>80819940</v>
      </c>
      <c r="F287" s="9" t="s">
        <v>830</v>
      </c>
      <c r="G287" s="9" t="s">
        <v>831</v>
      </c>
      <c r="H287" s="9" t="s">
        <v>832</v>
      </c>
      <c r="I287" s="10">
        <v>45544</v>
      </c>
    </row>
    <row r="288" spans="1:9" x14ac:dyDescent="0.15">
      <c r="A288" s="9">
        <v>287</v>
      </c>
      <c r="B288" s="9" t="s">
        <v>9</v>
      </c>
      <c r="C288" s="9">
        <v>1917</v>
      </c>
      <c r="D288" s="10">
        <v>45653</v>
      </c>
      <c r="E288" s="9" t="str">
        <f>+HYPERLINK("http://trademark.i-assist.jp/data/china/image_1917th/80821041.pdf","80821041")</f>
        <v>80821041</v>
      </c>
      <c r="F288" s="12" t="s">
        <v>833</v>
      </c>
      <c r="G288" s="9" t="s">
        <v>834</v>
      </c>
      <c r="H288" s="9" t="s">
        <v>835</v>
      </c>
      <c r="I288" s="10">
        <v>45544</v>
      </c>
    </row>
    <row r="289" spans="1:9" x14ac:dyDescent="0.15">
      <c r="A289" s="9">
        <v>288</v>
      </c>
      <c r="B289" s="9" t="s">
        <v>9</v>
      </c>
      <c r="C289" s="9">
        <v>1917</v>
      </c>
      <c r="D289" s="10">
        <v>45653</v>
      </c>
      <c r="E289" s="9" t="str">
        <f>+HYPERLINK("http://trademark.i-assist.jp/data/china/image_1917th/80822690.pdf","80822690")</f>
        <v>80822690</v>
      </c>
      <c r="F289" s="12" t="s">
        <v>836</v>
      </c>
      <c r="G289" s="12" t="s">
        <v>837</v>
      </c>
      <c r="H289" s="9" t="s">
        <v>838</v>
      </c>
      <c r="I289" s="10">
        <v>45544</v>
      </c>
    </row>
    <row r="290" spans="1:9" x14ac:dyDescent="0.15">
      <c r="A290" s="9">
        <v>289</v>
      </c>
      <c r="B290" s="9" t="s">
        <v>9</v>
      </c>
      <c r="C290" s="9">
        <v>1917</v>
      </c>
      <c r="D290" s="10">
        <v>45653</v>
      </c>
      <c r="E290" s="9" t="str">
        <f>+HYPERLINK("http://trademark.i-assist.jp/data/china/image_1917th/80822981.pdf","80822981")</f>
        <v>80822981</v>
      </c>
      <c r="F290" s="9" t="s">
        <v>839</v>
      </c>
      <c r="G290" s="12" t="s">
        <v>51</v>
      </c>
      <c r="H290" s="9" t="s">
        <v>840</v>
      </c>
      <c r="I290" s="10">
        <v>45544</v>
      </c>
    </row>
    <row r="291" spans="1:9" x14ac:dyDescent="0.15">
      <c r="A291" s="9">
        <v>290</v>
      </c>
      <c r="B291" s="9" t="s">
        <v>9</v>
      </c>
      <c r="C291" s="9">
        <v>1917</v>
      </c>
      <c r="D291" s="10">
        <v>45653</v>
      </c>
      <c r="E291" s="9" t="str">
        <f>+HYPERLINK("http://trademark.i-assist.jp/data/china/image_1917th/80823700.pdf","80823700")</f>
        <v>80823700</v>
      </c>
      <c r="F291" s="9" t="s">
        <v>841</v>
      </c>
      <c r="G291" s="12" t="s">
        <v>842</v>
      </c>
      <c r="H291" s="9" t="s">
        <v>15</v>
      </c>
      <c r="I291" s="10">
        <v>45544</v>
      </c>
    </row>
    <row r="292" spans="1:9" x14ac:dyDescent="0.15">
      <c r="A292" s="9">
        <v>291</v>
      </c>
      <c r="B292" s="9" t="s">
        <v>9</v>
      </c>
      <c r="C292" s="9">
        <v>1917</v>
      </c>
      <c r="D292" s="10">
        <v>45653</v>
      </c>
      <c r="E292" s="9" t="str">
        <f>+HYPERLINK("http://trademark.i-assist.jp/data/china/image_1917th/80824973.pdf","80824973")</f>
        <v>80824973</v>
      </c>
      <c r="F292" s="9" t="s">
        <v>843</v>
      </c>
      <c r="G292" s="9" t="s">
        <v>844</v>
      </c>
      <c r="H292" s="9" t="s">
        <v>57</v>
      </c>
      <c r="I292" s="10">
        <v>45544</v>
      </c>
    </row>
    <row r="293" spans="1:9" x14ac:dyDescent="0.15">
      <c r="A293" s="9">
        <v>292</v>
      </c>
      <c r="B293" s="9" t="s">
        <v>9</v>
      </c>
      <c r="C293" s="9">
        <v>1917</v>
      </c>
      <c r="D293" s="10">
        <v>45653</v>
      </c>
      <c r="E293" s="9" t="str">
        <f>+HYPERLINK("http://trademark.i-assist.jp/data/china/image_1917th/80825303.pdf","80825303")</f>
        <v>80825303</v>
      </c>
      <c r="F293" s="9" t="s">
        <v>845</v>
      </c>
      <c r="G293" s="9" t="s">
        <v>846</v>
      </c>
      <c r="H293" s="12" t="s">
        <v>847</v>
      </c>
      <c r="I293" s="10">
        <v>45544</v>
      </c>
    </row>
    <row r="294" spans="1:9" x14ac:dyDescent="0.15">
      <c r="A294" s="9">
        <v>293</v>
      </c>
      <c r="B294" s="9" t="s">
        <v>9</v>
      </c>
      <c r="C294" s="9">
        <v>1917</v>
      </c>
      <c r="D294" s="10">
        <v>45653</v>
      </c>
      <c r="E294" s="9" t="str">
        <f>+HYPERLINK("http://trademark.i-assist.jp/data/china/image_1917th/80828164.pdf","80828164")</f>
        <v>80828164</v>
      </c>
      <c r="F294" s="12" t="s">
        <v>12</v>
      </c>
      <c r="G294" s="9" t="s">
        <v>848</v>
      </c>
      <c r="H294" s="9" t="s">
        <v>849</v>
      </c>
      <c r="I294" s="10">
        <v>45544</v>
      </c>
    </row>
    <row r="295" spans="1:9" x14ac:dyDescent="0.15">
      <c r="A295" s="9">
        <v>294</v>
      </c>
      <c r="B295" s="9" t="s">
        <v>9</v>
      </c>
      <c r="C295" s="9">
        <v>1917</v>
      </c>
      <c r="D295" s="10">
        <v>45653</v>
      </c>
      <c r="E295" s="9" t="str">
        <f>+HYPERLINK("http://trademark.i-assist.jp/data/china/image_1917th/80830875.pdf","80830875")</f>
        <v>80830875</v>
      </c>
      <c r="F295" s="9" t="s">
        <v>850</v>
      </c>
      <c r="G295" s="9" t="s">
        <v>851</v>
      </c>
      <c r="H295" s="9" t="s">
        <v>852</v>
      </c>
      <c r="I295" s="10">
        <v>45544</v>
      </c>
    </row>
    <row r="296" spans="1:9" x14ac:dyDescent="0.15">
      <c r="A296" s="9">
        <v>295</v>
      </c>
      <c r="B296" s="9" t="s">
        <v>9</v>
      </c>
      <c r="C296" s="9">
        <v>1917</v>
      </c>
      <c r="D296" s="10">
        <v>45653</v>
      </c>
      <c r="E296" s="9" t="str">
        <f>+HYPERLINK("http://trademark.i-assist.jp/data/china/image_1917th/80832872.pdf","80832872")</f>
        <v>80832872</v>
      </c>
      <c r="F296" s="12" t="s">
        <v>12</v>
      </c>
      <c r="G296" s="9" t="s">
        <v>853</v>
      </c>
      <c r="H296" s="9" t="s">
        <v>854</v>
      </c>
      <c r="I296" s="10">
        <v>45544</v>
      </c>
    </row>
    <row r="297" spans="1:9" x14ac:dyDescent="0.15">
      <c r="A297" s="9">
        <v>296</v>
      </c>
      <c r="B297" s="9" t="s">
        <v>9</v>
      </c>
      <c r="C297" s="9">
        <v>1917</v>
      </c>
      <c r="D297" s="10">
        <v>45653</v>
      </c>
      <c r="E297" s="9" t="str">
        <f>+HYPERLINK("http://trademark.i-assist.jp/data/china/image_1917th/80834690.pdf","80834690")</f>
        <v>80834690</v>
      </c>
      <c r="F297" s="9" t="s">
        <v>855</v>
      </c>
      <c r="G297" s="9" t="s">
        <v>856</v>
      </c>
      <c r="H297" s="9" t="s">
        <v>857</v>
      </c>
      <c r="I297" s="10">
        <v>45545</v>
      </c>
    </row>
    <row r="298" spans="1:9" x14ac:dyDescent="0.15">
      <c r="A298" s="9">
        <v>297</v>
      </c>
      <c r="B298" s="9" t="s">
        <v>9</v>
      </c>
      <c r="C298" s="9">
        <v>1917</v>
      </c>
      <c r="D298" s="10">
        <v>45653</v>
      </c>
      <c r="E298" s="9" t="str">
        <f>+HYPERLINK("http://trademark.i-assist.jp/data/china/image_1917th/80838021.pdf","80838021")</f>
        <v>80838021</v>
      </c>
      <c r="F298" s="9" t="s">
        <v>858</v>
      </c>
      <c r="G298" s="9" t="s">
        <v>859</v>
      </c>
      <c r="H298" s="9" t="s">
        <v>860</v>
      </c>
      <c r="I298" s="10">
        <v>45545</v>
      </c>
    </row>
    <row r="299" spans="1:9" x14ac:dyDescent="0.15">
      <c r="A299" s="9">
        <v>298</v>
      </c>
      <c r="B299" s="9" t="s">
        <v>9</v>
      </c>
      <c r="C299" s="9">
        <v>1917</v>
      </c>
      <c r="D299" s="10">
        <v>45653</v>
      </c>
      <c r="E299" s="9" t="str">
        <f>+HYPERLINK("http://trademark.i-assist.jp/data/china/image_1917th/80838404.pdf","80838404")</f>
        <v>80838404</v>
      </c>
      <c r="F299" s="9" t="s">
        <v>861</v>
      </c>
      <c r="G299" s="9" t="s">
        <v>862</v>
      </c>
      <c r="H299" s="12" t="s">
        <v>863</v>
      </c>
      <c r="I299" s="10">
        <v>45545</v>
      </c>
    </row>
    <row r="300" spans="1:9" x14ac:dyDescent="0.15">
      <c r="A300" s="9">
        <v>299</v>
      </c>
      <c r="B300" s="9" t="s">
        <v>9</v>
      </c>
      <c r="C300" s="9">
        <v>1917</v>
      </c>
      <c r="D300" s="10">
        <v>45653</v>
      </c>
      <c r="E300" s="9" t="str">
        <f>+HYPERLINK("http://trademark.i-assist.jp/data/china/image_1917th/80840496.pdf","80840496")</f>
        <v>80840496</v>
      </c>
      <c r="F300" s="9" t="s">
        <v>864</v>
      </c>
      <c r="G300" s="9" t="s">
        <v>40</v>
      </c>
      <c r="H300" s="9" t="s">
        <v>865</v>
      </c>
      <c r="I300" s="10">
        <v>45545</v>
      </c>
    </row>
    <row r="301" spans="1:9" x14ac:dyDescent="0.15">
      <c r="A301" s="9">
        <v>300</v>
      </c>
      <c r="B301" s="9" t="s">
        <v>9</v>
      </c>
      <c r="C301" s="9">
        <v>1917</v>
      </c>
      <c r="D301" s="10">
        <v>45653</v>
      </c>
      <c r="E301" s="9" t="str">
        <f>+HYPERLINK("http://trademark.i-assist.jp/data/china/image_1917th/80842731.pdf","80842731")</f>
        <v>80842731</v>
      </c>
      <c r="F301" s="9" t="s">
        <v>866</v>
      </c>
      <c r="G301" s="9" t="s">
        <v>867</v>
      </c>
      <c r="H301" s="9" t="s">
        <v>868</v>
      </c>
      <c r="I301" s="10">
        <v>45545</v>
      </c>
    </row>
    <row r="302" spans="1:9" x14ac:dyDescent="0.15">
      <c r="A302" s="9">
        <v>301</v>
      </c>
      <c r="B302" s="9" t="s">
        <v>9</v>
      </c>
      <c r="C302" s="9">
        <v>1917</v>
      </c>
      <c r="D302" s="10">
        <v>45653</v>
      </c>
      <c r="E302" s="9" t="str">
        <f>+HYPERLINK("http://trademark.i-assist.jp/data/china/image_1917th/80844038.pdf","80844038")</f>
        <v>80844038</v>
      </c>
      <c r="F302" s="9" t="s">
        <v>869</v>
      </c>
      <c r="G302" s="12" t="s">
        <v>870</v>
      </c>
      <c r="H302" s="9" t="s">
        <v>871</v>
      </c>
      <c r="I302" s="10">
        <v>45545</v>
      </c>
    </row>
    <row r="303" spans="1:9" x14ac:dyDescent="0.15">
      <c r="A303" s="9">
        <v>302</v>
      </c>
      <c r="B303" s="9" t="s">
        <v>9</v>
      </c>
      <c r="C303" s="9">
        <v>1917</v>
      </c>
      <c r="D303" s="10">
        <v>45653</v>
      </c>
      <c r="E303" s="9" t="str">
        <f>+HYPERLINK("http://trademark.i-assist.jp/data/china/image_1917th/80844428.pdf","80844428")</f>
        <v>80844428</v>
      </c>
      <c r="F303" s="9" t="s">
        <v>872</v>
      </c>
      <c r="G303" s="9" t="s">
        <v>873</v>
      </c>
      <c r="H303" s="12" t="s">
        <v>874</v>
      </c>
      <c r="I303" s="10">
        <v>45545</v>
      </c>
    </row>
    <row r="304" spans="1:9" x14ac:dyDescent="0.15">
      <c r="A304" s="9">
        <v>303</v>
      </c>
      <c r="B304" s="9" t="s">
        <v>9</v>
      </c>
      <c r="C304" s="9">
        <v>1917</v>
      </c>
      <c r="D304" s="10">
        <v>45653</v>
      </c>
      <c r="E304" s="9" t="str">
        <f>+HYPERLINK("http://trademark.i-assist.jp/data/china/image_1917th/80846125.pdf","80846125")</f>
        <v>80846125</v>
      </c>
      <c r="F304" s="9" t="s">
        <v>875</v>
      </c>
      <c r="G304" s="9" t="s">
        <v>589</v>
      </c>
      <c r="H304" s="12" t="s">
        <v>876</v>
      </c>
      <c r="I304" s="10">
        <v>45545</v>
      </c>
    </row>
    <row r="305" spans="1:9" x14ac:dyDescent="0.15">
      <c r="A305" s="9">
        <v>304</v>
      </c>
      <c r="B305" s="9" t="s">
        <v>9</v>
      </c>
      <c r="C305" s="9">
        <v>1917</v>
      </c>
      <c r="D305" s="10">
        <v>45653</v>
      </c>
      <c r="E305" s="9" t="str">
        <f>+HYPERLINK("http://trademark.i-assist.jp/data/china/image_1917th/80846478.pdf","80846478")</f>
        <v>80846478</v>
      </c>
      <c r="F305" s="9" t="s">
        <v>877</v>
      </c>
      <c r="G305" s="9" t="s">
        <v>40</v>
      </c>
      <c r="H305" s="9" t="s">
        <v>878</v>
      </c>
      <c r="I305" s="10">
        <v>45545</v>
      </c>
    </row>
    <row r="306" spans="1:9" x14ac:dyDescent="0.15">
      <c r="A306" s="9">
        <v>305</v>
      </c>
      <c r="B306" s="9" t="s">
        <v>9</v>
      </c>
      <c r="C306" s="9">
        <v>1917</v>
      </c>
      <c r="D306" s="10">
        <v>45653</v>
      </c>
      <c r="E306" s="9" t="str">
        <f>+HYPERLINK("http://trademark.i-assist.jp/data/china/image_1917th/80846572.pdf","80846572")</f>
        <v>80846572</v>
      </c>
      <c r="F306" s="9" t="s">
        <v>879</v>
      </c>
      <c r="G306" s="9" t="s">
        <v>278</v>
      </c>
      <c r="H306" s="9" t="s">
        <v>880</v>
      </c>
      <c r="I306" s="10">
        <v>45545</v>
      </c>
    </row>
    <row r="307" spans="1:9" x14ac:dyDescent="0.15">
      <c r="A307" s="9">
        <v>306</v>
      </c>
      <c r="B307" s="9" t="s">
        <v>9</v>
      </c>
      <c r="C307" s="9">
        <v>1917</v>
      </c>
      <c r="D307" s="10">
        <v>45653</v>
      </c>
      <c r="E307" s="9" t="str">
        <f>+HYPERLINK("http://trademark.i-assist.jp/data/china/image_1917th/80848223.pdf","80848223")</f>
        <v>80848223</v>
      </c>
      <c r="F307" s="9" t="s">
        <v>881</v>
      </c>
      <c r="G307" s="9" t="s">
        <v>882</v>
      </c>
      <c r="H307" s="9" t="s">
        <v>883</v>
      </c>
      <c r="I307" s="10">
        <v>45545</v>
      </c>
    </row>
    <row r="308" spans="1:9" x14ac:dyDescent="0.15">
      <c r="A308" s="9">
        <v>307</v>
      </c>
      <c r="B308" s="9" t="s">
        <v>9</v>
      </c>
      <c r="C308" s="9">
        <v>1917</v>
      </c>
      <c r="D308" s="10">
        <v>45653</v>
      </c>
      <c r="E308" s="9" t="str">
        <f>+HYPERLINK("http://trademark.i-assist.jp/data/china/image_1917th/80848418.pdf","80848418")</f>
        <v>80848418</v>
      </c>
      <c r="F308" s="9" t="s">
        <v>884</v>
      </c>
      <c r="G308" s="9" t="s">
        <v>885</v>
      </c>
      <c r="H308" s="9" t="s">
        <v>886</v>
      </c>
      <c r="I308" s="10">
        <v>45545</v>
      </c>
    </row>
    <row r="309" spans="1:9" x14ac:dyDescent="0.15">
      <c r="A309" s="9">
        <v>308</v>
      </c>
      <c r="B309" s="9" t="s">
        <v>9</v>
      </c>
      <c r="C309" s="9">
        <v>1917</v>
      </c>
      <c r="D309" s="10">
        <v>45653</v>
      </c>
      <c r="E309" s="9" t="str">
        <f>+HYPERLINK("http://trademark.i-assist.jp/data/china/image_1917th/80849292.pdf","80849292")</f>
        <v>80849292</v>
      </c>
      <c r="F309" s="9" t="s">
        <v>887</v>
      </c>
      <c r="G309" s="9" t="s">
        <v>888</v>
      </c>
      <c r="H309" s="9" t="s">
        <v>889</v>
      </c>
      <c r="I309" s="10">
        <v>45545</v>
      </c>
    </row>
    <row r="310" spans="1:9" x14ac:dyDescent="0.15">
      <c r="A310" s="9">
        <v>309</v>
      </c>
      <c r="B310" s="9" t="s">
        <v>9</v>
      </c>
      <c r="C310" s="9">
        <v>1917</v>
      </c>
      <c r="D310" s="10">
        <v>45653</v>
      </c>
      <c r="E310" s="9" t="str">
        <f>+HYPERLINK("http://trademark.i-assist.jp/data/china/image_1917th/80849716.pdf","80849716")</f>
        <v>80849716</v>
      </c>
      <c r="F310" s="9" t="s">
        <v>890</v>
      </c>
      <c r="G310" s="9" t="s">
        <v>891</v>
      </c>
      <c r="H310" s="9" t="s">
        <v>892</v>
      </c>
      <c r="I310" s="10">
        <v>45545</v>
      </c>
    </row>
    <row r="311" spans="1:9" x14ac:dyDescent="0.15">
      <c r="A311" s="9">
        <v>310</v>
      </c>
      <c r="B311" s="9" t="s">
        <v>9</v>
      </c>
      <c r="C311" s="9">
        <v>1917</v>
      </c>
      <c r="D311" s="10">
        <v>45653</v>
      </c>
      <c r="E311" s="9" t="str">
        <f>+HYPERLINK("http://trademark.i-assist.jp/data/china/image_1917th/80850760.pdf","80850760")</f>
        <v>80850760</v>
      </c>
      <c r="F311" s="9" t="s">
        <v>893</v>
      </c>
      <c r="G311" s="9" t="s">
        <v>894</v>
      </c>
      <c r="H311" s="9" t="s">
        <v>895</v>
      </c>
      <c r="I311" s="10">
        <v>45545</v>
      </c>
    </row>
    <row r="312" spans="1:9" x14ac:dyDescent="0.15">
      <c r="A312" s="9">
        <v>311</v>
      </c>
      <c r="B312" s="9" t="s">
        <v>9</v>
      </c>
      <c r="C312" s="9">
        <v>1917</v>
      </c>
      <c r="D312" s="10">
        <v>45653</v>
      </c>
      <c r="E312" s="9" t="str">
        <f>+HYPERLINK("http://trademark.i-assist.jp/data/china/image_1917th/80850983.pdf","80850983")</f>
        <v>80850983</v>
      </c>
      <c r="F312" s="9" t="s">
        <v>896</v>
      </c>
      <c r="G312" s="9" t="s">
        <v>897</v>
      </c>
      <c r="H312" s="9" t="s">
        <v>898</v>
      </c>
      <c r="I312" s="10">
        <v>45545</v>
      </c>
    </row>
    <row r="313" spans="1:9" x14ac:dyDescent="0.15">
      <c r="A313" s="9">
        <v>312</v>
      </c>
      <c r="B313" s="9" t="s">
        <v>9</v>
      </c>
      <c r="C313" s="9">
        <v>1917</v>
      </c>
      <c r="D313" s="10">
        <v>45653</v>
      </c>
      <c r="E313" s="9" t="str">
        <f>+HYPERLINK("http://trademark.i-assist.jp/data/china/image_1917th/80852263.pdf","80852263")</f>
        <v>80852263</v>
      </c>
      <c r="F313" s="9" t="s">
        <v>899</v>
      </c>
      <c r="G313" s="9" t="s">
        <v>900</v>
      </c>
      <c r="H313" s="12" t="s">
        <v>901</v>
      </c>
      <c r="I313" s="10">
        <v>45545</v>
      </c>
    </row>
    <row r="314" spans="1:9" x14ac:dyDescent="0.15">
      <c r="A314" s="9">
        <v>313</v>
      </c>
      <c r="B314" s="9" t="s">
        <v>9</v>
      </c>
      <c r="C314" s="9">
        <v>1917</v>
      </c>
      <c r="D314" s="10">
        <v>45653</v>
      </c>
      <c r="E314" s="9" t="str">
        <f>+HYPERLINK("http://trademark.i-assist.jp/data/china/image_1917th/80852364.pdf","80852364")</f>
        <v>80852364</v>
      </c>
      <c r="F314" s="11" t="s">
        <v>902</v>
      </c>
      <c r="G314" s="9" t="s">
        <v>903</v>
      </c>
      <c r="H314" s="9" t="s">
        <v>904</v>
      </c>
      <c r="I314" s="10">
        <v>45545</v>
      </c>
    </row>
    <row r="315" spans="1:9" x14ac:dyDescent="0.15">
      <c r="A315" s="9">
        <v>314</v>
      </c>
      <c r="B315" s="9" t="s">
        <v>9</v>
      </c>
      <c r="C315" s="9">
        <v>1917</v>
      </c>
      <c r="D315" s="10">
        <v>45653</v>
      </c>
      <c r="E315" s="9" t="str">
        <f>+HYPERLINK("http://trademark.i-assist.jp/data/china/image_1917th/80852620.pdf","80852620")</f>
        <v>80852620</v>
      </c>
      <c r="F315" s="9" t="s">
        <v>905</v>
      </c>
      <c r="G315" s="12" t="s">
        <v>906</v>
      </c>
      <c r="H315" s="9" t="s">
        <v>907</v>
      </c>
      <c r="I315" s="10">
        <v>45545</v>
      </c>
    </row>
    <row r="316" spans="1:9" x14ac:dyDescent="0.15">
      <c r="A316" s="9">
        <v>315</v>
      </c>
      <c r="B316" s="9" t="s">
        <v>9</v>
      </c>
      <c r="C316" s="9">
        <v>1917</v>
      </c>
      <c r="D316" s="10">
        <v>45653</v>
      </c>
      <c r="E316" s="9" t="str">
        <f>+HYPERLINK("http://trademark.i-assist.jp/data/china/image_1917th/80854147.pdf","80854147")</f>
        <v>80854147</v>
      </c>
      <c r="F316" s="12" t="s">
        <v>908</v>
      </c>
      <c r="G316" s="12" t="s">
        <v>909</v>
      </c>
      <c r="H316" s="9" t="s">
        <v>910</v>
      </c>
      <c r="I316" s="10">
        <v>45545</v>
      </c>
    </row>
    <row r="317" spans="1:9" x14ac:dyDescent="0.15">
      <c r="A317" s="9">
        <v>316</v>
      </c>
      <c r="B317" s="9" t="s">
        <v>9</v>
      </c>
      <c r="C317" s="9">
        <v>1917</v>
      </c>
      <c r="D317" s="10">
        <v>45653</v>
      </c>
      <c r="E317" s="9" t="str">
        <f>+HYPERLINK("http://trademark.i-assist.jp/data/china/image_1917th/80854479.pdf","80854479")</f>
        <v>80854479</v>
      </c>
      <c r="F317" s="9" t="s">
        <v>911</v>
      </c>
      <c r="G317" s="9" t="s">
        <v>912</v>
      </c>
      <c r="H317" s="9" t="s">
        <v>913</v>
      </c>
      <c r="I317" s="10">
        <v>45545</v>
      </c>
    </row>
    <row r="318" spans="1:9" x14ac:dyDescent="0.15">
      <c r="A318" s="9">
        <v>317</v>
      </c>
      <c r="B318" s="9" t="s">
        <v>9</v>
      </c>
      <c r="C318" s="9">
        <v>1917</v>
      </c>
      <c r="D318" s="10">
        <v>45653</v>
      </c>
      <c r="E318" s="9" t="str">
        <f>+HYPERLINK("http://trademark.i-assist.jp/data/china/image_1917th/80854920.pdf","80854920")</f>
        <v>80854920</v>
      </c>
      <c r="F318" s="9" t="s">
        <v>914</v>
      </c>
      <c r="G318" s="9" t="s">
        <v>915</v>
      </c>
      <c r="H318" s="9" t="s">
        <v>916</v>
      </c>
      <c r="I318" s="10">
        <v>45545</v>
      </c>
    </row>
    <row r="319" spans="1:9" x14ac:dyDescent="0.15">
      <c r="A319" s="9">
        <v>318</v>
      </c>
      <c r="B319" s="9" t="s">
        <v>9</v>
      </c>
      <c r="C319" s="9">
        <v>1917</v>
      </c>
      <c r="D319" s="10">
        <v>45653</v>
      </c>
      <c r="E319" s="9" t="str">
        <f>+HYPERLINK("http://trademark.i-assist.jp/data/china/image_1917th/80855305.pdf","80855305")</f>
        <v>80855305</v>
      </c>
      <c r="F319" s="9" t="s">
        <v>917</v>
      </c>
      <c r="G319" s="9" t="s">
        <v>918</v>
      </c>
      <c r="H319" s="9" t="s">
        <v>919</v>
      </c>
      <c r="I319" s="10">
        <v>45545</v>
      </c>
    </row>
    <row r="320" spans="1:9" x14ac:dyDescent="0.15">
      <c r="A320" s="9">
        <v>319</v>
      </c>
      <c r="B320" s="9" t="s">
        <v>9</v>
      </c>
      <c r="C320" s="9">
        <v>1917</v>
      </c>
      <c r="D320" s="10">
        <v>45653</v>
      </c>
      <c r="E320" s="9" t="str">
        <f>+HYPERLINK("http://trademark.i-assist.jp/data/china/image_1917th/80856597.pdf","80856597")</f>
        <v>80856597</v>
      </c>
      <c r="F320" s="9" t="s">
        <v>920</v>
      </c>
      <c r="G320" s="9" t="s">
        <v>921</v>
      </c>
      <c r="H320" s="9" t="s">
        <v>922</v>
      </c>
      <c r="I320" s="10">
        <v>45545</v>
      </c>
    </row>
    <row r="321" spans="1:9" x14ac:dyDescent="0.15">
      <c r="A321" s="9">
        <v>320</v>
      </c>
      <c r="B321" s="9" t="s">
        <v>9</v>
      </c>
      <c r="C321" s="9">
        <v>1917</v>
      </c>
      <c r="D321" s="10">
        <v>45653</v>
      </c>
      <c r="E321" s="9" t="str">
        <f>+HYPERLINK("http://trademark.i-assist.jp/data/china/image_1917th/80857548.pdf","80857548")</f>
        <v>80857548</v>
      </c>
      <c r="F321" s="9" t="s">
        <v>923</v>
      </c>
      <c r="G321" s="9" t="s">
        <v>924</v>
      </c>
      <c r="H321" s="9" t="s">
        <v>925</v>
      </c>
      <c r="I321" s="10">
        <v>45545</v>
      </c>
    </row>
    <row r="322" spans="1:9" x14ac:dyDescent="0.15">
      <c r="A322" s="9">
        <v>321</v>
      </c>
      <c r="B322" s="9" t="s">
        <v>9</v>
      </c>
      <c r="C322" s="9">
        <v>1917</v>
      </c>
      <c r="D322" s="10">
        <v>45653</v>
      </c>
      <c r="E322" s="9" t="str">
        <f>+HYPERLINK("http://trademark.i-assist.jp/data/china/image_1917th/80858155.pdf","80858155")</f>
        <v>80858155</v>
      </c>
      <c r="F322" s="9" t="s">
        <v>926</v>
      </c>
      <c r="G322" s="9" t="s">
        <v>927</v>
      </c>
      <c r="H322" s="9" t="s">
        <v>24</v>
      </c>
      <c r="I322" s="10">
        <v>45546</v>
      </c>
    </row>
    <row r="323" spans="1:9" x14ac:dyDescent="0.15">
      <c r="A323" s="9">
        <v>322</v>
      </c>
      <c r="B323" s="9" t="s">
        <v>9</v>
      </c>
      <c r="C323" s="9">
        <v>1917</v>
      </c>
      <c r="D323" s="10">
        <v>45653</v>
      </c>
      <c r="E323" s="9" t="str">
        <f>+HYPERLINK("http://trademark.i-assist.jp/data/china/image_1917th/80860143.pdf","80860143")</f>
        <v>80860143</v>
      </c>
      <c r="F323" s="9" t="s">
        <v>928</v>
      </c>
      <c r="G323" s="12" t="s">
        <v>929</v>
      </c>
      <c r="H323" s="9" t="s">
        <v>930</v>
      </c>
      <c r="I323" s="10">
        <v>45546</v>
      </c>
    </row>
    <row r="324" spans="1:9" x14ac:dyDescent="0.15">
      <c r="A324" s="9">
        <v>323</v>
      </c>
      <c r="B324" s="9" t="s">
        <v>9</v>
      </c>
      <c r="C324" s="9">
        <v>1917</v>
      </c>
      <c r="D324" s="10">
        <v>45653</v>
      </c>
      <c r="E324" s="9" t="str">
        <f>+HYPERLINK("http://trademark.i-assist.jp/data/china/image_1917th/80860151.pdf","80860151")</f>
        <v>80860151</v>
      </c>
      <c r="F324" s="9" t="s">
        <v>931</v>
      </c>
      <c r="G324" s="12" t="s">
        <v>929</v>
      </c>
      <c r="H324" s="9" t="s">
        <v>932</v>
      </c>
      <c r="I324" s="10">
        <v>45546</v>
      </c>
    </row>
    <row r="325" spans="1:9" x14ac:dyDescent="0.15">
      <c r="A325" s="9">
        <v>324</v>
      </c>
      <c r="B325" s="9" t="s">
        <v>9</v>
      </c>
      <c r="C325" s="9">
        <v>1917</v>
      </c>
      <c r="D325" s="10">
        <v>45653</v>
      </c>
      <c r="E325" s="9" t="str">
        <f>+HYPERLINK("http://trademark.i-assist.jp/data/china/image_1917th/80861210.pdf","80861210")</f>
        <v>80861210</v>
      </c>
      <c r="F325" s="12" t="s">
        <v>933</v>
      </c>
      <c r="G325" s="9" t="s">
        <v>934</v>
      </c>
      <c r="H325" s="9" t="s">
        <v>935</v>
      </c>
      <c r="I325" s="10">
        <v>45546</v>
      </c>
    </row>
    <row r="326" spans="1:9" x14ac:dyDescent="0.15">
      <c r="A326" s="9">
        <v>325</v>
      </c>
      <c r="B326" s="9" t="s">
        <v>9</v>
      </c>
      <c r="C326" s="9">
        <v>1917</v>
      </c>
      <c r="D326" s="10">
        <v>45653</v>
      </c>
      <c r="E326" s="9" t="str">
        <f>+HYPERLINK("http://trademark.i-assist.jp/data/china/image_1917th/80864391.pdf","80864391")</f>
        <v>80864391</v>
      </c>
      <c r="F326" s="9" t="s">
        <v>936</v>
      </c>
      <c r="G326" s="9" t="s">
        <v>937</v>
      </c>
      <c r="H326" s="9" t="s">
        <v>938</v>
      </c>
      <c r="I326" s="10">
        <v>45546</v>
      </c>
    </row>
    <row r="327" spans="1:9" x14ac:dyDescent="0.15">
      <c r="A327" s="9">
        <v>326</v>
      </c>
      <c r="B327" s="9" t="s">
        <v>9</v>
      </c>
      <c r="C327" s="9">
        <v>1917</v>
      </c>
      <c r="D327" s="10">
        <v>45653</v>
      </c>
      <c r="E327" s="9" t="str">
        <f>+HYPERLINK("http://trademark.i-assist.jp/data/china/image_1917th/80864573.pdf","80864573")</f>
        <v>80864573</v>
      </c>
      <c r="F327" s="9" t="s">
        <v>939</v>
      </c>
      <c r="G327" s="12" t="s">
        <v>940</v>
      </c>
      <c r="H327" s="9" t="s">
        <v>941</v>
      </c>
      <c r="I327" s="10">
        <v>45546</v>
      </c>
    </row>
    <row r="328" spans="1:9" x14ac:dyDescent="0.15">
      <c r="A328" s="9">
        <v>327</v>
      </c>
      <c r="B328" s="9" t="s">
        <v>9</v>
      </c>
      <c r="C328" s="9">
        <v>1917</v>
      </c>
      <c r="D328" s="10">
        <v>45653</v>
      </c>
      <c r="E328" s="9" t="str">
        <f>+HYPERLINK("http://trademark.i-assist.jp/data/china/image_1917th/80866206.pdf","80866206")</f>
        <v>80866206</v>
      </c>
      <c r="F328" s="9" t="s">
        <v>942</v>
      </c>
      <c r="G328" s="9" t="s">
        <v>943</v>
      </c>
      <c r="H328" s="9" t="s">
        <v>944</v>
      </c>
      <c r="I328" s="10">
        <v>45546</v>
      </c>
    </row>
    <row r="329" spans="1:9" x14ac:dyDescent="0.15">
      <c r="A329" s="9">
        <v>328</v>
      </c>
      <c r="B329" s="9" t="s">
        <v>9</v>
      </c>
      <c r="C329" s="9">
        <v>1917</v>
      </c>
      <c r="D329" s="10">
        <v>45653</v>
      </c>
      <c r="E329" s="9" t="str">
        <f>+HYPERLINK("http://trademark.i-assist.jp/data/china/image_1917th/80866494.pdf","80866494")</f>
        <v>80866494</v>
      </c>
      <c r="F329" s="9" t="s">
        <v>945</v>
      </c>
      <c r="G329" s="9" t="s">
        <v>946</v>
      </c>
      <c r="H329" s="9" t="s">
        <v>947</v>
      </c>
      <c r="I329" s="10">
        <v>45546</v>
      </c>
    </row>
    <row r="330" spans="1:9" x14ac:dyDescent="0.15">
      <c r="A330" s="9">
        <v>329</v>
      </c>
      <c r="B330" s="9" t="s">
        <v>9</v>
      </c>
      <c r="C330" s="9">
        <v>1917</v>
      </c>
      <c r="D330" s="10">
        <v>45653</v>
      </c>
      <c r="E330" s="9" t="str">
        <f>+HYPERLINK("http://trademark.i-assist.jp/data/china/image_1917th/80867751.pdf","80867751")</f>
        <v>80867751</v>
      </c>
      <c r="F330" s="12" t="s">
        <v>948</v>
      </c>
      <c r="G330" s="9" t="s">
        <v>943</v>
      </c>
      <c r="H330" s="9" t="s">
        <v>949</v>
      </c>
      <c r="I330" s="10">
        <v>45546</v>
      </c>
    </row>
    <row r="331" spans="1:9" x14ac:dyDescent="0.15">
      <c r="A331" s="9">
        <v>330</v>
      </c>
      <c r="B331" s="9" t="s">
        <v>9</v>
      </c>
      <c r="C331" s="9">
        <v>1917</v>
      </c>
      <c r="D331" s="10">
        <v>45653</v>
      </c>
      <c r="E331" s="9" t="str">
        <f>+HYPERLINK("http://trademark.i-assist.jp/data/china/image_1917th/80868094.pdf","80868094")</f>
        <v>80868094</v>
      </c>
      <c r="F331" s="9" t="s">
        <v>950</v>
      </c>
      <c r="G331" s="9" t="s">
        <v>951</v>
      </c>
      <c r="H331" s="9" t="s">
        <v>952</v>
      </c>
      <c r="I331" s="10">
        <v>45546</v>
      </c>
    </row>
    <row r="332" spans="1:9" x14ac:dyDescent="0.15">
      <c r="A332" s="9">
        <v>331</v>
      </c>
      <c r="B332" s="9" t="s">
        <v>9</v>
      </c>
      <c r="C332" s="9">
        <v>1917</v>
      </c>
      <c r="D332" s="10">
        <v>45653</v>
      </c>
      <c r="E332" s="9" t="str">
        <f>+HYPERLINK("http://trademark.i-assist.jp/data/china/image_1917th/80868449.pdf","80868449")</f>
        <v>80868449</v>
      </c>
      <c r="F332" s="9" t="s">
        <v>953</v>
      </c>
      <c r="G332" s="9" t="s">
        <v>954</v>
      </c>
      <c r="H332" s="9" t="s">
        <v>955</v>
      </c>
      <c r="I332" s="10">
        <v>45546</v>
      </c>
    </row>
    <row r="333" spans="1:9" x14ac:dyDescent="0.15">
      <c r="A333" s="9">
        <v>332</v>
      </c>
      <c r="B333" s="9" t="s">
        <v>9</v>
      </c>
      <c r="C333" s="9">
        <v>1917</v>
      </c>
      <c r="D333" s="10">
        <v>45653</v>
      </c>
      <c r="E333" s="9" t="str">
        <f>+HYPERLINK("http://trademark.i-assist.jp/data/china/image_1917th/80868903.pdf","80868903")</f>
        <v>80868903</v>
      </c>
      <c r="F333" s="9" t="s">
        <v>956</v>
      </c>
      <c r="G333" s="9" t="s">
        <v>957</v>
      </c>
      <c r="H333" s="9" t="s">
        <v>958</v>
      </c>
      <c r="I333" s="10">
        <v>45546</v>
      </c>
    </row>
    <row r="334" spans="1:9" x14ac:dyDescent="0.15">
      <c r="A334" s="9">
        <v>333</v>
      </c>
      <c r="B334" s="9" t="s">
        <v>9</v>
      </c>
      <c r="C334" s="9">
        <v>1917</v>
      </c>
      <c r="D334" s="10">
        <v>45653</v>
      </c>
      <c r="E334" s="9" t="str">
        <f>+HYPERLINK("http://trademark.i-assist.jp/data/china/image_1917th/80871094.pdf","80871094")</f>
        <v>80871094</v>
      </c>
      <c r="F334" s="9" t="s">
        <v>959</v>
      </c>
      <c r="G334" s="9" t="s">
        <v>960</v>
      </c>
      <c r="H334" s="9" t="s">
        <v>961</v>
      </c>
      <c r="I334" s="10">
        <v>45546</v>
      </c>
    </row>
    <row r="335" spans="1:9" x14ac:dyDescent="0.15">
      <c r="A335" s="9">
        <v>334</v>
      </c>
      <c r="B335" s="9" t="s">
        <v>9</v>
      </c>
      <c r="C335" s="9">
        <v>1917</v>
      </c>
      <c r="D335" s="10">
        <v>45653</v>
      </c>
      <c r="E335" s="9" t="str">
        <f>+HYPERLINK("http://trademark.i-assist.jp/data/china/image_1917th/80872651.pdf","80872651")</f>
        <v>80872651</v>
      </c>
      <c r="F335" s="9" t="s">
        <v>962</v>
      </c>
      <c r="G335" s="12" t="s">
        <v>30</v>
      </c>
      <c r="H335" s="9" t="s">
        <v>963</v>
      </c>
      <c r="I335" s="10">
        <v>45546</v>
      </c>
    </row>
    <row r="336" spans="1:9" x14ac:dyDescent="0.15">
      <c r="A336" s="9">
        <v>335</v>
      </c>
      <c r="B336" s="9" t="s">
        <v>9</v>
      </c>
      <c r="C336" s="9">
        <v>1917</v>
      </c>
      <c r="D336" s="10">
        <v>45653</v>
      </c>
      <c r="E336" s="9" t="str">
        <f>+HYPERLINK("http://trademark.i-assist.jp/data/china/image_1917th/80872690.pdf","80872690")</f>
        <v>80872690</v>
      </c>
      <c r="F336" s="12" t="s">
        <v>12</v>
      </c>
      <c r="G336" s="9" t="s">
        <v>964</v>
      </c>
      <c r="H336" s="9" t="s">
        <v>965</v>
      </c>
      <c r="I336" s="10">
        <v>45546</v>
      </c>
    </row>
    <row r="337" spans="1:9" x14ac:dyDescent="0.15">
      <c r="A337" s="9">
        <v>336</v>
      </c>
      <c r="B337" s="9" t="s">
        <v>9</v>
      </c>
      <c r="C337" s="9">
        <v>1917</v>
      </c>
      <c r="D337" s="10">
        <v>45653</v>
      </c>
      <c r="E337" s="9" t="str">
        <f>+HYPERLINK("http://trademark.i-assist.jp/data/china/image_1917th/80873523.pdf","80873523")</f>
        <v>80873523</v>
      </c>
      <c r="F337" s="9" t="s">
        <v>966</v>
      </c>
      <c r="G337" s="9" t="s">
        <v>967</v>
      </c>
      <c r="H337" s="9" t="s">
        <v>968</v>
      </c>
      <c r="I337" s="10">
        <v>45546</v>
      </c>
    </row>
    <row r="338" spans="1:9" x14ac:dyDescent="0.15">
      <c r="A338" s="9">
        <v>337</v>
      </c>
      <c r="B338" s="9" t="s">
        <v>9</v>
      </c>
      <c r="C338" s="9">
        <v>1917</v>
      </c>
      <c r="D338" s="10">
        <v>45653</v>
      </c>
      <c r="E338" s="9" t="str">
        <f>+HYPERLINK("http://trademark.i-assist.jp/data/china/image_1917th/80873698.pdf","80873698")</f>
        <v>80873698</v>
      </c>
      <c r="F338" s="9" t="s">
        <v>969</v>
      </c>
      <c r="G338" s="9" t="s">
        <v>970</v>
      </c>
      <c r="H338" s="9" t="s">
        <v>971</v>
      </c>
      <c r="I338" s="10">
        <v>45546</v>
      </c>
    </row>
    <row r="339" spans="1:9" x14ac:dyDescent="0.15">
      <c r="A339" s="9">
        <v>338</v>
      </c>
      <c r="B339" s="9" t="s">
        <v>9</v>
      </c>
      <c r="C339" s="9">
        <v>1917</v>
      </c>
      <c r="D339" s="10">
        <v>45653</v>
      </c>
      <c r="E339" s="9" t="str">
        <f>+HYPERLINK("http://trademark.i-assist.jp/data/china/image_1917th/80873893.pdf","80873893")</f>
        <v>80873893</v>
      </c>
      <c r="F339" s="9" t="s">
        <v>972</v>
      </c>
      <c r="G339" s="9" t="s">
        <v>951</v>
      </c>
      <c r="H339" s="9" t="s">
        <v>973</v>
      </c>
      <c r="I339" s="10">
        <v>45546</v>
      </c>
    </row>
    <row r="340" spans="1:9" x14ac:dyDescent="0.15">
      <c r="A340" s="9">
        <v>339</v>
      </c>
      <c r="B340" s="9" t="s">
        <v>9</v>
      </c>
      <c r="C340" s="9">
        <v>1917</v>
      </c>
      <c r="D340" s="10">
        <v>45653</v>
      </c>
      <c r="E340" s="9" t="str">
        <f>+HYPERLINK("http://trademark.i-assist.jp/data/china/image_1917th/80876995.pdf","80876995")</f>
        <v>80876995</v>
      </c>
      <c r="F340" s="9" t="s">
        <v>974</v>
      </c>
      <c r="G340" s="12" t="s">
        <v>975</v>
      </c>
      <c r="H340" s="9" t="s">
        <v>976</v>
      </c>
      <c r="I340" s="10">
        <v>45547</v>
      </c>
    </row>
    <row r="341" spans="1:9" x14ac:dyDescent="0.15">
      <c r="A341" s="9">
        <v>340</v>
      </c>
      <c r="B341" s="9" t="s">
        <v>9</v>
      </c>
      <c r="C341" s="9">
        <v>1917</v>
      </c>
      <c r="D341" s="10">
        <v>45653</v>
      </c>
      <c r="E341" s="9" t="str">
        <f>+HYPERLINK("http://trademark.i-assist.jp/data/china/image_1917th/80877533.pdf","80877533")</f>
        <v>80877533</v>
      </c>
      <c r="F341" s="9" t="s">
        <v>977</v>
      </c>
      <c r="G341" s="9" t="s">
        <v>978</v>
      </c>
      <c r="H341" s="12" t="s">
        <v>979</v>
      </c>
      <c r="I341" s="10">
        <v>45547</v>
      </c>
    </row>
    <row r="342" spans="1:9" x14ac:dyDescent="0.15">
      <c r="A342" s="9">
        <v>341</v>
      </c>
      <c r="B342" s="9" t="s">
        <v>9</v>
      </c>
      <c r="C342" s="9">
        <v>1917</v>
      </c>
      <c r="D342" s="10">
        <v>45653</v>
      </c>
      <c r="E342" s="9" t="str">
        <f>+HYPERLINK("http://trademark.i-assist.jp/data/china/image_1917th/80879508.pdf","80879508")</f>
        <v>80879508</v>
      </c>
      <c r="F342" s="9" t="s">
        <v>980</v>
      </c>
      <c r="G342" s="12" t="s">
        <v>981</v>
      </c>
      <c r="H342" s="9" t="s">
        <v>982</v>
      </c>
      <c r="I342" s="10">
        <v>45547</v>
      </c>
    </row>
    <row r="343" spans="1:9" x14ac:dyDescent="0.15">
      <c r="A343" s="9">
        <v>342</v>
      </c>
      <c r="B343" s="9" t="s">
        <v>9</v>
      </c>
      <c r="C343" s="9">
        <v>1917</v>
      </c>
      <c r="D343" s="10">
        <v>45653</v>
      </c>
      <c r="E343" s="9" t="str">
        <f>+HYPERLINK("http://trademark.i-assist.jp/data/china/image_1917th/80882382.pdf","80882382")</f>
        <v>80882382</v>
      </c>
      <c r="F343" s="9" t="s">
        <v>983</v>
      </c>
      <c r="G343" s="12" t="s">
        <v>984</v>
      </c>
      <c r="H343" s="9" t="s">
        <v>985</v>
      </c>
      <c r="I343" s="10">
        <v>45547</v>
      </c>
    </row>
    <row r="344" spans="1:9" x14ac:dyDescent="0.15">
      <c r="A344" s="9">
        <v>343</v>
      </c>
      <c r="B344" s="9" t="s">
        <v>9</v>
      </c>
      <c r="C344" s="9">
        <v>1917</v>
      </c>
      <c r="D344" s="10">
        <v>45653</v>
      </c>
      <c r="E344" s="9" t="str">
        <f>+HYPERLINK("http://trademark.i-assist.jp/data/china/image_1917th/80884042.pdf","80884042")</f>
        <v>80884042</v>
      </c>
      <c r="F344" s="12" t="s">
        <v>986</v>
      </c>
      <c r="G344" s="9" t="s">
        <v>987</v>
      </c>
      <c r="H344" s="9" t="s">
        <v>988</v>
      </c>
      <c r="I344" s="10">
        <v>45547</v>
      </c>
    </row>
    <row r="345" spans="1:9" x14ac:dyDescent="0.15">
      <c r="A345" s="9">
        <v>344</v>
      </c>
      <c r="B345" s="9" t="s">
        <v>9</v>
      </c>
      <c r="C345" s="9">
        <v>1917</v>
      </c>
      <c r="D345" s="10">
        <v>45653</v>
      </c>
      <c r="E345" s="9" t="str">
        <f>+HYPERLINK("http://trademark.i-assist.jp/data/china/image_1917th/80885771.pdf","80885771")</f>
        <v>80885771</v>
      </c>
      <c r="F345" s="12" t="s">
        <v>12</v>
      </c>
      <c r="G345" s="9" t="s">
        <v>989</v>
      </c>
      <c r="H345" s="9" t="s">
        <v>990</v>
      </c>
      <c r="I345" s="10">
        <v>45547</v>
      </c>
    </row>
    <row r="346" spans="1:9" x14ac:dyDescent="0.15">
      <c r="A346" s="9">
        <v>345</v>
      </c>
      <c r="B346" s="9" t="s">
        <v>9</v>
      </c>
      <c r="C346" s="9">
        <v>1917</v>
      </c>
      <c r="D346" s="10">
        <v>45653</v>
      </c>
      <c r="E346" s="9" t="str">
        <f>+HYPERLINK("http://trademark.i-assist.jp/data/china/image_1917th/80887047.pdf","80887047")</f>
        <v>80887047</v>
      </c>
      <c r="F346" s="9" t="s">
        <v>991</v>
      </c>
      <c r="G346" s="9" t="s">
        <v>992</v>
      </c>
      <c r="H346" s="9" t="s">
        <v>993</v>
      </c>
      <c r="I346" s="10">
        <v>45547</v>
      </c>
    </row>
    <row r="347" spans="1:9" x14ac:dyDescent="0.15">
      <c r="A347" s="9">
        <v>346</v>
      </c>
      <c r="B347" s="9" t="s">
        <v>9</v>
      </c>
      <c r="C347" s="9">
        <v>1917</v>
      </c>
      <c r="D347" s="10">
        <v>45653</v>
      </c>
      <c r="E347" s="9" t="str">
        <f>+HYPERLINK("http://trademark.i-assist.jp/data/china/image_1917th/80887546.pdf","80887546")</f>
        <v>80887546</v>
      </c>
      <c r="F347" s="12" t="s">
        <v>994</v>
      </c>
      <c r="G347" s="9" t="s">
        <v>995</v>
      </c>
      <c r="H347" s="9" t="s">
        <v>996</v>
      </c>
      <c r="I347" s="10">
        <v>45548</v>
      </c>
    </row>
    <row r="348" spans="1:9" x14ac:dyDescent="0.15">
      <c r="A348" s="9">
        <v>347</v>
      </c>
      <c r="B348" s="9" t="s">
        <v>9</v>
      </c>
      <c r="C348" s="9">
        <v>1917</v>
      </c>
      <c r="D348" s="10">
        <v>45653</v>
      </c>
      <c r="E348" s="9" t="str">
        <f>+HYPERLINK("http://trademark.i-assist.jp/data/china/image_1917th/80889231.pdf","80889231")</f>
        <v>80889231</v>
      </c>
      <c r="F348" s="9" t="s">
        <v>997</v>
      </c>
      <c r="G348" s="12" t="s">
        <v>998</v>
      </c>
      <c r="H348" s="9" t="s">
        <v>999</v>
      </c>
      <c r="I348" s="10">
        <v>45548</v>
      </c>
    </row>
    <row r="349" spans="1:9" x14ac:dyDescent="0.15">
      <c r="A349" s="9">
        <v>348</v>
      </c>
      <c r="B349" s="9" t="s">
        <v>9</v>
      </c>
      <c r="C349" s="9">
        <v>1917</v>
      </c>
      <c r="D349" s="10">
        <v>45653</v>
      </c>
      <c r="E349" s="9" t="str">
        <f>+HYPERLINK("http://trademark.i-assist.jp/data/china/image_1917th/80890151.pdf","80890151")</f>
        <v>80890151</v>
      </c>
      <c r="F349" s="12" t="s">
        <v>12</v>
      </c>
      <c r="G349" s="9" t="s">
        <v>1000</v>
      </c>
      <c r="H349" s="9" t="s">
        <v>1001</v>
      </c>
      <c r="I349" s="10">
        <v>45547</v>
      </c>
    </row>
    <row r="350" spans="1:9" x14ac:dyDescent="0.15">
      <c r="A350" s="9">
        <v>349</v>
      </c>
      <c r="B350" s="9" t="s">
        <v>9</v>
      </c>
      <c r="C350" s="9">
        <v>1917</v>
      </c>
      <c r="D350" s="10">
        <v>45653</v>
      </c>
      <c r="E350" s="9" t="str">
        <f>+HYPERLINK("http://trademark.i-assist.jp/data/china/image_1917th/80893281.pdf","80893281")</f>
        <v>80893281</v>
      </c>
      <c r="F350" s="9" t="s">
        <v>1002</v>
      </c>
      <c r="G350" s="9" t="s">
        <v>1003</v>
      </c>
      <c r="H350" s="9" t="s">
        <v>1004</v>
      </c>
      <c r="I350" s="10">
        <v>45547</v>
      </c>
    </row>
    <row r="351" spans="1:9" x14ac:dyDescent="0.15">
      <c r="A351" s="9">
        <v>350</v>
      </c>
      <c r="B351" s="9" t="s">
        <v>9</v>
      </c>
      <c r="C351" s="9">
        <v>1917</v>
      </c>
      <c r="D351" s="10">
        <v>45653</v>
      </c>
      <c r="E351" s="9" t="str">
        <f>+HYPERLINK("http://trademark.i-assist.jp/data/china/image_1917th/80893795.pdf","80893795")</f>
        <v>80893795</v>
      </c>
      <c r="F351" s="9" t="s">
        <v>1005</v>
      </c>
      <c r="G351" s="9" t="s">
        <v>1006</v>
      </c>
      <c r="H351" s="9" t="s">
        <v>1007</v>
      </c>
      <c r="I351" s="10">
        <v>45547</v>
      </c>
    </row>
    <row r="352" spans="1:9" x14ac:dyDescent="0.15">
      <c r="A352" s="9">
        <v>351</v>
      </c>
      <c r="B352" s="9" t="s">
        <v>9</v>
      </c>
      <c r="C352" s="9">
        <v>1917</v>
      </c>
      <c r="D352" s="10">
        <v>45653</v>
      </c>
      <c r="E352" s="9" t="str">
        <f>+HYPERLINK("http://trademark.i-assist.jp/data/china/image_1917th/80894072.pdf","80894072")</f>
        <v>80894072</v>
      </c>
      <c r="F352" s="12" t="s">
        <v>1008</v>
      </c>
      <c r="G352" s="9" t="s">
        <v>1009</v>
      </c>
      <c r="H352" s="9" t="s">
        <v>1010</v>
      </c>
      <c r="I352" s="10">
        <v>45547</v>
      </c>
    </row>
    <row r="353" spans="1:9" x14ac:dyDescent="0.15">
      <c r="A353" s="9">
        <v>352</v>
      </c>
      <c r="B353" s="9" t="s">
        <v>9</v>
      </c>
      <c r="C353" s="9">
        <v>1917</v>
      </c>
      <c r="D353" s="10">
        <v>45653</v>
      </c>
      <c r="E353" s="9" t="str">
        <f>+HYPERLINK("http://trademark.i-assist.jp/data/china/image_1917th/80894769.pdf","80894769")</f>
        <v>80894769</v>
      </c>
      <c r="F353" s="9" t="s">
        <v>1011</v>
      </c>
      <c r="G353" s="9" t="s">
        <v>1012</v>
      </c>
      <c r="H353" s="9" t="s">
        <v>1013</v>
      </c>
      <c r="I353" s="10">
        <v>45547</v>
      </c>
    </row>
    <row r="354" spans="1:9" x14ac:dyDescent="0.15">
      <c r="A354" s="9">
        <v>353</v>
      </c>
      <c r="B354" s="9" t="s">
        <v>9</v>
      </c>
      <c r="C354" s="9">
        <v>1917</v>
      </c>
      <c r="D354" s="10">
        <v>45653</v>
      </c>
      <c r="E354" s="9" t="str">
        <f>+HYPERLINK("http://trademark.i-assist.jp/data/china/image_1917th/80897398.pdf","80897398")</f>
        <v>80897398</v>
      </c>
      <c r="F354" s="9" t="s">
        <v>1014</v>
      </c>
      <c r="G354" s="9" t="s">
        <v>1015</v>
      </c>
      <c r="H354" s="9" t="s">
        <v>1016</v>
      </c>
      <c r="I354" s="10">
        <v>45547</v>
      </c>
    </row>
    <row r="355" spans="1:9" x14ac:dyDescent="0.15">
      <c r="A355" s="9">
        <v>354</v>
      </c>
      <c r="B355" s="9" t="s">
        <v>9</v>
      </c>
      <c r="C355" s="9">
        <v>1917</v>
      </c>
      <c r="D355" s="10">
        <v>45653</v>
      </c>
      <c r="E355" s="9" t="str">
        <f>+HYPERLINK("http://trademark.i-assist.jp/data/china/image_1917th/80898397.pdf","80898397")</f>
        <v>80898397</v>
      </c>
      <c r="F355" s="9" t="s">
        <v>1017</v>
      </c>
      <c r="G355" s="12" t="s">
        <v>1018</v>
      </c>
      <c r="H355" s="12" t="s">
        <v>1019</v>
      </c>
      <c r="I355" s="10">
        <v>45547</v>
      </c>
    </row>
    <row r="356" spans="1:9" x14ac:dyDescent="0.15">
      <c r="A356" s="9">
        <v>355</v>
      </c>
      <c r="B356" s="9" t="s">
        <v>9</v>
      </c>
      <c r="C356" s="9">
        <v>1917</v>
      </c>
      <c r="D356" s="10">
        <v>45653</v>
      </c>
      <c r="E356" s="9" t="str">
        <f>+HYPERLINK("http://trademark.i-assist.jp/data/china/image_1917th/80903533.pdf","80903533")</f>
        <v>80903533</v>
      </c>
      <c r="F356" s="9" t="s">
        <v>1020</v>
      </c>
      <c r="G356" s="9" t="s">
        <v>1021</v>
      </c>
      <c r="H356" s="9" t="s">
        <v>1022</v>
      </c>
      <c r="I356" s="10">
        <v>45548</v>
      </c>
    </row>
    <row r="357" spans="1:9" x14ac:dyDescent="0.15">
      <c r="A357" s="9">
        <v>356</v>
      </c>
      <c r="B357" s="9" t="s">
        <v>9</v>
      </c>
      <c r="C357" s="9">
        <v>1917</v>
      </c>
      <c r="D357" s="10">
        <v>45653</v>
      </c>
      <c r="E357" s="9" t="str">
        <f>+HYPERLINK("http://trademark.i-assist.jp/data/china/image_1917th/80904302.pdf","80904302")</f>
        <v>80904302</v>
      </c>
      <c r="F357" s="9" t="s">
        <v>1023</v>
      </c>
      <c r="G357" s="9" t="s">
        <v>1024</v>
      </c>
      <c r="H357" s="9" t="s">
        <v>1025</v>
      </c>
      <c r="I357" s="10">
        <v>45548</v>
      </c>
    </row>
    <row r="358" spans="1:9" x14ac:dyDescent="0.15">
      <c r="A358" s="9">
        <v>357</v>
      </c>
      <c r="B358" s="9" t="s">
        <v>9</v>
      </c>
      <c r="C358" s="9">
        <v>1917</v>
      </c>
      <c r="D358" s="10">
        <v>45653</v>
      </c>
      <c r="E358" s="9" t="str">
        <f>+HYPERLINK("http://trademark.i-assist.jp/data/china/image_1917th/80905938.pdf","80905938")</f>
        <v>80905938</v>
      </c>
      <c r="F358" s="9" t="s">
        <v>1026</v>
      </c>
      <c r="G358" s="9" t="s">
        <v>1027</v>
      </c>
      <c r="H358" s="9" t="s">
        <v>1028</v>
      </c>
      <c r="I358" s="10">
        <v>45548</v>
      </c>
    </row>
    <row r="359" spans="1:9" x14ac:dyDescent="0.15">
      <c r="A359" s="9">
        <v>358</v>
      </c>
      <c r="B359" s="9" t="s">
        <v>9</v>
      </c>
      <c r="C359" s="9">
        <v>1917</v>
      </c>
      <c r="D359" s="10">
        <v>45653</v>
      </c>
      <c r="E359" s="9" t="str">
        <f>+HYPERLINK("http://trademark.i-assist.jp/data/china/image_1917th/80909241.pdf","80909241")</f>
        <v>80909241</v>
      </c>
      <c r="F359" s="9" t="s">
        <v>1029</v>
      </c>
      <c r="G359" s="9" t="s">
        <v>1030</v>
      </c>
      <c r="H359" s="9" t="s">
        <v>1031</v>
      </c>
      <c r="I359" s="10">
        <v>45548</v>
      </c>
    </row>
    <row r="360" spans="1:9" x14ac:dyDescent="0.15">
      <c r="A360" s="9">
        <v>359</v>
      </c>
      <c r="B360" s="9" t="s">
        <v>9</v>
      </c>
      <c r="C360" s="9">
        <v>1917</v>
      </c>
      <c r="D360" s="10">
        <v>45653</v>
      </c>
      <c r="E360" s="9" t="str">
        <f>+HYPERLINK("http://trademark.i-assist.jp/data/china/image_1917th/80912357.pdf","80912357")</f>
        <v>80912357</v>
      </c>
      <c r="F360" s="9" t="s">
        <v>1032</v>
      </c>
      <c r="G360" s="9" t="s">
        <v>1033</v>
      </c>
      <c r="H360" s="9" t="s">
        <v>1034</v>
      </c>
      <c r="I360" s="10">
        <v>45548</v>
      </c>
    </row>
    <row r="361" spans="1:9" x14ac:dyDescent="0.15">
      <c r="A361" s="9">
        <v>360</v>
      </c>
      <c r="B361" s="9" t="s">
        <v>9</v>
      </c>
      <c r="C361" s="9">
        <v>1917</v>
      </c>
      <c r="D361" s="10">
        <v>45653</v>
      </c>
      <c r="E361" s="9" t="str">
        <f>+HYPERLINK("http://trademark.i-assist.jp/data/china/image_1917th/80914662.pdf","80914662")</f>
        <v>80914662</v>
      </c>
      <c r="F361" s="9" t="s">
        <v>1035</v>
      </c>
      <c r="G361" s="9" t="s">
        <v>1036</v>
      </c>
      <c r="H361" s="9" t="s">
        <v>1037</v>
      </c>
      <c r="I361" s="10">
        <v>45547</v>
      </c>
    </row>
    <row r="362" spans="1:9" x14ac:dyDescent="0.15">
      <c r="A362" s="9">
        <v>361</v>
      </c>
      <c r="B362" s="9" t="s">
        <v>9</v>
      </c>
      <c r="C362" s="9">
        <v>1917</v>
      </c>
      <c r="D362" s="10">
        <v>45653</v>
      </c>
      <c r="E362" s="9" t="str">
        <f>+HYPERLINK("http://trademark.i-assist.jp/data/china/image_1917th/80918746.pdf","80918746")</f>
        <v>80918746</v>
      </c>
      <c r="F362" s="9" t="s">
        <v>1038</v>
      </c>
      <c r="G362" s="9" t="s">
        <v>1039</v>
      </c>
      <c r="H362" s="9" t="s">
        <v>1040</v>
      </c>
      <c r="I362" s="10">
        <v>45548</v>
      </c>
    </row>
    <row r="363" spans="1:9" x14ac:dyDescent="0.15">
      <c r="A363" s="9">
        <v>362</v>
      </c>
      <c r="B363" s="9" t="s">
        <v>9</v>
      </c>
      <c r="C363" s="9">
        <v>1917</v>
      </c>
      <c r="D363" s="10">
        <v>45653</v>
      </c>
      <c r="E363" s="9" t="str">
        <f>+HYPERLINK("http://trademark.i-assist.jp/data/china/image_1917th/80919540.pdf","80919540")</f>
        <v>80919540</v>
      </c>
      <c r="F363" s="9" t="s">
        <v>1041</v>
      </c>
      <c r="G363" s="9" t="s">
        <v>1042</v>
      </c>
      <c r="H363" s="9" t="s">
        <v>1043</v>
      </c>
      <c r="I363" s="10">
        <v>45548</v>
      </c>
    </row>
    <row r="364" spans="1:9" x14ac:dyDescent="0.15">
      <c r="A364" s="9">
        <v>363</v>
      </c>
      <c r="B364" s="9" t="s">
        <v>9</v>
      </c>
      <c r="C364" s="9">
        <v>1917</v>
      </c>
      <c r="D364" s="10">
        <v>45653</v>
      </c>
      <c r="E364" s="9" t="str">
        <f>+HYPERLINK("http://trademark.i-assist.jp/data/china/image_1917th/80919585.pdf","80919585")</f>
        <v>80919585</v>
      </c>
      <c r="F364" s="12" t="s">
        <v>1044</v>
      </c>
      <c r="G364" s="9" t="s">
        <v>1045</v>
      </c>
      <c r="H364" s="9" t="s">
        <v>1046</v>
      </c>
      <c r="I364" s="10">
        <v>45548</v>
      </c>
    </row>
    <row r="365" spans="1:9" x14ac:dyDescent="0.15">
      <c r="A365" s="9">
        <v>364</v>
      </c>
      <c r="B365" s="9" t="s">
        <v>9</v>
      </c>
      <c r="C365" s="9">
        <v>1917</v>
      </c>
      <c r="D365" s="10">
        <v>45653</v>
      </c>
      <c r="E365" s="9" t="str">
        <f>+HYPERLINK("http://trademark.i-assist.jp/data/china/image_1917th/80922601.pdf","80922601")</f>
        <v>80922601</v>
      </c>
      <c r="F365" s="12" t="s">
        <v>12</v>
      </c>
      <c r="G365" s="12" t="s">
        <v>1047</v>
      </c>
      <c r="H365" s="9" t="s">
        <v>1048</v>
      </c>
      <c r="I365" s="10">
        <v>45548</v>
      </c>
    </row>
    <row r="366" spans="1:9" x14ac:dyDescent="0.15">
      <c r="A366" s="9">
        <v>365</v>
      </c>
      <c r="B366" s="9" t="s">
        <v>9</v>
      </c>
      <c r="C366" s="9">
        <v>1917</v>
      </c>
      <c r="D366" s="10">
        <v>45653</v>
      </c>
      <c r="E366" s="9" t="str">
        <f>+HYPERLINK("http://trademark.i-assist.jp/data/china/image_1917th/80922714.pdf","80922714")</f>
        <v>80922714</v>
      </c>
      <c r="F366" s="9" t="s">
        <v>1049</v>
      </c>
      <c r="G366" s="9" t="s">
        <v>1050</v>
      </c>
      <c r="H366" s="9" t="s">
        <v>1051</v>
      </c>
      <c r="I366" s="10">
        <v>45548</v>
      </c>
    </row>
    <row r="367" spans="1:9" x14ac:dyDescent="0.15">
      <c r="A367" s="9">
        <v>366</v>
      </c>
      <c r="B367" s="9" t="s">
        <v>9</v>
      </c>
      <c r="C367" s="9">
        <v>1917</v>
      </c>
      <c r="D367" s="10">
        <v>45653</v>
      </c>
      <c r="E367" s="9" t="str">
        <f>+HYPERLINK("http://trademark.i-assist.jp/data/china/image_1917th/80922741.pdf","80922741")</f>
        <v>80922741</v>
      </c>
      <c r="F367" s="9" t="s">
        <v>1052</v>
      </c>
      <c r="G367" s="12" t="s">
        <v>1053</v>
      </c>
      <c r="H367" s="12" t="s">
        <v>1054</v>
      </c>
      <c r="I367" s="10">
        <v>45548</v>
      </c>
    </row>
    <row r="368" spans="1:9" x14ac:dyDescent="0.15">
      <c r="A368" s="9">
        <v>367</v>
      </c>
      <c r="B368" s="9" t="s">
        <v>9</v>
      </c>
      <c r="C368" s="9">
        <v>1917</v>
      </c>
      <c r="D368" s="10">
        <v>45653</v>
      </c>
      <c r="E368" s="9" t="str">
        <f>+HYPERLINK("http://trademark.i-assist.jp/data/china/image_1917th/80923741.pdf","80923741")</f>
        <v>80923741</v>
      </c>
      <c r="F368" s="9" t="s">
        <v>1055</v>
      </c>
      <c r="G368" s="9" t="s">
        <v>1056</v>
      </c>
      <c r="H368" s="9" t="s">
        <v>1057</v>
      </c>
      <c r="I368" s="10">
        <v>45548</v>
      </c>
    </row>
    <row r="369" spans="1:9" x14ac:dyDescent="0.15">
      <c r="A369" s="9">
        <v>368</v>
      </c>
      <c r="B369" s="9" t="s">
        <v>9</v>
      </c>
      <c r="C369" s="9">
        <v>1917</v>
      </c>
      <c r="D369" s="10">
        <v>45653</v>
      </c>
      <c r="E369" s="9" t="str">
        <f>+HYPERLINK("http://trademark.i-assist.jp/data/china/image_1917th/80923844.pdf","80923844")</f>
        <v>80923844</v>
      </c>
      <c r="F369" s="9" t="s">
        <v>1058</v>
      </c>
      <c r="G369" s="12" t="s">
        <v>1053</v>
      </c>
      <c r="H369" s="9" t="s">
        <v>1059</v>
      </c>
      <c r="I369" s="10">
        <v>45548</v>
      </c>
    </row>
    <row r="370" spans="1:9" x14ac:dyDescent="0.15">
      <c r="A370" s="9">
        <v>369</v>
      </c>
      <c r="B370" s="9" t="s">
        <v>9</v>
      </c>
      <c r="C370" s="9">
        <v>1917</v>
      </c>
      <c r="D370" s="10">
        <v>45653</v>
      </c>
      <c r="E370" s="9" t="str">
        <f>+HYPERLINK("http://trademark.i-assist.jp/data/china/image_1917th/80924373.pdf","80924373")</f>
        <v>80924373</v>
      </c>
      <c r="F370" s="12" t="s">
        <v>1060</v>
      </c>
      <c r="G370" s="9" t="s">
        <v>1061</v>
      </c>
      <c r="H370" s="12" t="s">
        <v>1062</v>
      </c>
      <c r="I370" s="10">
        <v>45548</v>
      </c>
    </row>
    <row r="371" spans="1:9" x14ac:dyDescent="0.15">
      <c r="A371" s="9">
        <v>370</v>
      </c>
      <c r="B371" s="9" t="s">
        <v>9</v>
      </c>
      <c r="C371" s="9">
        <v>1917</v>
      </c>
      <c r="D371" s="10">
        <v>45653</v>
      </c>
      <c r="E371" s="9" t="str">
        <f>+HYPERLINK("http://trademark.i-assist.jp/data/china/image_1917th/80924592.pdf","80924592")</f>
        <v>80924592</v>
      </c>
      <c r="F371" s="9" t="s">
        <v>1063</v>
      </c>
      <c r="G371" s="9" t="s">
        <v>1064</v>
      </c>
      <c r="H371" s="9" t="s">
        <v>1065</v>
      </c>
      <c r="I371" s="10">
        <v>45548</v>
      </c>
    </row>
    <row r="372" spans="1:9" x14ac:dyDescent="0.15">
      <c r="A372" s="9">
        <v>371</v>
      </c>
      <c r="B372" s="9" t="s">
        <v>9</v>
      </c>
      <c r="C372" s="9">
        <v>1917</v>
      </c>
      <c r="D372" s="10">
        <v>45653</v>
      </c>
      <c r="E372" s="9" t="str">
        <f>+HYPERLINK("http://trademark.i-assist.jp/data/china/image_1917th/80924632.pdf","80924632")</f>
        <v>80924632</v>
      </c>
      <c r="F372" s="9" t="s">
        <v>1066</v>
      </c>
      <c r="G372" s="9" t="s">
        <v>1067</v>
      </c>
      <c r="H372" s="9" t="s">
        <v>1068</v>
      </c>
      <c r="I372" s="10">
        <v>45548</v>
      </c>
    </row>
    <row r="373" spans="1:9" x14ac:dyDescent="0.15">
      <c r="A373" s="9">
        <v>372</v>
      </c>
      <c r="B373" s="9" t="s">
        <v>9</v>
      </c>
      <c r="C373" s="9">
        <v>1917</v>
      </c>
      <c r="D373" s="10">
        <v>45653</v>
      </c>
      <c r="E373" s="9" t="str">
        <f>+HYPERLINK("http://trademark.i-assist.jp/data/china/image_1917th/80924969.pdf","80924969")</f>
        <v>80924969</v>
      </c>
      <c r="F373" s="9" t="s">
        <v>1069</v>
      </c>
      <c r="G373" s="9" t="s">
        <v>1070</v>
      </c>
      <c r="H373" s="9" t="s">
        <v>1071</v>
      </c>
      <c r="I373" s="10">
        <v>45548</v>
      </c>
    </row>
    <row r="374" spans="1:9" x14ac:dyDescent="0.15">
      <c r="A374" s="9">
        <v>373</v>
      </c>
      <c r="B374" s="9" t="s">
        <v>9</v>
      </c>
      <c r="C374" s="9">
        <v>1917</v>
      </c>
      <c r="D374" s="10">
        <v>45653</v>
      </c>
      <c r="E374" s="9" t="str">
        <f>+HYPERLINK("http://trademark.i-assist.jp/data/china/image_1917th/80927222.pdf","80927222")</f>
        <v>80927222</v>
      </c>
      <c r="F374" s="9" t="s">
        <v>1072</v>
      </c>
      <c r="G374" s="9" t="s">
        <v>1073</v>
      </c>
      <c r="H374" s="9" t="s">
        <v>1074</v>
      </c>
      <c r="I374" s="10">
        <v>45549</v>
      </c>
    </row>
    <row r="375" spans="1:9" x14ac:dyDescent="0.15">
      <c r="A375" s="9">
        <v>374</v>
      </c>
      <c r="B375" s="9" t="s">
        <v>9</v>
      </c>
      <c r="C375" s="9">
        <v>1917</v>
      </c>
      <c r="D375" s="10">
        <v>45653</v>
      </c>
      <c r="E375" s="9" t="str">
        <f>+HYPERLINK("http://trademark.i-assist.jp/data/china/image_1917th/80929925.pdf","80929925")</f>
        <v>80929925</v>
      </c>
      <c r="F375" s="12" t="s">
        <v>12</v>
      </c>
      <c r="G375" s="9" t="s">
        <v>1075</v>
      </c>
      <c r="H375" s="9" t="s">
        <v>1076</v>
      </c>
      <c r="I375" s="10">
        <v>45549</v>
      </c>
    </row>
    <row r="376" spans="1:9" x14ac:dyDescent="0.15">
      <c r="A376" s="9">
        <v>375</v>
      </c>
      <c r="B376" s="9" t="s">
        <v>9</v>
      </c>
      <c r="C376" s="9">
        <v>1917</v>
      </c>
      <c r="D376" s="10">
        <v>45653</v>
      </c>
      <c r="E376" s="9" t="str">
        <f>+HYPERLINK("http://trademark.i-assist.jp/data/china/image_1917th/80930834.pdf","80930834")</f>
        <v>80930834</v>
      </c>
      <c r="F376" s="9" t="s">
        <v>1077</v>
      </c>
      <c r="G376" s="12" t="s">
        <v>1078</v>
      </c>
      <c r="H376" s="12" t="s">
        <v>1079</v>
      </c>
      <c r="I376" s="10">
        <v>45549</v>
      </c>
    </row>
    <row r="377" spans="1:9" x14ac:dyDescent="0.15">
      <c r="A377" s="9">
        <v>376</v>
      </c>
      <c r="B377" s="9" t="s">
        <v>9</v>
      </c>
      <c r="C377" s="9">
        <v>1917</v>
      </c>
      <c r="D377" s="10">
        <v>45653</v>
      </c>
      <c r="E377" s="9" t="str">
        <f>+HYPERLINK("http://trademark.i-assist.jp/data/china/image_1917th/80932323.pdf","80932323")</f>
        <v>80932323</v>
      </c>
      <c r="F377" s="12" t="s">
        <v>12</v>
      </c>
      <c r="G377" s="12" t="s">
        <v>1080</v>
      </c>
      <c r="H377" s="9" t="s">
        <v>1081</v>
      </c>
      <c r="I377" s="10">
        <v>45549</v>
      </c>
    </row>
    <row r="378" spans="1:9" x14ac:dyDescent="0.15">
      <c r="A378" s="9">
        <v>377</v>
      </c>
      <c r="B378" s="9" t="s">
        <v>9</v>
      </c>
      <c r="C378" s="9">
        <v>1917</v>
      </c>
      <c r="D378" s="10">
        <v>45653</v>
      </c>
      <c r="E378" s="9" t="str">
        <f>+HYPERLINK("http://trademark.i-assist.jp/data/china/image_1917th/80936112.pdf","80936112")</f>
        <v>80936112</v>
      </c>
      <c r="F378" s="9" t="s">
        <v>1082</v>
      </c>
      <c r="G378" s="12" t="s">
        <v>17</v>
      </c>
      <c r="H378" s="12" t="s">
        <v>1083</v>
      </c>
      <c r="I378" s="10">
        <v>45549</v>
      </c>
    </row>
    <row r="379" spans="1:9" x14ac:dyDescent="0.15">
      <c r="A379" s="9">
        <v>378</v>
      </c>
      <c r="B379" s="9" t="s">
        <v>9</v>
      </c>
      <c r="C379" s="9">
        <v>1917</v>
      </c>
      <c r="D379" s="10">
        <v>45653</v>
      </c>
      <c r="E379" s="9" t="str">
        <f>+HYPERLINK("http://trademark.i-assist.jp/data/china/image_1917th/80937426.pdf","80937426")</f>
        <v>80937426</v>
      </c>
      <c r="F379" s="12" t="s">
        <v>12</v>
      </c>
      <c r="G379" s="9" t="s">
        <v>1084</v>
      </c>
      <c r="H379" s="9" t="s">
        <v>1085</v>
      </c>
      <c r="I379" s="10">
        <v>45549</v>
      </c>
    </row>
    <row r="380" spans="1:9" x14ac:dyDescent="0.15">
      <c r="A380" s="9">
        <v>379</v>
      </c>
      <c r="B380" s="9" t="s">
        <v>9</v>
      </c>
      <c r="C380" s="9">
        <v>1917</v>
      </c>
      <c r="D380" s="10">
        <v>45653</v>
      </c>
      <c r="E380" s="9" t="str">
        <f>+HYPERLINK("http://trademark.i-assist.jp/data/china/image_1917th/80938361.pdf","80938361")</f>
        <v>80938361</v>
      </c>
      <c r="F380" s="12" t="s">
        <v>1086</v>
      </c>
      <c r="G380" s="9" t="s">
        <v>1087</v>
      </c>
      <c r="H380" s="9" t="s">
        <v>1088</v>
      </c>
      <c r="I380" s="10">
        <v>45549</v>
      </c>
    </row>
    <row r="381" spans="1:9" x14ac:dyDescent="0.15">
      <c r="A381" s="9">
        <v>380</v>
      </c>
      <c r="B381" s="9" t="s">
        <v>9</v>
      </c>
      <c r="C381" s="9">
        <v>1917</v>
      </c>
      <c r="D381" s="10">
        <v>45653</v>
      </c>
      <c r="E381" s="9" t="str">
        <f>+HYPERLINK("http://trademark.i-assist.jp/data/china/image_1917th/80939223.pdf","80939223")</f>
        <v>80939223</v>
      </c>
      <c r="F381" s="9" t="s">
        <v>1089</v>
      </c>
      <c r="G381" s="12" t="s">
        <v>1090</v>
      </c>
      <c r="H381" s="9" t="s">
        <v>1091</v>
      </c>
      <c r="I381" s="10">
        <v>45547</v>
      </c>
    </row>
    <row r="382" spans="1:9" x14ac:dyDescent="0.15">
      <c r="A382" s="9">
        <v>381</v>
      </c>
      <c r="B382" s="9" t="s">
        <v>9</v>
      </c>
      <c r="C382" s="9">
        <v>1917</v>
      </c>
      <c r="D382" s="10">
        <v>45653</v>
      </c>
      <c r="E382" s="9" t="str">
        <f>+HYPERLINK("http://trademark.i-assist.jp/data/china/image_1917th/80941683.pdf","80941683")</f>
        <v>80941683</v>
      </c>
      <c r="F382" s="9" t="s">
        <v>1092</v>
      </c>
      <c r="G382" s="12" t="s">
        <v>1093</v>
      </c>
      <c r="H382" s="9" t="s">
        <v>1094</v>
      </c>
      <c r="I382" s="10">
        <v>45549</v>
      </c>
    </row>
    <row r="383" spans="1:9" x14ac:dyDescent="0.15">
      <c r="A383" s="9">
        <v>382</v>
      </c>
      <c r="B383" s="9" t="s">
        <v>9</v>
      </c>
      <c r="C383" s="9">
        <v>1917</v>
      </c>
      <c r="D383" s="10">
        <v>45653</v>
      </c>
      <c r="E383" s="9" t="str">
        <f>+HYPERLINK("http://trademark.i-assist.jp/data/china/image_1917th/80941700.pdf","80941700")</f>
        <v>80941700</v>
      </c>
      <c r="F383" s="9" t="s">
        <v>1095</v>
      </c>
      <c r="G383" s="9" t="s">
        <v>1073</v>
      </c>
      <c r="H383" s="9" t="s">
        <v>1096</v>
      </c>
      <c r="I383" s="10">
        <v>45549</v>
      </c>
    </row>
    <row r="384" spans="1:9" x14ac:dyDescent="0.15">
      <c r="A384" s="9">
        <v>383</v>
      </c>
      <c r="B384" s="9" t="s">
        <v>9</v>
      </c>
      <c r="C384" s="9">
        <v>1917</v>
      </c>
      <c r="D384" s="10">
        <v>45653</v>
      </c>
      <c r="E384" s="9" t="str">
        <f>+HYPERLINK("http://trademark.i-assist.jp/data/china/image_1917th/80942077.pdf","80942077")</f>
        <v>80942077</v>
      </c>
      <c r="F384" s="12" t="s">
        <v>1097</v>
      </c>
      <c r="G384" s="12" t="s">
        <v>1098</v>
      </c>
      <c r="H384" s="12" t="s">
        <v>1099</v>
      </c>
      <c r="I384" s="10">
        <v>45549</v>
      </c>
    </row>
    <row r="385" spans="1:9" x14ac:dyDescent="0.15">
      <c r="A385" s="9">
        <v>384</v>
      </c>
      <c r="B385" s="9" t="s">
        <v>9</v>
      </c>
      <c r="C385" s="9">
        <v>1917</v>
      </c>
      <c r="D385" s="10">
        <v>45653</v>
      </c>
      <c r="E385" s="9" t="str">
        <f>+HYPERLINK("http://trademark.i-assist.jp/data/china/image_1917th/80942296.pdf","80942296")</f>
        <v>80942296</v>
      </c>
      <c r="F385" s="9" t="s">
        <v>1100</v>
      </c>
      <c r="G385" s="9" t="s">
        <v>1101</v>
      </c>
      <c r="H385" s="9" t="s">
        <v>1102</v>
      </c>
      <c r="I385" s="10">
        <v>45549</v>
      </c>
    </row>
    <row r="386" spans="1:9" x14ac:dyDescent="0.15">
      <c r="A386" s="9">
        <v>385</v>
      </c>
      <c r="B386" s="9" t="s">
        <v>9</v>
      </c>
      <c r="C386" s="9">
        <v>1917</v>
      </c>
      <c r="D386" s="10">
        <v>45653</v>
      </c>
      <c r="E386" s="9" t="str">
        <f>+HYPERLINK("http://trademark.i-assist.jp/data/china/image_1917th/80942851.pdf","80942851")</f>
        <v>80942851</v>
      </c>
      <c r="F386" s="9" t="s">
        <v>1103</v>
      </c>
      <c r="G386" s="12" t="s">
        <v>1104</v>
      </c>
      <c r="H386" s="9" t="s">
        <v>1105</v>
      </c>
      <c r="I386" s="10">
        <v>45549</v>
      </c>
    </row>
    <row r="387" spans="1:9" x14ac:dyDescent="0.15">
      <c r="A387" s="9">
        <v>386</v>
      </c>
      <c r="B387" s="9" t="s">
        <v>9</v>
      </c>
      <c r="C387" s="9">
        <v>1917</v>
      </c>
      <c r="D387" s="10">
        <v>45653</v>
      </c>
      <c r="E387" s="9" t="str">
        <f>+HYPERLINK("http://trademark.i-assist.jp/data/china/image_1917th/80942944.pdf","80942944")</f>
        <v>80942944</v>
      </c>
      <c r="F387" s="9" t="s">
        <v>1106</v>
      </c>
      <c r="G387" s="12" t="s">
        <v>1107</v>
      </c>
      <c r="H387" s="12" t="s">
        <v>1108</v>
      </c>
      <c r="I387" s="10">
        <v>45549</v>
      </c>
    </row>
    <row r="388" spans="1:9" x14ac:dyDescent="0.15">
      <c r="A388" s="9">
        <v>387</v>
      </c>
      <c r="B388" s="9" t="s">
        <v>9</v>
      </c>
      <c r="C388" s="9">
        <v>1917</v>
      </c>
      <c r="D388" s="10">
        <v>45653</v>
      </c>
      <c r="E388" s="9" t="str">
        <f>+HYPERLINK("http://trademark.i-assist.jp/data/china/image_1917th/80943793.pdf","80943793")</f>
        <v>80943793</v>
      </c>
      <c r="F388" s="9" t="s">
        <v>1109</v>
      </c>
      <c r="G388" s="12" t="s">
        <v>1110</v>
      </c>
      <c r="H388" s="9" t="s">
        <v>1111</v>
      </c>
      <c r="I388" s="10">
        <v>45549</v>
      </c>
    </row>
    <row r="389" spans="1:9" x14ac:dyDescent="0.15">
      <c r="A389" s="9">
        <v>388</v>
      </c>
      <c r="B389" s="9" t="s">
        <v>9</v>
      </c>
      <c r="C389" s="9">
        <v>1917</v>
      </c>
      <c r="D389" s="10">
        <v>45653</v>
      </c>
      <c r="E389" s="9" t="str">
        <f>+HYPERLINK("http://trademark.i-assist.jp/data/china/image_1917th/80944601.pdf","80944601")</f>
        <v>80944601</v>
      </c>
      <c r="F389" s="9" t="s">
        <v>1112</v>
      </c>
      <c r="G389" s="9" t="s">
        <v>1113</v>
      </c>
      <c r="H389" s="9" t="s">
        <v>1114</v>
      </c>
      <c r="I389" s="10">
        <v>45549</v>
      </c>
    </row>
    <row r="390" spans="1:9" x14ac:dyDescent="0.15">
      <c r="A390" s="9">
        <v>389</v>
      </c>
      <c r="B390" s="9" t="s">
        <v>9</v>
      </c>
      <c r="C390" s="9">
        <v>1917</v>
      </c>
      <c r="D390" s="10">
        <v>45653</v>
      </c>
      <c r="E390" s="9" t="str">
        <f>+HYPERLINK("http://trademark.i-assist.jp/data/china/image_1917th/80946137.pdf","80946137")</f>
        <v>80946137</v>
      </c>
      <c r="F390" s="9" t="s">
        <v>1115</v>
      </c>
      <c r="G390" s="9" t="s">
        <v>44</v>
      </c>
      <c r="H390" s="9" t="s">
        <v>1116</v>
      </c>
      <c r="I390" s="10">
        <v>45549</v>
      </c>
    </row>
    <row r="391" spans="1:9" x14ac:dyDescent="0.15">
      <c r="A391" s="9">
        <v>390</v>
      </c>
      <c r="B391" s="9" t="s">
        <v>9</v>
      </c>
      <c r="C391" s="9">
        <v>1917</v>
      </c>
      <c r="D391" s="10">
        <v>45653</v>
      </c>
      <c r="E391" s="9" t="str">
        <f>+HYPERLINK("http://trademark.i-assist.jp/data/china/image_1917th/80946524.pdf","80946524")</f>
        <v>80946524</v>
      </c>
      <c r="F391" s="9" t="s">
        <v>1117</v>
      </c>
      <c r="G391" s="12" t="s">
        <v>1107</v>
      </c>
      <c r="H391" s="9" t="s">
        <v>1118</v>
      </c>
      <c r="I391" s="10">
        <v>45549</v>
      </c>
    </row>
    <row r="392" spans="1:9" x14ac:dyDescent="0.15">
      <c r="A392" s="9">
        <v>391</v>
      </c>
      <c r="B392" s="9" t="s">
        <v>9</v>
      </c>
      <c r="C392" s="9">
        <v>1917</v>
      </c>
      <c r="D392" s="10">
        <v>45653</v>
      </c>
      <c r="E392" s="9" t="str">
        <f>+HYPERLINK("http://trademark.i-assist.jp/data/china/image_1917th/80946677.pdf","80946677")</f>
        <v>80946677</v>
      </c>
      <c r="F392" s="9" t="s">
        <v>1119</v>
      </c>
      <c r="G392" s="12" t="s">
        <v>1120</v>
      </c>
      <c r="H392" s="12" t="s">
        <v>1121</v>
      </c>
      <c r="I392" s="10">
        <v>45549</v>
      </c>
    </row>
    <row r="393" spans="1:9" x14ac:dyDescent="0.15">
      <c r="A393" s="9">
        <v>392</v>
      </c>
      <c r="B393" s="9" t="s">
        <v>9</v>
      </c>
      <c r="C393" s="9">
        <v>1917</v>
      </c>
      <c r="D393" s="10">
        <v>45653</v>
      </c>
      <c r="E393" s="9" t="str">
        <f>+HYPERLINK("http://trademark.i-assist.jp/data/china/image_1917th/80947743.pdf","80947743")</f>
        <v>80947743</v>
      </c>
      <c r="F393" s="11" t="s">
        <v>1122</v>
      </c>
      <c r="G393" s="9" t="s">
        <v>1123</v>
      </c>
      <c r="H393" s="9" t="s">
        <v>1124</v>
      </c>
      <c r="I393" s="10">
        <v>45549</v>
      </c>
    </row>
    <row r="394" spans="1:9" x14ac:dyDescent="0.15">
      <c r="A394" s="9">
        <v>393</v>
      </c>
      <c r="B394" s="9" t="s">
        <v>9</v>
      </c>
      <c r="C394" s="9">
        <v>1917</v>
      </c>
      <c r="D394" s="10">
        <v>45653</v>
      </c>
      <c r="E394" s="9" t="str">
        <f>+HYPERLINK("http://trademark.i-assist.jp/data/china/image_1917th/80948797.pdf","80948797")</f>
        <v>80948797</v>
      </c>
      <c r="F394" s="9" t="s">
        <v>1125</v>
      </c>
      <c r="G394" s="12" t="s">
        <v>1126</v>
      </c>
      <c r="H394" s="9" t="s">
        <v>1127</v>
      </c>
      <c r="I394" s="10">
        <v>45549</v>
      </c>
    </row>
    <row r="395" spans="1:9" x14ac:dyDescent="0.15">
      <c r="A395" s="9">
        <v>394</v>
      </c>
      <c r="B395" s="9" t="s">
        <v>9</v>
      </c>
      <c r="C395" s="9">
        <v>1917</v>
      </c>
      <c r="D395" s="10">
        <v>45653</v>
      </c>
      <c r="E395" s="9" t="str">
        <f>+HYPERLINK("http://trademark.i-assist.jp/data/china/image_1917th/80950420.pdf","80950420")</f>
        <v>80950420</v>
      </c>
      <c r="F395" s="11" t="s">
        <v>1128</v>
      </c>
      <c r="G395" s="9" t="s">
        <v>1123</v>
      </c>
      <c r="H395" s="12" t="s">
        <v>1129</v>
      </c>
      <c r="I395" s="10">
        <v>45549</v>
      </c>
    </row>
    <row r="396" spans="1:9" x14ac:dyDescent="0.15">
      <c r="A396" s="9">
        <v>395</v>
      </c>
      <c r="B396" s="9" t="s">
        <v>9</v>
      </c>
      <c r="C396" s="9">
        <v>1917</v>
      </c>
      <c r="D396" s="10">
        <v>45653</v>
      </c>
      <c r="E396" s="9" t="str">
        <f>+HYPERLINK("http://trademark.i-assist.jp/data/china/image_1917th/80951344.pdf","80951344")</f>
        <v>80951344</v>
      </c>
      <c r="F396" s="9" t="s">
        <v>1130</v>
      </c>
      <c r="G396" s="12" t="s">
        <v>1053</v>
      </c>
      <c r="H396" s="9" t="s">
        <v>1131</v>
      </c>
      <c r="I396" s="10">
        <v>45549</v>
      </c>
    </row>
    <row r="397" spans="1:9" x14ac:dyDescent="0.15">
      <c r="A397" s="9">
        <v>396</v>
      </c>
      <c r="B397" s="9" t="s">
        <v>9</v>
      </c>
      <c r="C397" s="9">
        <v>1917</v>
      </c>
      <c r="D397" s="10">
        <v>45653</v>
      </c>
      <c r="E397" s="9" t="str">
        <f>+HYPERLINK("http://trademark.i-assist.jp/data/china/image_1917th/80951385.pdf","80951385")</f>
        <v>80951385</v>
      </c>
      <c r="F397" s="9" t="s">
        <v>1132</v>
      </c>
      <c r="G397" s="12" t="s">
        <v>1110</v>
      </c>
      <c r="H397" s="9" t="s">
        <v>1133</v>
      </c>
      <c r="I397" s="10">
        <v>45549</v>
      </c>
    </row>
    <row r="398" spans="1:9" x14ac:dyDescent="0.15">
      <c r="A398" s="9">
        <v>397</v>
      </c>
      <c r="B398" s="9" t="s">
        <v>9</v>
      </c>
      <c r="C398" s="9">
        <v>1917</v>
      </c>
      <c r="D398" s="10">
        <v>45653</v>
      </c>
      <c r="E398" s="9" t="str">
        <f>+HYPERLINK("http://trademark.i-assist.jp/data/china/image_1917th/80951467.pdf","80951467")</f>
        <v>80951467</v>
      </c>
      <c r="F398" s="9" t="s">
        <v>1134</v>
      </c>
      <c r="G398" s="12" t="s">
        <v>1135</v>
      </c>
      <c r="H398" s="9" t="s">
        <v>1136</v>
      </c>
      <c r="I398" s="10">
        <v>45549</v>
      </c>
    </row>
    <row r="399" spans="1:9" x14ac:dyDescent="0.15">
      <c r="A399" s="9">
        <v>398</v>
      </c>
      <c r="B399" s="9" t="s">
        <v>9</v>
      </c>
      <c r="C399" s="9">
        <v>1917</v>
      </c>
      <c r="D399" s="10">
        <v>45653</v>
      </c>
      <c r="E399" s="9" t="str">
        <f>+HYPERLINK("http://trademark.i-assist.jp/data/china/image_1917th/80951958.pdf","80951958")</f>
        <v>80951958</v>
      </c>
      <c r="F399" s="12" t="s">
        <v>1137</v>
      </c>
      <c r="G399" s="9" t="s">
        <v>1138</v>
      </c>
      <c r="H399" s="9" t="s">
        <v>1139</v>
      </c>
      <c r="I399" s="10">
        <v>45549</v>
      </c>
    </row>
    <row r="400" spans="1:9" x14ac:dyDescent="0.15">
      <c r="A400" s="9">
        <v>399</v>
      </c>
      <c r="B400" s="9" t="s">
        <v>9</v>
      </c>
      <c r="C400" s="9">
        <v>1917</v>
      </c>
      <c r="D400" s="10">
        <v>45653</v>
      </c>
      <c r="E400" s="9" t="str">
        <f>+HYPERLINK("http://trademark.i-assist.jp/data/china/image_1917th/80952751.pdf","80952751")</f>
        <v>80952751</v>
      </c>
      <c r="F400" s="12" t="s">
        <v>1140</v>
      </c>
      <c r="G400" s="12" t="s">
        <v>1141</v>
      </c>
      <c r="H400" s="9" t="s">
        <v>1142</v>
      </c>
      <c r="I400" s="10">
        <v>45550</v>
      </c>
    </row>
    <row r="401" spans="1:9" x14ac:dyDescent="0.15">
      <c r="A401" s="9">
        <v>400</v>
      </c>
      <c r="B401" s="9" t="s">
        <v>9</v>
      </c>
      <c r="C401" s="9">
        <v>1917</v>
      </c>
      <c r="D401" s="10">
        <v>45653</v>
      </c>
      <c r="E401" s="9" t="str">
        <f>+HYPERLINK("http://trademark.i-assist.jp/data/china/image_1917th/80953332.pdf","80953332")</f>
        <v>80953332</v>
      </c>
      <c r="F401" s="12" t="s">
        <v>1143</v>
      </c>
      <c r="G401" s="9" t="s">
        <v>1144</v>
      </c>
      <c r="H401" s="9" t="s">
        <v>1145</v>
      </c>
      <c r="I401" s="10">
        <v>45550</v>
      </c>
    </row>
    <row r="402" spans="1:9" x14ac:dyDescent="0.15">
      <c r="A402" s="9">
        <v>401</v>
      </c>
      <c r="B402" s="9" t="s">
        <v>9</v>
      </c>
      <c r="C402" s="9">
        <v>1917</v>
      </c>
      <c r="D402" s="10">
        <v>45653</v>
      </c>
      <c r="E402" s="9" t="str">
        <f>+HYPERLINK("http://trademark.i-assist.jp/data/china/image_1917th/80953334.pdf","80953334")</f>
        <v>80953334</v>
      </c>
      <c r="F402" s="9" t="s">
        <v>1146</v>
      </c>
      <c r="G402" s="9" t="s">
        <v>1147</v>
      </c>
      <c r="H402" s="9" t="s">
        <v>1148</v>
      </c>
      <c r="I402" s="10">
        <v>45550</v>
      </c>
    </row>
    <row r="403" spans="1:9" x14ac:dyDescent="0.15">
      <c r="A403" s="9">
        <v>402</v>
      </c>
      <c r="B403" s="9" t="s">
        <v>9</v>
      </c>
      <c r="C403" s="9">
        <v>1917</v>
      </c>
      <c r="D403" s="10">
        <v>45653</v>
      </c>
      <c r="E403" s="9" t="str">
        <f>+HYPERLINK("http://trademark.i-assist.jp/data/china/image_1917th/80953729.pdf","80953729")</f>
        <v>80953729</v>
      </c>
      <c r="F403" s="9" t="s">
        <v>1146</v>
      </c>
      <c r="G403" s="9" t="s">
        <v>1147</v>
      </c>
      <c r="H403" s="9" t="s">
        <v>1149</v>
      </c>
      <c r="I403" s="10">
        <v>45550</v>
      </c>
    </row>
    <row r="404" spans="1:9" x14ac:dyDescent="0.15">
      <c r="A404" s="9">
        <v>403</v>
      </c>
      <c r="B404" s="9" t="s">
        <v>9</v>
      </c>
      <c r="C404" s="9">
        <v>1917</v>
      </c>
      <c r="D404" s="10">
        <v>45653</v>
      </c>
      <c r="E404" s="9" t="str">
        <f>+HYPERLINK("http://trademark.i-assist.jp/data/china/image_1917th/80953838.pdf","80953838")</f>
        <v>80953838</v>
      </c>
      <c r="F404" s="12" t="s">
        <v>1150</v>
      </c>
      <c r="G404" s="9" t="s">
        <v>1151</v>
      </c>
      <c r="H404" s="9" t="s">
        <v>1152</v>
      </c>
      <c r="I404" s="10">
        <v>45550</v>
      </c>
    </row>
    <row r="405" spans="1:9" x14ac:dyDescent="0.15">
      <c r="A405" s="9">
        <v>404</v>
      </c>
      <c r="B405" s="9" t="s">
        <v>9</v>
      </c>
      <c r="C405" s="9">
        <v>1917</v>
      </c>
      <c r="D405" s="10">
        <v>45653</v>
      </c>
      <c r="E405" s="9" t="str">
        <f>+HYPERLINK("http://trademark.i-assist.jp/data/china/image_1917th/80954625.pdf","80954625")</f>
        <v>80954625</v>
      </c>
      <c r="F405" s="12" t="s">
        <v>12</v>
      </c>
      <c r="G405" s="9" t="s">
        <v>1147</v>
      </c>
      <c r="H405" s="12" t="s">
        <v>1153</v>
      </c>
      <c r="I405" s="10">
        <v>45550</v>
      </c>
    </row>
    <row r="406" spans="1:9" x14ac:dyDescent="0.15">
      <c r="A406" s="9">
        <v>405</v>
      </c>
      <c r="B406" s="9" t="s">
        <v>9</v>
      </c>
      <c r="C406" s="9">
        <v>1917</v>
      </c>
      <c r="D406" s="10">
        <v>45653</v>
      </c>
      <c r="E406" s="9" t="str">
        <f>+HYPERLINK("http://trademark.i-assist.jp/data/china/image_1917th/80954631.pdf","80954631")</f>
        <v>80954631</v>
      </c>
      <c r="F406" s="9" t="s">
        <v>1154</v>
      </c>
      <c r="G406" s="9" t="s">
        <v>1155</v>
      </c>
      <c r="H406" s="9" t="s">
        <v>1156</v>
      </c>
      <c r="I406" s="10">
        <v>45550</v>
      </c>
    </row>
    <row r="407" spans="1:9" x14ac:dyDescent="0.15">
      <c r="A407" s="9">
        <v>406</v>
      </c>
      <c r="B407" s="9" t="s">
        <v>9</v>
      </c>
      <c r="C407" s="9">
        <v>1917</v>
      </c>
      <c r="D407" s="10">
        <v>45653</v>
      </c>
      <c r="E407" s="9" t="str">
        <f>+HYPERLINK("http://trademark.i-assist.jp/data/china/image_1917th/80954871.pdf","80954871")</f>
        <v>80954871</v>
      </c>
      <c r="F407" s="9" t="s">
        <v>1157</v>
      </c>
      <c r="G407" s="9" t="s">
        <v>1158</v>
      </c>
      <c r="H407" s="12" t="s">
        <v>1159</v>
      </c>
      <c r="I407" s="10">
        <v>45550</v>
      </c>
    </row>
    <row r="408" spans="1:9" x14ac:dyDescent="0.15">
      <c r="A408" s="9">
        <v>407</v>
      </c>
      <c r="B408" s="9" t="s">
        <v>9</v>
      </c>
      <c r="C408" s="9">
        <v>1917</v>
      </c>
      <c r="D408" s="10">
        <v>45653</v>
      </c>
      <c r="E408" s="9" t="str">
        <f>+HYPERLINK("http://trademark.i-assist.jp/data/china/image_1917th/80955695.pdf","80955695")</f>
        <v>80955695</v>
      </c>
      <c r="F408" s="9" t="s">
        <v>1160</v>
      </c>
      <c r="G408" s="9" t="s">
        <v>1161</v>
      </c>
      <c r="H408" s="9" t="s">
        <v>1162</v>
      </c>
      <c r="I408" s="10">
        <v>45551</v>
      </c>
    </row>
    <row r="409" spans="1:9" x14ac:dyDescent="0.15">
      <c r="A409" s="9">
        <v>408</v>
      </c>
      <c r="B409" s="9" t="s">
        <v>9</v>
      </c>
      <c r="C409" s="9">
        <v>1917</v>
      </c>
      <c r="D409" s="10">
        <v>45653</v>
      </c>
      <c r="E409" s="9" t="str">
        <f>+HYPERLINK("http://trademark.i-assist.jp/data/china/image_1917th/80956406.pdf","80956406")</f>
        <v>80956406</v>
      </c>
      <c r="F409" s="9" t="s">
        <v>1163</v>
      </c>
      <c r="G409" s="12" t="s">
        <v>1164</v>
      </c>
      <c r="H409" s="9" t="s">
        <v>1165</v>
      </c>
      <c r="I409" s="10">
        <v>45551</v>
      </c>
    </row>
    <row r="410" spans="1:9" x14ac:dyDescent="0.15">
      <c r="A410" s="9">
        <v>409</v>
      </c>
      <c r="B410" s="9" t="s">
        <v>9</v>
      </c>
      <c r="C410" s="9">
        <v>1917</v>
      </c>
      <c r="D410" s="10">
        <v>45653</v>
      </c>
      <c r="E410" s="9" t="str">
        <f>+HYPERLINK("http://trademark.i-assist.jp/data/china/image_1917th/80956750.pdf","80956750")</f>
        <v>80956750</v>
      </c>
      <c r="F410" s="12" t="s">
        <v>1166</v>
      </c>
      <c r="G410" s="9" t="s">
        <v>1167</v>
      </c>
      <c r="H410" s="9" t="s">
        <v>1168</v>
      </c>
      <c r="I410" s="10">
        <v>45551</v>
      </c>
    </row>
    <row r="411" spans="1:9" x14ac:dyDescent="0.15">
      <c r="A411" s="9">
        <v>410</v>
      </c>
      <c r="B411" s="9" t="s">
        <v>9</v>
      </c>
      <c r="C411" s="9">
        <v>1917</v>
      </c>
      <c r="D411" s="10">
        <v>45653</v>
      </c>
      <c r="E411" s="9" t="str">
        <f>+HYPERLINK("http://trademark.i-assist.jp/data/china/image_1917th/80956772.pdf","80956772")</f>
        <v>80956772</v>
      </c>
      <c r="F411" s="9" t="s">
        <v>1169</v>
      </c>
      <c r="G411" s="9" t="s">
        <v>1170</v>
      </c>
      <c r="H411" s="9" t="s">
        <v>1171</v>
      </c>
      <c r="I411" s="10">
        <v>45551</v>
      </c>
    </row>
    <row r="412" spans="1:9" x14ac:dyDescent="0.15">
      <c r="A412" s="9">
        <v>411</v>
      </c>
      <c r="B412" s="9" t="s">
        <v>9</v>
      </c>
      <c r="C412" s="9">
        <v>1917</v>
      </c>
      <c r="D412" s="10">
        <v>45653</v>
      </c>
      <c r="E412" s="9" t="str">
        <f>+HYPERLINK("http://trademark.i-assist.jp/data/china/image_1917th/80959453.pdf","80959453")</f>
        <v>80959453</v>
      </c>
      <c r="F412" s="9" t="s">
        <v>1172</v>
      </c>
      <c r="G412" s="12" t="s">
        <v>1173</v>
      </c>
      <c r="H412" s="9" t="s">
        <v>1174</v>
      </c>
      <c r="I412" s="10">
        <v>45553</v>
      </c>
    </row>
    <row r="413" spans="1:9" x14ac:dyDescent="0.15">
      <c r="A413" s="9">
        <v>412</v>
      </c>
      <c r="B413" s="9" t="s">
        <v>9</v>
      </c>
      <c r="C413" s="9">
        <v>1917</v>
      </c>
      <c r="D413" s="10">
        <v>45653</v>
      </c>
      <c r="E413" s="9" t="str">
        <f>+HYPERLINK("http://trademark.i-assist.jp/data/china/image_1917th/80960009.pdf","80960009")</f>
        <v>80960009</v>
      </c>
      <c r="F413" s="9" t="s">
        <v>1175</v>
      </c>
      <c r="G413" s="9" t="s">
        <v>1176</v>
      </c>
      <c r="H413" s="9" t="s">
        <v>1177</v>
      </c>
      <c r="I413" s="10">
        <v>45553</v>
      </c>
    </row>
    <row r="414" spans="1:9" x14ac:dyDescent="0.15">
      <c r="A414" s="9">
        <v>413</v>
      </c>
      <c r="B414" s="9" t="s">
        <v>9</v>
      </c>
      <c r="C414" s="9">
        <v>1917</v>
      </c>
      <c r="D414" s="10">
        <v>45653</v>
      </c>
      <c r="E414" s="9" t="str">
        <f>+HYPERLINK("http://trademark.i-assist.jp/data/china/image_1917th/80962518.pdf","80962518")</f>
        <v>80962518</v>
      </c>
      <c r="F414" s="9" t="s">
        <v>1178</v>
      </c>
      <c r="G414" s="12" t="s">
        <v>46</v>
      </c>
      <c r="H414" s="9" t="s">
        <v>1179</v>
      </c>
      <c r="I414" s="10">
        <v>45553</v>
      </c>
    </row>
    <row r="415" spans="1:9" x14ac:dyDescent="0.15">
      <c r="A415" s="9">
        <v>414</v>
      </c>
      <c r="B415" s="9" t="s">
        <v>9</v>
      </c>
      <c r="C415" s="9">
        <v>1917</v>
      </c>
      <c r="D415" s="10">
        <v>45653</v>
      </c>
      <c r="E415" s="9" t="str">
        <f>+HYPERLINK("http://trademark.i-assist.jp/data/china/image_1917th/80964530.pdf","80964530")</f>
        <v>80964530</v>
      </c>
      <c r="F415" s="9" t="s">
        <v>1180</v>
      </c>
      <c r="G415" s="12" t="s">
        <v>1181</v>
      </c>
      <c r="H415" s="9" t="s">
        <v>1182</v>
      </c>
      <c r="I415" s="10">
        <v>45553</v>
      </c>
    </row>
    <row r="416" spans="1:9" x14ac:dyDescent="0.15">
      <c r="A416" s="9">
        <v>415</v>
      </c>
      <c r="B416" s="9" t="s">
        <v>9</v>
      </c>
      <c r="C416" s="9">
        <v>1917</v>
      </c>
      <c r="D416" s="10">
        <v>45653</v>
      </c>
      <c r="E416" s="9" t="str">
        <f>+HYPERLINK("http://trademark.i-assist.jp/data/china/image_1917th/80964887.pdf","80964887")</f>
        <v>80964887</v>
      </c>
      <c r="F416" s="12" t="s">
        <v>1183</v>
      </c>
      <c r="G416" s="12" t="s">
        <v>46</v>
      </c>
      <c r="H416" s="9" t="s">
        <v>1184</v>
      </c>
      <c r="I416" s="10">
        <v>45553</v>
      </c>
    </row>
    <row r="417" spans="1:9" x14ac:dyDescent="0.15">
      <c r="A417" s="9">
        <v>416</v>
      </c>
      <c r="B417" s="9" t="s">
        <v>9</v>
      </c>
      <c r="C417" s="9">
        <v>1917</v>
      </c>
      <c r="D417" s="10">
        <v>45653</v>
      </c>
      <c r="E417" s="9" t="str">
        <f>+HYPERLINK("http://trademark.i-assist.jp/data/china/image_1917th/80965409.pdf","80965409")</f>
        <v>80965409</v>
      </c>
      <c r="F417" s="12" t="s">
        <v>1185</v>
      </c>
      <c r="G417" s="9" t="s">
        <v>1186</v>
      </c>
      <c r="H417" s="9" t="s">
        <v>1187</v>
      </c>
      <c r="I417" s="10">
        <v>45553</v>
      </c>
    </row>
    <row r="418" spans="1:9" x14ac:dyDescent="0.15">
      <c r="A418" s="9">
        <v>417</v>
      </c>
      <c r="B418" s="9" t="s">
        <v>9</v>
      </c>
      <c r="C418" s="9">
        <v>1917</v>
      </c>
      <c r="D418" s="10">
        <v>45653</v>
      </c>
      <c r="E418" s="9" t="str">
        <f>+HYPERLINK("http://trademark.i-assist.jp/data/china/image_1917th/80965640.pdf","80965640")</f>
        <v>80965640</v>
      </c>
      <c r="F418" s="9" t="s">
        <v>1188</v>
      </c>
      <c r="G418" s="12" t="s">
        <v>19</v>
      </c>
      <c r="H418" s="9" t="s">
        <v>1189</v>
      </c>
      <c r="I418" s="10">
        <v>45553</v>
      </c>
    </row>
    <row r="419" spans="1:9" x14ac:dyDescent="0.15">
      <c r="A419" s="9">
        <v>418</v>
      </c>
      <c r="B419" s="9" t="s">
        <v>9</v>
      </c>
      <c r="C419" s="9">
        <v>1917</v>
      </c>
      <c r="D419" s="10">
        <v>45653</v>
      </c>
      <c r="E419" s="9" t="str">
        <f>+HYPERLINK("http://trademark.i-assist.jp/data/china/image_1917th/80966558.pdf","80966558")</f>
        <v>80966558</v>
      </c>
      <c r="F419" s="12" t="s">
        <v>1190</v>
      </c>
      <c r="G419" s="9" t="s">
        <v>1191</v>
      </c>
      <c r="H419" s="9" t="s">
        <v>1192</v>
      </c>
      <c r="I419" s="10">
        <v>45553</v>
      </c>
    </row>
    <row r="420" spans="1:9" x14ac:dyDescent="0.15">
      <c r="A420" s="9">
        <v>419</v>
      </c>
      <c r="B420" s="9" t="s">
        <v>9</v>
      </c>
      <c r="C420" s="9">
        <v>1917</v>
      </c>
      <c r="D420" s="10">
        <v>45653</v>
      </c>
      <c r="E420" s="9" t="str">
        <f>+HYPERLINK("http://trademark.i-assist.jp/data/china/image_1917th/80968637.pdf","80968637")</f>
        <v>80968637</v>
      </c>
      <c r="F420" s="9" t="s">
        <v>1193</v>
      </c>
      <c r="G420" s="12" t="s">
        <v>36</v>
      </c>
      <c r="H420" s="9" t="s">
        <v>1194</v>
      </c>
      <c r="I420" s="10">
        <v>45553</v>
      </c>
    </row>
    <row r="421" spans="1:9" x14ac:dyDescent="0.15">
      <c r="A421" s="9">
        <v>420</v>
      </c>
      <c r="B421" s="9" t="s">
        <v>9</v>
      </c>
      <c r="C421" s="9">
        <v>1917</v>
      </c>
      <c r="D421" s="10">
        <v>45653</v>
      </c>
      <c r="E421" s="9" t="str">
        <f>+HYPERLINK("http://trademark.i-assist.jp/data/china/image_1917th/80968959.pdf","80968959")</f>
        <v>80968959</v>
      </c>
      <c r="F421" s="12" t="s">
        <v>12</v>
      </c>
      <c r="G421" s="9" t="s">
        <v>1195</v>
      </c>
      <c r="H421" s="9" t="s">
        <v>1196</v>
      </c>
      <c r="I421" s="10">
        <v>45553</v>
      </c>
    </row>
    <row r="422" spans="1:9" x14ac:dyDescent="0.15">
      <c r="A422" s="9">
        <v>421</v>
      </c>
      <c r="B422" s="9" t="s">
        <v>9</v>
      </c>
      <c r="C422" s="9">
        <v>1917</v>
      </c>
      <c r="D422" s="10">
        <v>45653</v>
      </c>
      <c r="E422" s="9" t="str">
        <f>+HYPERLINK("http://trademark.i-assist.jp/data/china/image_1917th/80969936.pdf","80969936")</f>
        <v>80969936</v>
      </c>
      <c r="F422" s="9" t="s">
        <v>1197</v>
      </c>
      <c r="G422" s="12" t="s">
        <v>1198</v>
      </c>
      <c r="H422" s="9" t="s">
        <v>1199</v>
      </c>
      <c r="I422" s="10">
        <v>45553</v>
      </c>
    </row>
    <row r="423" spans="1:9" x14ac:dyDescent="0.15">
      <c r="A423" s="9">
        <v>422</v>
      </c>
      <c r="B423" s="9" t="s">
        <v>9</v>
      </c>
      <c r="C423" s="9">
        <v>1917</v>
      </c>
      <c r="D423" s="10">
        <v>45653</v>
      </c>
      <c r="E423" s="9" t="str">
        <f>+HYPERLINK("http://trademark.i-assist.jp/data/china/image_1917th/80969941.pdf","80969941")</f>
        <v>80969941</v>
      </c>
      <c r="F423" s="9" t="s">
        <v>1200</v>
      </c>
      <c r="G423" s="12" t="s">
        <v>1201</v>
      </c>
      <c r="H423" s="9" t="s">
        <v>1202</v>
      </c>
      <c r="I423" s="10">
        <v>45553</v>
      </c>
    </row>
    <row r="424" spans="1:9" x14ac:dyDescent="0.15">
      <c r="A424" s="9">
        <v>423</v>
      </c>
      <c r="B424" s="9" t="s">
        <v>9</v>
      </c>
      <c r="C424" s="9">
        <v>1917</v>
      </c>
      <c r="D424" s="10">
        <v>45653</v>
      </c>
      <c r="E424" s="9" t="str">
        <f>+HYPERLINK("http://trademark.i-assist.jp/data/china/image_1917th/80970252.pdf","80970252")</f>
        <v>80970252</v>
      </c>
      <c r="F424" s="9" t="s">
        <v>1203</v>
      </c>
      <c r="G424" s="12" t="s">
        <v>1204</v>
      </c>
      <c r="H424" s="9" t="s">
        <v>1205</v>
      </c>
      <c r="I424" s="10">
        <v>45553</v>
      </c>
    </row>
    <row r="425" spans="1:9" x14ac:dyDescent="0.15">
      <c r="A425" s="9">
        <v>424</v>
      </c>
      <c r="B425" s="9" t="s">
        <v>9</v>
      </c>
      <c r="C425" s="9">
        <v>1917</v>
      </c>
      <c r="D425" s="10">
        <v>45653</v>
      </c>
      <c r="E425" s="9" t="str">
        <f>+HYPERLINK("http://trademark.i-assist.jp/data/china/image_1917th/80970548.pdf","80970548")</f>
        <v>80970548</v>
      </c>
      <c r="F425" s="12" t="s">
        <v>1206</v>
      </c>
      <c r="G425" s="9" t="s">
        <v>1207</v>
      </c>
      <c r="H425" s="9" t="s">
        <v>1208</v>
      </c>
      <c r="I425" s="10">
        <v>45553</v>
      </c>
    </row>
    <row r="426" spans="1:9" x14ac:dyDescent="0.15">
      <c r="A426" s="9">
        <v>425</v>
      </c>
      <c r="B426" s="9" t="s">
        <v>9</v>
      </c>
      <c r="C426" s="9">
        <v>1917</v>
      </c>
      <c r="D426" s="10">
        <v>45653</v>
      </c>
      <c r="E426" s="9" t="str">
        <f>+HYPERLINK("http://trademark.i-assist.jp/data/china/image_1917th/80972665.pdf","80972665")</f>
        <v>80972665</v>
      </c>
      <c r="F426" s="9" t="s">
        <v>1209</v>
      </c>
      <c r="G426" s="9" t="s">
        <v>1210</v>
      </c>
      <c r="H426" s="12" t="s">
        <v>1211</v>
      </c>
      <c r="I426" s="10">
        <v>45553</v>
      </c>
    </row>
    <row r="427" spans="1:9" x14ac:dyDescent="0.15">
      <c r="A427" s="9">
        <v>426</v>
      </c>
      <c r="B427" s="9" t="s">
        <v>9</v>
      </c>
      <c r="C427" s="9">
        <v>1917</v>
      </c>
      <c r="D427" s="10">
        <v>45653</v>
      </c>
      <c r="E427" s="9" t="str">
        <f>+HYPERLINK("http://trademark.i-assist.jp/data/china/image_1917th/80973359.pdf","80973359")</f>
        <v>80973359</v>
      </c>
      <c r="F427" s="9" t="s">
        <v>1212</v>
      </c>
      <c r="G427" s="9" t="s">
        <v>1213</v>
      </c>
      <c r="H427" s="9" t="s">
        <v>1214</v>
      </c>
      <c r="I427" s="10">
        <v>45553</v>
      </c>
    </row>
    <row r="428" spans="1:9" x14ac:dyDescent="0.15">
      <c r="A428" s="9">
        <v>427</v>
      </c>
      <c r="B428" s="9" t="s">
        <v>9</v>
      </c>
      <c r="C428" s="9">
        <v>1917</v>
      </c>
      <c r="D428" s="10">
        <v>45653</v>
      </c>
      <c r="E428" s="9" t="str">
        <f>+HYPERLINK("http://trademark.i-assist.jp/data/china/image_1917th/80974118.pdf","80974118")</f>
        <v>80974118</v>
      </c>
      <c r="F428" s="9" t="s">
        <v>1215</v>
      </c>
      <c r="G428" s="9" t="s">
        <v>1216</v>
      </c>
      <c r="H428" s="9" t="s">
        <v>1217</v>
      </c>
      <c r="I428" s="10">
        <v>45553</v>
      </c>
    </row>
    <row r="429" spans="1:9" x14ac:dyDescent="0.15">
      <c r="A429" s="9">
        <v>428</v>
      </c>
      <c r="B429" s="9" t="s">
        <v>9</v>
      </c>
      <c r="C429" s="9">
        <v>1917</v>
      </c>
      <c r="D429" s="10">
        <v>45653</v>
      </c>
      <c r="E429" s="9" t="str">
        <f>+HYPERLINK("http://trademark.i-assist.jp/data/china/image_1917th/80974609.pdf","80974609")</f>
        <v>80974609</v>
      </c>
      <c r="F429" s="9" t="s">
        <v>1218</v>
      </c>
      <c r="G429" s="12" t="s">
        <v>1219</v>
      </c>
      <c r="H429" s="9" t="s">
        <v>1220</v>
      </c>
      <c r="I429" s="10">
        <v>45553</v>
      </c>
    </row>
    <row r="430" spans="1:9" x14ac:dyDescent="0.15">
      <c r="A430" s="9">
        <v>429</v>
      </c>
      <c r="B430" s="9" t="s">
        <v>9</v>
      </c>
      <c r="C430" s="9">
        <v>1917</v>
      </c>
      <c r="D430" s="10">
        <v>45653</v>
      </c>
      <c r="E430" s="9" t="str">
        <f>+HYPERLINK("http://trademark.i-assist.jp/data/china/image_1917th/80976600.pdf","80976600")</f>
        <v>80976600</v>
      </c>
      <c r="F430" s="12" t="s">
        <v>1221</v>
      </c>
      <c r="G430" s="12" t="s">
        <v>1222</v>
      </c>
      <c r="H430" s="9" t="s">
        <v>1223</v>
      </c>
      <c r="I430" s="10">
        <v>45553</v>
      </c>
    </row>
    <row r="431" spans="1:9" x14ac:dyDescent="0.15">
      <c r="A431" s="9">
        <v>430</v>
      </c>
      <c r="B431" s="9" t="s">
        <v>9</v>
      </c>
      <c r="C431" s="9">
        <v>1917</v>
      </c>
      <c r="D431" s="10">
        <v>45653</v>
      </c>
      <c r="E431" s="9" t="str">
        <f>+HYPERLINK("http://trademark.i-assist.jp/data/china/image_1917th/80977223.pdf","80977223")</f>
        <v>80977223</v>
      </c>
      <c r="F431" s="9" t="s">
        <v>1224</v>
      </c>
      <c r="G431" s="12" t="s">
        <v>1225</v>
      </c>
      <c r="H431" s="9" t="s">
        <v>1226</v>
      </c>
      <c r="I431" s="10">
        <v>45553</v>
      </c>
    </row>
    <row r="432" spans="1:9" x14ac:dyDescent="0.15">
      <c r="A432" s="9">
        <v>431</v>
      </c>
      <c r="B432" s="9" t="s">
        <v>9</v>
      </c>
      <c r="C432" s="9">
        <v>1917</v>
      </c>
      <c r="D432" s="10">
        <v>45653</v>
      </c>
      <c r="E432" s="9" t="str">
        <f>+HYPERLINK("http://trademark.i-assist.jp/data/china/image_1917th/80977302.pdf","80977302")</f>
        <v>80977302</v>
      </c>
      <c r="F432" s="9" t="s">
        <v>1227</v>
      </c>
      <c r="G432" s="12" t="s">
        <v>1173</v>
      </c>
      <c r="H432" s="9" t="s">
        <v>1228</v>
      </c>
      <c r="I432" s="10">
        <v>45553</v>
      </c>
    </row>
    <row r="433" spans="1:9" x14ac:dyDescent="0.15">
      <c r="A433" s="9">
        <v>432</v>
      </c>
      <c r="B433" s="9" t="s">
        <v>9</v>
      </c>
      <c r="C433" s="9">
        <v>1917</v>
      </c>
      <c r="D433" s="10">
        <v>45653</v>
      </c>
      <c r="E433" s="9" t="str">
        <f>+HYPERLINK("http://trademark.i-assist.jp/data/china/image_1917th/80977703.pdf","80977703")</f>
        <v>80977703</v>
      </c>
      <c r="F433" s="9" t="s">
        <v>1229</v>
      </c>
      <c r="G433" s="9" t="s">
        <v>1230</v>
      </c>
      <c r="H433" s="9" t="s">
        <v>1231</v>
      </c>
      <c r="I433" s="10">
        <v>45553</v>
      </c>
    </row>
    <row r="434" spans="1:9" x14ac:dyDescent="0.15">
      <c r="A434" s="9">
        <v>433</v>
      </c>
      <c r="B434" s="9" t="s">
        <v>9</v>
      </c>
      <c r="C434" s="9">
        <v>1917</v>
      </c>
      <c r="D434" s="10">
        <v>45653</v>
      </c>
      <c r="E434" s="9" t="str">
        <f>+HYPERLINK("http://trademark.i-assist.jp/data/china/image_1917th/80979472.pdf","80979472")</f>
        <v>80979472</v>
      </c>
      <c r="F434" s="9" t="s">
        <v>1232</v>
      </c>
      <c r="G434" s="12" t="s">
        <v>1173</v>
      </c>
      <c r="H434" s="9" t="s">
        <v>1233</v>
      </c>
      <c r="I434" s="10">
        <v>45553</v>
      </c>
    </row>
    <row r="435" spans="1:9" x14ac:dyDescent="0.15">
      <c r="A435" s="9">
        <v>434</v>
      </c>
      <c r="B435" s="9" t="s">
        <v>9</v>
      </c>
      <c r="C435" s="9">
        <v>1917</v>
      </c>
      <c r="D435" s="10">
        <v>45653</v>
      </c>
      <c r="E435" s="9" t="str">
        <f>+HYPERLINK("http://trademark.i-assist.jp/data/china/image_1917th/80980856.pdf","80980856")</f>
        <v>80980856</v>
      </c>
      <c r="F435" s="9" t="s">
        <v>1234</v>
      </c>
      <c r="G435" s="9" t="s">
        <v>1235</v>
      </c>
      <c r="H435" s="9" t="s">
        <v>1236</v>
      </c>
      <c r="I435" s="10">
        <v>45554</v>
      </c>
    </row>
    <row r="436" spans="1:9" x14ac:dyDescent="0.15">
      <c r="A436" s="9">
        <v>435</v>
      </c>
      <c r="B436" s="9" t="s">
        <v>9</v>
      </c>
      <c r="C436" s="9">
        <v>1917</v>
      </c>
      <c r="D436" s="10">
        <v>45653</v>
      </c>
      <c r="E436" s="9" t="str">
        <f>+HYPERLINK("http://trademark.i-assist.jp/data/china/image_1917th/80981904.pdf","80981904")</f>
        <v>80981904</v>
      </c>
      <c r="F436" s="9" t="s">
        <v>1237</v>
      </c>
      <c r="G436" s="9" t="s">
        <v>1238</v>
      </c>
      <c r="H436" s="9" t="s">
        <v>1239</v>
      </c>
      <c r="I436" s="10">
        <v>45554</v>
      </c>
    </row>
    <row r="437" spans="1:9" x14ac:dyDescent="0.15">
      <c r="A437" s="9">
        <v>436</v>
      </c>
      <c r="B437" s="9" t="s">
        <v>9</v>
      </c>
      <c r="C437" s="9">
        <v>1917</v>
      </c>
      <c r="D437" s="10">
        <v>45653</v>
      </c>
      <c r="E437" s="9" t="str">
        <f>+HYPERLINK("http://trademark.i-assist.jp/data/china/image_1917th/80983862.pdf","80983862")</f>
        <v>80983862</v>
      </c>
      <c r="F437" s="9" t="s">
        <v>1240</v>
      </c>
      <c r="G437" s="12" t="s">
        <v>1241</v>
      </c>
      <c r="H437" s="9" t="s">
        <v>1242</v>
      </c>
      <c r="I437" s="10">
        <v>45554</v>
      </c>
    </row>
    <row r="438" spans="1:9" x14ac:dyDescent="0.15">
      <c r="A438" s="9">
        <v>437</v>
      </c>
      <c r="B438" s="9" t="s">
        <v>9</v>
      </c>
      <c r="C438" s="9">
        <v>1917</v>
      </c>
      <c r="D438" s="10">
        <v>45653</v>
      </c>
      <c r="E438" s="9" t="str">
        <f>+HYPERLINK("http://trademark.i-assist.jp/data/china/image_1917th/80983864.pdf","80983864")</f>
        <v>80983864</v>
      </c>
      <c r="F438" s="9" t="s">
        <v>1243</v>
      </c>
      <c r="G438" s="12" t="s">
        <v>1244</v>
      </c>
      <c r="H438" s="9" t="s">
        <v>1245</v>
      </c>
      <c r="I438" s="10">
        <v>45554</v>
      </c>
    </row>
    <row r="439" spans="1:9" x14ac:dyDescent="0.15">
      <c r="A439" s="9">
        <v>438</v>
      </c>
      <c r="B439" s="9" t="s">
        <v>9</v>
      </c>
      <c r="C439" s="9">
        <v>1917</v>
      </c>
      <c r="D439" s="10">
        <v>45653</v>
      </c>
      <c r="E439" s="9" t="str">
        <f>+HYPERLINK("http://trademark.i-assist.jp/data/china/image_1917th/80984522.pdf","80984522")</f>
        <v>80984522</v>
      </c>
      <c r="F439" s="9" t="s">
        <v>1246</v>
      </c>
      <c r="G439" s="9" t="s">
        <v>1247</v>
      </c>
      <c r="H439" s="9" t="s">
        <v>1248</v>
      </c>
      <c r="I439" s="10">
        <v>45554</v>
      </c>
    </row>
    <row r="440" spans="1:9" x14ac:dyDescent="0.15">
      <c r="A440" s="9">
        <v>439</v>
      </c>
      <c r="B440" s="9" t="s">
        <v>9</v>
      </c>
      <c r="C440" s="9">
        <v>1917</v>
      </c>
      <c r="D440" s="10">
        <v>45653</v>
      </c>
      <c r="E440" s="9" t="str">
        <f>+HYPERLINK("http://trademark.i-assist.jp/data/china/image_1917th/80988877.pdf","80988877")</f>
        <v>80988877</v>
      </c>
      <c r="F440" s="9" t="s">
        <v>1249</v>
      </c>
      <c r="G440" s="9" t="s">
        <v>1250</v>
      </c>
      <c r="H440" s="9" t="s">
        <v>1251</v>
      </c>
      <c r="I440" s="10">
        <v>45554</v>
      </c>
    </row>
    <row r="441" spans="1:9" x14ac:dyDescent="0.15">
      <c r="A441" s="9">
        <v>440</v>
      </c>
      <c r="B441" s="9" t="s">
        <v>9</v>
      </c>
      <c r="C441" s="9">
        <v>1917</v>
      </c>
      <c r="D441" s="10">
        <v>45653</v>
      </c>
      <c r="E441" s="9" t="str">
        <f>+HYPERLINK("http://trademark.i-assist.jp/data/china/image_1917th/80991160.pdf","80991160")</f>
        <v>80991160</v>
      </c>
      <c r="F441" s="9" t="s">
        <v>1252</v>
      </c>
      <c r="G441" s="9" t="s">
        <v>1253</v>
      </c>
      <c r="H441" s="9" t="s">
        <v>1254</v>
      </c>
      <c r="I441" s="10">
        <v>45554</v>
      </c>
    </row>
    <row r="442" spans="1:9" x14ac:dyDescent="0.15">
      <c r="A442" s="9">
        <v>441</v>
      </c>
      <c r="B442" s="9" t="s">
        <v>9</v>
      </c>
      <c r="C442" s="9">
        <v>1917</v>
      </c>
      <c r="D442" s="10">
        <v>45653</v>
      </c>
      <c r="E442" s="9" t="str">
        <f>+HYPERLINK("http://trademark.i-assist.jp/data/china/image_1917th/80991357.pdf","80991357")</f>
        <v>80991357</v>
      </c>
      <c r="F442" s="9" t="s">
        <v>1255</v>
      </c>
      <c r="G442" s="12" t="s">
        <v>1256</v>
      </c>
      <c r="H442" s="9" t="s">
        <v>1257</v>
      </c>
      <c r="I442" s="10">
        <v>45554</v>
      </c>
    </row>
    <row r="443" spans="1:9" x14ac:dyDescent="0.15">
      <c r="A443" s="9">
        <v>442</v>
      </c>
      <c r="B443" s="9" t="s">
        <v>9</v>
      </c>
      <c r="C443" s="9">
        <v>1917</v>
      </c>
      <c r="D443" s="10">
        <v>45653</v>
      </c>
      <c r="E443" s="9" t="str">
        <f>+HYPERLINK("http://trademark.i-assist.jp/data/china/image_1917th/80992343.pdf","80992343")</f>
        <v>80992343</v>
      </c>
      <c r="F443" s="9" t="s">
        <v>1258</v>
      </c>
      <c r="G443" s="12" t="s">
        <v>1259</v>
      </c>
      <c r="H443" s="9" t="s">
        <v>1260</v>
      </c>
      <c r="I443" s="10">
        <v>45554</v>
      </c>
    </row>
    <row r="444" spans="1:9" x14ac:dyDescent="0.15">
      <c r="A444" s="9">
        <v>443</v>
      </c>
      <c r="B444" s="9" t="s">
        <v>9</v>
      </c>
      <c r="C444" s="9">
        <v>1917</v>
      </c>
      <c r="D444" s="10">
        <v>45653</v>
      </c>
      <c r="E444" s="9" t="str">
        <f>+HYPERLINK("http://trademark.i-assist.jp/data/china/image_1917th/80992859.pdf","80992859")</f>
        <v>80992859</v>
      </c>
      <c r="F444" s="9" t="s">
        <v>1261</v>
      </c>
      <c r="G444" s="9" t="s">
        <v>1262</v>
      </c>
      <c r="H444" s="9" t="s">
        <v>1263</v>
      </c>
      <c r="I444" s="10">
        <v>45554</v>
      </c>
    </row>
    <row r="445" spans="1:9" x14ac:dyDescent="0.15">
      <c r="A445" s="9">
        <v>444</v>
      </c>
      <c r="B445" s="9" t="s">
        <v>9</v>
      </c>
      <c r="C445" s="9">
        <v>1917</v>
      </c>
      <c r="D445" s="10">
        <v>45653</v>
      </c>
      <c r="E445" s="9" t="str">
        <f>+HYPERLINK("http://trademark.i-assist.jp/data/china/image_1917th/80993005.pdf","80993005")</f>
        <v>80993005</v>
      </c>
      <c r="F445" s="9" t="s">
        <v>1264</v>
      </c>
      <c r="G445" s="12" t="s">
        <v>1265</v>
      </c>
      <c r="H445" s="9" t="s">
        <v>1266</v>
      </c>
      <c r="I445" s="10">
        <v>45554</v>
      </c>
    </row>
    <row r="446" spans="1:9" x14ac:dyDescent="0.15">
      <c r="A446" s="9">
        <v>445</v>
      </c>
      <c r="B446" s="9" t="s">
        <v>9</v>
      </c>
      <c r="C446" s="9">
        <v>1917</v>
      </c>
      <c r="D446" s="10">
        <v>45653</v>
      </c>
      <c r="E446" s="9" t="str">
        <f>+HYPERLINK("http://trademark.i-assist.jp/data/china/image_1917th/80994421.pdf","80994421")</f>
        <v>80994421</v>
      </c>
      <c r="F446" s="9" t="s">
        <v>1267</v>
      </c>
      <c r="G446" s="12" t="s">
        <v>1268</v>
      </c>
      <c r="H446" s="9" t="s">
        <v>1269</v>
      </c>
      <c r="I446" s="10">
        <v>45554</v>
      </c>
    </row>
    <row r="447" spans="1:9" x14ac:dyDescent="0.15">
      <c r="A447" s="9">
        <v>446</v>
      </c>
      <c r="B447" s="9" t="s">
        <v>9</v>
      </c>
      <c r="C447" s="9">
        <v>1917</v>
      </c>
      <c r="D447" s="10">
        <v>45653</v>
      </c>
      <c r="E447" s="9" t="str">
        <f>+HYPERLINK("http://trademark.i-assist.jp/data/china/image_1917th/80995662.pdf","80995662")</f>
        <v>80995662</v>
      </c>
      <c r="F447" s="9" t="s">
        <v>1270</v>
      </c>
      <c r="G447" s="9" t="s">
        <v>1271</v>
      </c>
      <c r="H447" s="9" t="s">
        <v>1272</v>
      </c>
      <c r="I447" s="10">
        <v>45554</v>
      </c>
    </row>
    <row r="448" spans="1:9" x14ac:dyDescent="0.15">
      <c r="A448" s="9">
        <v>447</v>
      </c>
      <c r="B448" s="9" t="s">
        <v>9</v>
      </c>
      <c r="C448" s="9">
        <v>1917</v>
      </c>
      <c r="D448" s="10">
        <v>45653</v>
      </c>
      <c r="E448" s="9" t="str">
        <f>+HYPERLINK("http://trademark.i-assist.jp/data/china/image_1917th/80995799.pdf","80995799")</f>
        <v>80995799</v>
      </c>
      <c r="F448" s="9" t="s">
        <v>1273</v>
      </c>
      <c r="G448" s="9" t="s">
        <v>1274</v>
      </c>
      <c r="H448" s="9" t="s">
        <v>1275</v>
      </c>
      <c r="I448" s="10">
        <v>45554</v>
      </c>
    </row>
    <row r="449" spans="1:9" x14ac:dyDescent="0.15">
      <c r="A449" s="9">
        <v>448</v>
      </c>
      <c r="B449" s="9" t="s">
        <v>9</v>
      </c>
      <c r="C449" s="9">
        <v>1917</v>
      </c>
      <c r="D449" s="10">
        <v>45653</v>
      </c>
      <c r="E449" s="9" t="str">
        <f>+HYPERLINK("http://trademark.i-assist.jp/data/china/image_1917th/80997741.pdf","80997741")</f>
        <v>80997741</v>
      </c>
      <c r="F449" s="9" t="s">
        <v>1276</v>
      </c>
      <c r="G449" s="12" t="s">
        <v>1268</v>
      </c>
      <c r="H449" s="9" t="s">
        <v>1277</v>
      </c>
      <c r="I449" s="10">
        <v>45554</v>
      </c>
    </row>
    <row r="450" spans="1:9" x14ac:dyDescent="0.15">
      <c r="A450" s="9">
        <v>449</v>
      </c>
      <c r="B450" s="9" t="s">
        <v>9</v>
      </c>
      <c r="C450" s="9">
        <v>1917</v>
      </c>
      <c r="D450" s="10">
        <v>45653</v>
      </c>
      <c r="E450" s="9" t="str">
        <f>+HYPERLINK("http://trademark.i-assist.jp/data/china/image_1917th/80997820.pdf","80997820")</f>
        <v>80997820</v>
      </c>
      <c r="F450" s="12" t="s">
        <v>1278</v>
      </c>
      <c r="G450" s="9" t="s">
        <v>714</v>
      </c>
      <c r="H450" s="9" t="s">
        <v>1279</v>
      </c>
      <c r="I450" s="10">
        <v>45554</v>
      </c>
    </row>
    <row r="451" spans="1:9" x14ac:dyDescent="0.15">
      <c r="A451" s="9">
        <v>450</v>
      </c>
      <c r="B451" s="9" t="s">
        <v>9</v>
      </c>
      <c r="C451" s="9">
        <v>1917</v>
      </c>
      <c r="D451" s="10">
        <v>45653</v>
      </c>
      <c r="E451" s="9" t="str">
        <f>+HYPERLINK("http://trademark.i-assist.jp/data/china/image_1917th/80999417.pdf","80999417")</f>
        <v>80999417</v>
      </c>
      <c r="F451" s="9" t="s">
        <v>1280</v>
      </c>
      <c r="G451" s="9" t="s">
        <v>1281</v>
      </c>
      <c r="H451" s="9" t="s">
        <v>1282</v>
      </c>
      <c r="I451" s="10">
        <v>45554</v>
      </c>
    </row>
    <row r="452" spans="1:9" x14ac:dyDescent="0.15">
      <c r="A452" s="9">
        <v>451</v>
      </c>
      <c r="B452" s="9" t="s">
        <v>9</v>
      </c>
      <c r="C452" s="9">
        <v>1917</v>
      </c>
      <c r="D452" s="10">
        <v>45653</v>
      </c>
      <c r="E452" s="9" t="str">
        <f>+HYPERLINK("http://trademark.i-assist.jp/data/china/image_1917th/81003880.pdf","81003880")</f>
        <v>81003880</v>
      </c>
      <c r="F452" s="9" t="s">
        <v>1283</v>
      </c>
      <c r="G452" s="9" t="s">
        <v>1284</v>
      </c>
      <c r="H452" s="9" t="s">
        <v>1285</v>
      </c>
      <c r="I452" s="10">
        <v>45554</v>
      </c>
    </row>
    <row r="453" spans="1:9" x14ac:dyDescent="0.15">
      <c r="A453" s="9">
        <v>452</v>
      </c>
      <c r="B453" s="9" t="s">
        <v>9</v>
      </c>
      <c r="C453" s="9">
        <v>1917</v>
      </c>
      <c r="D453" s="10">
        <v>45653</v>
      </c>
      <c r="E453" s="9" t="str">
        <f>+HYPERLINK("http://trademark.i-assist.jp/data/china/image_1917th/81006182.pdf","81006182")</f>
        <v>81006182</v>
      </c>
      <c r="F453" s="12" t="s">
        <v>1286</v>
      </c>
      <c r="G453" s="9" t="s">
        <v>39</v>
      </c>
      <c r="H453" s="9" t="s">
        <v>1287</v>
      </c>
      <c r="I453" s="10">
        <v>45555</v>
      </c>
    </row>
    <row r="454" spans="1:9" x14ac:dyDescent="0.15">
      <c r="A454" s="9">
        <v>453</v>
      </c>
      <c r="B454" s="9" t="s">
        <v>9</v>
      </c>
      <c r="C454" s="9">
        <v>1917</v>
      </c>
      <c r="D454" s="10">
        <v>45653</v>
      </c>
      <c r="E454" s="9" t="str">
        <f>+HYPERLINK("http://trademark.i-assist.jp/data/china/image_1917th/81007795.pdf","81007795")</f>
        <v>81007795</v>
      </c>
      <c r="F454" s="9" t="s">
        <v>1288</v>
      </c>
      <c r="G454" s="9" t="s">
        <v>1289</v>
      </c>
      <c r="H454" s="9" t="s">
        <v>1290</v>
      </c>
      <c r="I454" s="10">
        <v>45555</v>
      </c>
    </row>
    <row r="455" spans="1:9" x14ac:dyDescent="0.15">
      <c r="A455" s="9">
        <v>454</v>
      </c>
      <c r="B455" s="9" t="s">
        <v>9</v>
      </c>
      <c r="C455" s="9">
        <v>1917</v>
      </c>
      <c r="D455" s="10">
        <v>45653</v>
      </c>
      <c r="E455" s="9" t="str">
        <f>+HYPERLINK("http://trademark.i-assist.jp/data/china/image_1917th/81007850.pdf","81007850")</f>
        <v>81007850</v>
      </c>
      <c r="F455" s="9" t="s">
        <v>1291</v>
      </c>
      <c r="G455" s="9" t="s">
        <v>1292</v>
      </c>
      <c r="H455" s="9" t="s">
        <v>1293</v>
      </c>
      <c r="I455" s="10">
        <v>45555</v>
      </c>
    </row>
    <row r="456" spans="1:9" x14ac:dyDescent="0.15">
      <c r="A456" s="9">
        <v>455</v>
      </c>
      <c r="B456" s="9" t="s">
        <v>9</v>
      </c>
      <c r="C456" s="9">
        <v>1917</v>
      </c>
      <c r="D456" s="10">
        <v>45653</v>
      </c>
      <c r="E456" s="9" t="str">
        <f>+HYPERLINK("http://trademark.i-assist.jp/data/china/image_1917th/81008252.pdf","81008252")</f>
        <v>81008252</v>
      </c>
      <c r="F456" s="9" t="s">
        <v>1294</v>
      </c>
      <c r="G456" s="12" t="s">
        <v>1295</v>
      </c>
      <c r="H456" s="9" t="s">
        <v>1296</v>
      </c>
      <c r="I456" s="10">
        <v>45555</v>
      </c>
    </row>
    <row r="457" spans="1:9" x14ac:dyDescent="0.15">
      <c r="A457" s="9">
        <v>456</v>
      </c>
      <c r="B457" s="9" t="s">
        <v>9</v>
      </c>
      <c r="C457" s="9">
        <v>1917</v>
      </c>
      <c r="D457" s="10">
        <v>45653</v>
      </c>
      <c r="E457" s="9" t="str">
        <f>+HYPERLINK("http://trademark.i-assist.jp/data/china/image_1917th/81009171.pdf","81009171")</f>
        <v>81009171</v>
      </c>
      <c r="F457" s="12" t="s">
        <v>12</v>
      </c>
      <c r="G457" s="9" t="s">
        <v>1297</v>
      </c>
      <c r="H457" s="9" t="s">
        <v>1298</v>
      </c>
      <c r="I457" s="10">
        <v>45555</v>
      </c>
    </row>
    <row r="458" spans="1:9" x14ac:dyDescent="0.15">
      <c r="A458" s="9">
        <v>457</v>
      </c>
      <c r="B458" s="9" t="s">
        <v>9</v>
      </c>
      <c r="C458" s="9">
        <v>1917</v>
      </c>
      <c r="D458" s="10">
        <v>45653</v>
      </c>
      <c r="E458" s="9" t="str">
        <f>+HYPERLINK("http://trademark.i-assist.jp/data/china/image_1917th/81009317.pdf","81009317")</f>
        <v>81009317</v>
      </c>
      <c r="F458" s="9" t="s">
        <v>1299</v>
      </c>
      <c r="G458" s="12" t="s">
        <v>1300</v>
      </c>
      <c r="H458" s="9" t="s">
        <v>1301</v>
      </c>
      <c r="I458" s="10">
        <v>45555</v>
      </c>
    </row>
    <row r="459" spans="1:9" x14ac:dyDescent="0.15">
      <c r="A459" s="9">
        <v>458</v>
      </c>
      <c r="B459" s="9" t="s">
        <v>9</v>
      </c>
      <c r="C459" s="9">
        <v>1917</v>
      </c>
      <c r="D459" s="10">
        <v>45653</v>
      </c>
      <c r="E459" s="9" t="str">
        <f>+HYPERLINK("http://trademark.i-assist.jp/data/china/image_1917th/81009550.pdf","81009550")</f>
        <v>81009550</v>
      </c>
      <c r="F459" s="9" t="s">
        <v>1302</v>
      </c>
      <c r="G459" s="12" t="s">
        <v>1295</v>
      </c>
      <c r="H459" s="9" t="s">
        <v>1303</v>
      </c>
      <c r="I459" s="10">
        <v>45555</v>
      </c>
    </row>
    <row r="460" spans="1:9" x14ac:dyDescent="0.15">
      <c r="A460" s="9">
        <v>459</v>
      </c>
      <c r="B460" s="9" t="s">
        <v>9</v>
      </c>
      <c r="C460" s="9">
        <v>1917</v>
      </c>
      <c r="D460" s="10">
        <v>45653</v>
      </c>
      <c r="E460" s="9" t="str">
        <f>+HYPERLINK("http://trademark.i-assist.jp/data/china/image_1917th/81009790.pdf","81009790")</f>
        <v>81009790</v>
      </c>
      <c r="F460" s="9" t="s">
        <v>1304</v>
      </c>
      <c r="G460" s="9" t="s">
        <v>1305</v>
      </c>
      <c r="H460" s="9" t="s">
        <v>1306</v>
      </c>
      <c r="I460" s="10">
        <v>45555</v>
      </c>
    </row>
    <row r="461" spans="1:9" x14ac:dyDescent="0.15">
      <c r="A461" s="9">
        <v>460</v>
      </c>
      <c r="B461" s="9" t="s">
        <v>9</v>
      </c>
      <c r="C461" s="9">
        <v>1917</v>
      </c>
      <c r="D461" s="10">
        <v>45653</v>
      </c>
      <c r="E461" s="9" t="str">
        <f>+HYPERLINK("http://trademark.i-assist.jp/data/china/image_1917th/81011088.pdf","81011088")</f>
        <v>81011088</v>
      </c>
      <c r="F461" s="9" t="s">
        <v>1307</v>
      </c>
      <c r="G461" s="12" t="s">
        <v>1300</v>
      </c>
      <c r="H461" s="9" t="s">
        <v>1308</v>
      </c>
      <c r="I461" s="10">
        <v>45555</v>
      </c>
    </row>
    <row r="462" spans="1:9" x14ac:dyDescent="0.15">
      <c r="A462" s="9">
        <v>461</v>
      </c>
      <c r="B462" s="9" t="s">
        <v>9</v>
      </c>
      <c r="C462" s="9">
        <v>1917</v>
      </c>
      <c r="D462" s="10">
        <v>45653</v>
      </c>
      <c r="E462" s="9" t="str">
        <f>+HYPERLINK("http://trademark.i-assist.jp/data/china/image_1917th/81011419.pdf","81011419")</f>
        <v>81011419</v>
      </c>
      <c r="F462" s="9" t="s">
        <v>1309</v>
      </c>
      <c r="G462" s="9" t="s">
        <v>1310</v>
      </c>
      <c r="H462" s="9" t="s">
        <v>1311</v>
      </c>
      <c r="I462" s="10">
        <v>45555</v>
      </c>
    </row>
    <row r="463" spans="1:9" x14ac:dyDescent="0.15">
      <c r="A463" s="9">
        <v>462</v>
      </c>
      <c r="B463" s="9" t="s">
        <v>9</v>
      </c>
      <c r="C463" s="9">
        <v>1917</v>
      </c>
      <c r="D463" s="10">
        <v>45653</v>
      </c>
      <c r="E463" s="9" t="str">
        <f>+HYPERLINK("http://trademark.i-assist.jp/data/china/image_1917th/81013046.pdf","81013046")</f>
        <v>81013046</v>
      </c>
      <c r="F463" s="9" t="s">
        <v>1312</v>
      </c>
      <c r="G463" s="9" t="s">
        <v>1313</v>
      </c>
      <c r="H463" s="9" t="s">
        <v>1314</v>
      </c>
      <c r="I463" s="10">
        <v>45555</v>
      </c>
    </row>
    <row r="464" spans="1:9" x14ac:dyDescent="0.15">
      <c r="A464" s="9">
        <v>463</v>
      </c>
      <c r="B464" s="9" t="s">
        <v>9</v>
      </c>
      <c r="C464" s="9">
        <v>1917</v>
      </c>
      <c r="D464" s="10">
        <v>45653</v>
      </c>
      <c r="E464" s="9" t="str">
        <f>+HYPERLINK("http://trademark.i-assist.jp/data/china/image_1917th/81013056.pdf","81013056")</f>
        <v>81013056</v>
      </c>
      <c r="F464" s="9" t="s">
        <v>1315</v>
      </c>
      <c r="G464" s="9" t="s">
        <v>1316</v>
      </c>
      <c r="H464" s="9" t="s">
        <v>1317</v>
      </c>
      <c r="I464" s="10">
        <v>45555</v>
      </c>
    </row>
    <row r="465" spans="1:9" x14ac:dyDescent="0.15">
      <c r="A465" s="9">
        <v>464</v>
      </c>
      <c r="B465" s="9" t="s">
        <v>9</v>
      </c>
      <c r="C465" s="9">
        <v>1917</v>
      </c>
      <c r="D465" s="10">
        <v>45653</v>
      </c>
      <c r="E465" s="9" t="str">
        <f>+HYPERLINK("http://trademark.i-assist.jp/data/china/image_1917th/81013414.pdf","81013414")</f>
        <v>81013414</v>
      </c>
      <c r="F465" s="9" t="s">
        <v>1318</v>
      </c>
      <c r="G465" s="12" t="s">
        <v>1300</v>
      </c>
      <c r="H465" s="9" t="s">
        <v>1319</v>
      </c>
      <c r="I465" s="10">
        <v>45555</v>
      </c>
    </row>
    <row r="466" spans="1:9" x14ac:dyDescent="0.15">
      <c r="A466" s="9">
        <v>465</v>
      </c>
      <c r="B466" s="9" t="s">
        <v>9</v>
      </c>
      <c r="C466" s="9">
        <v>1917</v>
      </c>
      <c r="D466" s="10">
        <v>45653</v>
      </c>
      <c r="E466" s="9" t="str">
        <f>+HYPERLINK("http://trademark.i-assist.jp/data/china/image_1917th/81014060.pdf","81014060")</f>
        <v>81014060</v>
      </c>
      <c r="F466" s="9" t="s">
        <v>1320</v>
      </c>
      <c r="G466" s="9" t="s">
        <v>1321</v>
      </c>
      <c r="H466" s="9" t="s">
        <v>1322</v>
      </c>
      <c r="I466" s="10">
        <v>45555</v>
      </c>
    </row>
    <row r="467" spans="1:9" x14ac:dyDescent="0.15">
      <c r="A467" s="9">
        <v>466</v>
      </c>
      <c r="B467" s="9" t="s">
        <v>9</v>
      </c>
      <c r="C467" s="9">
        <v>1917</v>
      </c>
      <c r="D467" s="10">
        <v>45653</v>
      </c>
      <c r="E467" s="9" t="str">
        <f>+HYPERLINK("http://trademark.i-assist.jp/data/china/image_1917th/81014061.pdf","81014061")</f>
        <v>81014061</v>
      </c>
      <c r="F467" s="9" t="s">
        <v>1323</v>
      </c>
      <c r="G467" s="12" t="s">
        <v>1324</v>
      </c>
      <c r="H467" s="9" t="s">
        <v>1325</v>
      </c>
      <c r="I467" s="10">
        <v>45555</v>
      </c>
    </row>
    <row r="468" spans="1:9" x14ac:dyDescent="0.15">
      <c r="A468" s="9">
        <v>467</v>
      </c>
      <c r="B468" s="9" t="s">
        <v>9</v>
      </c>
      <c r="C468" s="9">
        <v>1917</v>
      </c>
      <c r="D468" s="10">
        <v>45653</v>
      </c>
      <c r="E468" s="9" t="str">
        <f>+HYPERLINK("http://trademark.i-assist.jp/data/china/image_1917th/81014225.pdf","81014225")</f>
        <v>81014225</v>
      </c>
      <c r="F468" s="9" t="s">
        <v>1326</v>
      </c>
      <c r="G468" s="12" t="s">
        <v>1300</v>
      </c>
      <c r="H468" s="9" t="s">
        <v>1327</v>
      </c>
      <c r="I468" s="10">
        <v>45555</v>
      </c>
    </row>
    <row r="469" spans="1:9" x14ac:dyDescent="0.15">
      <c r="A469" s="9">
        <v>468</v>
      </c>
      <c r="B469" s="9" t="s">
        <v>9</v>
      </c>
      <c r="C469" s="9">
        <v>1917</v>
      </c>
      <c r="D469" s="10">
        <v>45653</v>
      </c>
      <c r="E469" s="9" t="str">
        <f>+HYPERLINK("http://trademark.i-assist.jp/data/china/image_1917th/81014305.pdf","81014305")</f>
        <v>81014305</v>
      </c>
      <c r="F469" s="12" t="s">
        <v>1328</v>
      </c>
      <c r="G469" s="12" t="s">
        <v>1329</v>
      </c>
      <c r="H469" s="9" t="s">
        <v>1330</v>
      </c>
      <c r="I469" s="10">
        <v>45555</v>
      </c>
    </row>
    <row r="470" spans="1:9" x14ac:dyDescent="0.15">
      <c r="A470" s="9">
        <v>469</v>
      </c>
      <c r="B470" s="9" t="s">
        <v>9</v>
      </c>
      <c r="C470" s="9">
        <v>1917</v>
      </c>
      <c r="D470" s="10">
        <v>45653</v>
      </c>
      <c r="E470" s="9" t="str">
        <f>+HYPERLINK("http://trademark.i-assist.jp/data/china/image_1917th/81014346.pdf","81014346")</f>
        <v>81014346</v>
      </c>
      <c r="F470" s="9" t="s">
        <v>1331</v>
      </c>
      <c r="G470" s="9" t="s">
        <v>1332</v>
      </c>
      <c r="H470" s="9" t="s">
        <v>1333</v>
      </c>
      <c r="I470" s="10">
        <v>45555</v>
      </c>
    </row>
    <row r="471" spans="1:9" x14ac:dyDescent="0.15">
      <c r="A471" s="9">
        <v>470</v>
      </c>
      <c r="B471" s="9" t="s">
        <v>9</v>
      </c>
      <c r="C471" s="9">
        <v>1917</v>
      </c>
      <c r="D471" s="10">
        <v>45653</v>
      </c>
      <c r="E471" s="9" t="str">
        <f>+HYPERLINK("http://trademark.i-assist.jp/data/china/image_1917th/81015884.pdf","81015884")</f>
        <v>81015884</v>
      </c>
      <c r="F471" s="9" t="s">
        <v>1334</v>
      </c>
      <c r="G471" s="12" t="s">
        <v>1335</v>
      </c>
      <c r="H471" s="12" t="s">
        <v>1336</v>
      </c>
      <c r="I471" s="10">
        <v>45555</v>
      </c>
    </row>
    <row r="472" spans="1:9" x14ac:dyDescent="0.15">
      <c r="A472" s="9">
        <v>471</v>
      </c>
      <c r="B472" s="9" t="s">
        <v>9</v>
      </c>
      <c r="C472" s="9">
        <v>1917</v>
      </c>
      <c r="D472" s="10">
        <v>45653</v>
      </c>
      <c r="E472" s="9" t="str">
        <f>+HYPERLINK("http://trademark.i-assist.jp/data/china/image_1917th/81016370.pdf","81016370")</f>
        <v>81016370</v>
      </c>
      <c r="F472" s="9" t="s">
        <v>1337</v>
      </c>
      <c r="G472" s="9" t="s">
        <v>1338</v>
      </c>
      <c r="H472" s="12" t="s">
        <v>1339</v>
      </c>
      <c r="I472" s="10">
        <v>45555</v>
      </c>
    </row>
    <row r="473" spans="1:9" x14ac:dyDescent="0.15">
      <c r="A473" s="9">
        <v>472</v>
      </c>
      <c r="B473" s="9" t="s">
        <v>9</v>
      </c>
      <c r="C473" s="9">
        <v>1917</v>
      </c>
      <c r="D473" s="10">
        <v>45653</v>
      </c>
      <c r="E473" s="9" t="str">
        <f>+HYPERLINK("http://trademark.i-assist.jp/data/china/image_1917th/81016783.pdf","81016783")</f>
        <v>81016783</v>
      </c>
      <c r="F473" s="9" t="s">
        <v>1340</v>
      </c>
      <c r="G473" s="12" t="s">
        <v>1341</v>
      </c>
      <c r="H473" s="9" t="s">
        <v>1342</v>
      </c>
      <c r="I473" s="10">
        <v>45555</v>
      </c>
    </row>
    <row r="474" spans="1:9" x14ac:dyDescent="0.15">
      <c r="A474" s="9">
        <v>473</v>
      </c>
      <c r="B474" s="9" t="s">
        <v>9</v>
      </c>
      <c r="C474" s="9">
        <v>1917</v>
      </c>
      <c r="D474" s="10">
        <v>45653</v>
      </c>
      <c r="E474" s="9" t="str">
        <f>+HYPERLINK("http://trademark.i-assist.jp/data/china/image_1917th/81016962.pdf","81016962")</f>
        <v>81016962</v>
      </c>
      <c r="F474" s="9" t="s">
        <v>1343</v>
      </c>
      <c r="G474" s="9" t="s">
        <v>1344</v>
      </c>
      <c r="H474" s="9" t="s">
        <v>1345</v>
      </c>
      <c r="I474" s="10">
        <v>45555</v>
      </c>
    </row>
    <row r="475" spans="1:9" x14ac:dyDescent="0.15">
      <c r="A475" s="9">
        <v>474</v>
      </c>
      <c r="B475" s="9" t="s">
        <v>9</v>
      </c>
      <c r="C475" s="9">
        <v>1917</v>
      </c>
      <c r="D475" s="10">
        <v>45653</v>
      </c>
      <c r="E475" s="9" t="str">
        <f>+HYPERLINK("http://trademark.i-assist.jp/data/china/image_1917th/81017216.pdf","81017216")</f>
        <v>81017216</v>
      </c>
      <c r="F475" s="9" t="s">
        <v>1346</v>
      </c>
      <c r="G475" s="9" t="s">
        <v>1347</v>
      </c>
      <c r="H475" s="9" t="s">
        <v>1348</v>
      </c>
      <c r="I475" s="10">
        <v>45555</v>
      </c>
    </row>
    <row r="476" spans="1:9" x14ac:dyDescent="0.15">
      <c r="A476" s="9">
        <v>475</v>
      </c>
      <c r="B476" s="9" t="s">
        <v>9</v>
      </c>
      <c r="C476" s="9">
        <v>1917</v>
      </c>
      <c r="D476" s="10">
        <v>45653</v>
      </c>
      <c r="E476" s="9" t="str">
        <f>+HYPERLINK("http://trademark.i-assist.jp/data/china/image_1917th/81017507.pdf","81017507")</f>
        <v>81017507</v>
      </c>
      <c r="F476" s="9" t="s">
        <v>1349</v>
      </c>
      <c r="G476" s="9" t="s">
        <v>1350</v>
      </c>
      <c r="H476" s="9" t="s">
        <v>1351</v>
      </c>
      <c r="I476" s="10">
        <v>45555</v>
      </c>
    </row>
    <row r="477" spans="1:9" x14ac:dyDescent="0.15">
      <c r="A477" s="9">
        <v>476</v>
      </c>
      <c r="B477" s="9" t="s">
        <v>9</v>
      </c>
      <c r="C477" s="9">
        <v>1917</v>
      </c>
      <c r="D477" s="10">
        <v>45653</v>
      </c>
      <c r="E477" s="9" t="str">
        <f>+HYPERLINK("http://trademark.i-assist.jp/data/china/image_1917th/81018425.pdf","81018425")</f>
        <v>81018425</v>
      </c>
      <c r="F477" s="12" t="s">
        <v>12</v>
      </c>
      <c r="G477" s="9" t="s">
        <v>1352</v>
      </c>
      <c r="H477" s="9" t="s">
        <v>1353</v>
      </c>
      <c r="I477" s="10">
        <v>45555</v>
      </c>
    </row>
    <row r="478" spans="1:9" x14ac:dyDescent="0.15">
      <c r="A478" s="9">
        <v>477</v>
      </c>
      <c r="B478" s="9" t="s">
        <v>9</v>
      </c>
      <c r="C478" s="9">
        <v>1917</v>
      </c>
      <c r="D478" s="10">
        <v>45653</v>
      </c>
      <c r="E478" s="9" t="str">
        <f>+HYPERLINK("http://trademark.i-assist.jp/data/china/image_1917th/81018701.pdf","81018701")</f>
        <v>81018701</v>
      </c>
      <c r="F478" s="9" t="s">
        <v>1354</v>
      </c>
      <c r="G478" s="9" t="s">
        <v>1355</v>
      </c>
      <c r="H478" s="9" t="s">
        <v>1356</v>
      </c>
      <c r="I478" s="10">
        <v>45555</v>
      </c>
    </row>
    <row r="479" spans="1:9" x14ac:dyDescent="0.15">
      <c r="A479" s="9">
        <v>478</v>
      </c>
      <c r="B479" s="9" t="s">
        <v>9</v>
      </c>
      <c r="C479" s="9">
        <v>1917</v>
      </c>
      <c r="D479" s="10">
        <v>45653</v>
      </c>
      <c r="E479" s="9" t="str">
        <f>+HYPERLINK("http://trademark.i-assist.jp/data/china/image_1917th/81019267.pdf","81019267")</f>
        <v>81019267</v>
      </c>
      <c r="F479" s="9" t="s">
        <v>1357</v>
      </c>
      <c r="G479" s="9" t="s">
        <v>1358</v>
      </c>
      <c r="H479" s="9" t="s">
        <v>1359</v>
      </c>
      <c r="I479" s="10">
        <v>45555</v>
      </c>
    </row>
    <row r="480" spans="1:9" x14ac:dyDescent="0.15">
      <c r="A480" s="9">
        <v>479</v>
      </c>
      <c r="B480" s="9" t="s">
        <v>9</v>
      </c>
      <c r="C480" s="9">
        <v>1917</v>
      </c>
      <c r="D480" s="10">
        <v>45653</v>
      </c>
      <c r="E480" s="9" t="str">
        <f>+HYPERLINK("http://trademark.i-assist.jp/data/china/image_1917th/81019395.pdf","81019395")</f>
        <v>81019395</v>
      </c>
      <c r="F480" s="9" t="s">
        <v>1360</v>
      </c>
      <c r="G480" s="9" t="s">
        <v>1361</v>
      </c>
      <c r="H480" s="9" t="s">
        <v>1362</v>
      </c>
      <c r="I480" s="10">
        <v>45555</v>
      </c>
    </row>
    <row r="481" spans="1:9" x14ac:dyDescent="0.15">
      <c r="A481" s="9">
        <v>480</v>
      </c>
      <c r="B481" s="9" t="s">
        <v>9</v>
      </c>
      <c r="C481" s="9">
        <v>1917</v>
      </c>
      <c r="D481" s="10">
        <v>45653</v>
      </c>
      <c r="E481" s="9" t="str">
        <f>+HYPERLINK("http://trademark.i-assist.jp/data/china/image_1917th/81019642.pdf","81019642")</f>
        <v>81019642</v>
      </c>
      <c r="F481" s="9" t="s">
        <v>1363</v>
      </c>
      <c r="G481" s="12" t="s">
        <v>1364</v>
      </c>
      <c r="H481" s="9" t="s">
        <v>1365</v>
      </c>
      <c r="I481" s="10">
        <v>45555</v>
      </c>
    </row>
    <row r="482" spans="1:9" x14ac:dyDescent="0.15">
      <c r="A482" s="9">
        <v>481</v>
      </c>
      <c r="B482" s="9" t="s">
        <v>9</v>
      </c>
      <c r="C482" s="9">
        <v>1917</v>
      </c>
      <c r="D482" s="10">
        <v>45653</v>
      </c>
      <c r="E482" s="9" t="str">
        <f>+HYPERLINK("http://trademark.i-assist.jp/data/china/image_1917th/81019834.pdf","81019834")</f>
        <v>81019834</v>
      </c>
      <c r="F482" s="9" t="s">
        <v>1366</v>
      </c>
      <c r="G482" s="9" t="s">
        <v>1367</v>
      </c>
      <c r="H482" s="9" t="s">
        <v>1368</v>
      </c>
      <c r="I482" s="10">
        <v>45555</v>
      </c>
    </row>
    <row r="483" spans="1:9" x14ac:dyDescent="0.15">
      <c r="A483" s="9">
        <v>482</v>
      </c>
      <c r="B483" s="9" t="s">
        <v>9</v>
      </c>
      <c r="C483" s="9">
        <v>1917</v>
      </c>
      <c r="D483" s="10">
        <v>45653</v>
      </c>
      <c r="E483" s="9" t="str">
        <f>+HYPERLINK("http://trademark.i-assist.jp/data/china/image_1917th/81019983.pdf","81019983")</f>
        <v>81019983</v>
      </c>
      <c r="F483" s="9" t="s">
        <v>1369</v>
      </c>
      <c r="G483" s="9" t="s">
        <v>1370</v>
      </c>
      <c r="H483" s="9" t="s">
        <v>1371</v>
      </c>
      <c r="I483" s="10">
        <v>45555</v>
      </c>
    </row>
    <row r="484" spans="1:9" x14ac:dyDescent="0.15">
      <c r="A484" s="9">
        <v>483</v>
      </c>
      <c r="B484" s="9" t="s">
        <v>9</v>
      </c>
      <c r="C484" s="9">
        <v>1917</v>
      </c>
      <c r="D484" s="10">
        <v>45653</v>
      </c>
      <c r="E484" s="9" t="str">
        <f>+HYPERLINK("http://trademark.i-assist.jp/data/china/image_1917th/81021735.pdf","81021735")</f>
        <v>81021735</v>
      </c>
      <c r="F484" s="9" t="s">
        <v>1372</v>
      </c>
      <c r="G484" s="9" t="s">
        <v>1373</v>
      </c>
      <c r="H484" s="9" t="s">
        <v>1374</v>
      </c>
      <c r="I484" s="10">
        <v>45555</v>
      </c>
    </row>
    <row r="485" spans="1:9" x14ac:dyDescent="0.15">
      <c r="A485" s="9">
        <v>484</v>
      </c>
      <c r="B485" s="9" t="s">
        <v>9</v>
      </c>
      <c r="C485" s="9">
        <v>1917</v>
      </c>
      <c r="D485" s="10">
        <v>45653</v>
      </c>
      <c r="E485" s="9" t="str">
        <f>+HYPERLINK("http://trademark.i-assist.jp/data/china/image_1917th/81021740.pdf","81021740")</f>
        <v>81021740</v>
      </c>
      <c r="F485" s="12" t="s">
        <v>1375</v>
      </c>
      <c r="G485" s="9" t="s">
        <v>1373</v>
      </c>
      <c r="H485" s="9" t="s">
        <v>1376</v>
      </c>
      <c r="I485" s="10">
        <v>45555</v>
      </c>
    </row>
    <row r="486" spans="1:9" x14ac:dyDescent="0.15">
      <c r="A486" s="9">
        <v>485</v>
      </c>
      <c r="B486" s="9" t="s">
        <v>9</v>
      </c>
      <c r="C486" s="9">
        <v>1917</v>
      </c>
      <c r="D486" s="10">
        <v>45653</v>
      </c>
      <c r="E486" s="9" t="str">
        <f>+HYPERLINK("http://trademark.i-assist.jp/data/china/image_1917th/81022162.pdf","81022162")</f>
        <v>81022162</v>
      </c>
      <c r="F486" s="9" t="s">
        <v>1377</v>
      </c>
      <c r="G486" s="9" t="s">
        <v>1352</v>
      </c>
      <c r="H486" s="9" t="s">
        <v>1378</v>
      </c>
      <c r="I486" s="10">
        <v>45555</v>
      </c>
    </row>
    <row r="487" spans="1:9" x14ac:dyDescent="0.15">
      <c r="A487" s="9">
        <v>486</v>
      </c>
      <c r="B487" s="9" t="s">
        <v>9</v>
      </c>
      <c r="C487" s="9">
        <v>1917</v>
      </c>
      <c r="D487" s="10">
        <v>45653</v>
      </c>
      <c r="E487" s="9" t="str">
        <f>+HYPERLINK("http://trademark.i-assist.jp/data/china/image_1917th/81023627.pdf","81023627")</f>
        <v>81023627</v>
      </c>
      <c r="F487" s="9" t="s">
        <v>1379</v>
      </c>
      <c r="G487" s="9" t="s">
        <v>1380</v>
      </c>
      <c r="H487" s="9" t="s">
        <v>1381</v>
      </c>
      <c r="I487" s="10">
        <v>45555</v>
      </c>
    </row>
    <row r="488" spans="1:9" x14ac:dyDescent="0.15">
      <c r="A488" s="9">
        <v>487</v>
      </c>
      <c r="B488" s="9" t="s">
        <v>9</v>
      </c>
      <c r="C488" s="9">
        <v>1917</v>
      </c>
      <c r="D488" s="10">
        <v>45653</v>
      </c>
      <c r="E488" s="9" t="str">
        <f>+HYPERLINK("http://trademark.i-assist.jp/data/china/image_1917th/81025651.pdf","81025651")</f>
        <v>81025651</v>
      </c>
      <c r="F488" s="9" t="s">
        <v>1382</v>
      </c>
      <c r="G488" s="9" t="s">
        <v>1383</v>
      </c>
      <c r="H488" s="9" t="s">
        <v>1384</v>
      </c>
      <c r="I488" s="10">
        <v>45555</v>
      </c>
    </row>
    <row r="489" spans="1:9" x14ac:dyDescent="0.15">
      <c r="A489" s="9">
        <v>488</v>
      </c>
      <c r="B489" s="9" t="s">
        <v>9</v>
      </c>
      <c r="C489" s="9">
        <v>1917</v>
      </c>
      <c r="D489" s="10">
        <v>45653</v>
      </c>
      <c r="E489" s="9" t="str">
        <f>+HYPERLINK("http://trademark.i-assist.jp/data/china/image_1917th/81026318.pdf","81026318")</f>
        <v>81026318</v>
      </c>
      <c r="F489" s="9" t="s">
        <v>1385</v>
      </c>
      <c r="G489" s="9" t="s">
        <v>1386</v>
      </c>
      <c r="H489" s="9" t="s">
        <v>1387</v>
      </c>
      <c r="I489" s="10">
        <v>45555</v>
      </c>
    </row>
    <row r="490" spans="1:9" x14ac:dyDescent="0.15">
      <c r="A490" s="9">
        <v>489</v>
      </c>
      <c r="B490" s="9" t="s">
        <v>9</v>
      </c>
      <c r="C490" s="9">
        <v>1917</v>
      </c>
      <c r="D490" s="10">
        <v>45653</v>
      </c>
      <c r="E490" s="9" t="str">
        <f>+HYPERLINK("http://trademark.i-assist.jp/data/china/image_1917th/81026950.pdf","81026950")</f>
        <v>81026950</v>
      </c>
      <c r="F490" s="9" t="s">
        <v>1388</v>
      </c>
      <c r="G490" s="9" t="s">
        <v>1389</v>
      </c>
      <c r="H490" s="12" t="s">
        <v>1390</v>
      </c>
      <c r="I490" s="10">
        <v>45555</v>
      </c>
    </row>
    <row r="491" spans="1:9" x14ac:dyDescent="0.15">
      <c r="A491" s="9">
        <v>490</v>
      </c>
      <c r="B491" s="9" t="s">
        <v>9</v>
      </c>
      <c r="C491" s="9">
        <v>1917</v>
      </c>
      <c r="D491" s="10">
        <v>45653</v>
      </c>
      <c r="E491" s="9" t="str">
        <f>+HYPERLINK("http://trademark.i-assist.jp/data/china/image_1917th/81027212.pdf","81027212")</f>
        <v>81027212</v>
      </c>
      <c r="F491" s="9" t="s">
        <v>1391</v>
      </c>
      <c r="G491" s="9" t="s">
        <v>28</v>
      </c>
      <c r="H491" s="12" t="s">
        <v>1392</v>
      </c>
      <c r="I491" s="10">
        <v>45555</v>
      </c>
    </row>
    <row r="492" spans="1:9" x14ac:dyDescent="0.15">
      <c r="A492" s="9">
        <v>491</v>
      </c>
      <c r="B492" s="9" t="s">
        <v>9</v>
      </c>
      <c r="C492" s="9">
        <v>1917</v>
      </c>
      <c r="D492" s="10">
        <v>45653</v>
      </c>
      <c r="E492" s="9" t="str">
        <f>+HYPERLINK("http://trademark.i-assist.jp/data/china/image_1917th/81027387.pdf","81027387")</f>
        <v>81027387</v>
      </c>
      <c r="F492" s="12" t="s">
        <v>12</v>
      </c>
      <c r="G492" s="12" t="s">
        <v>1393</v>
      </c>
      <c r="H492" s="9" t="s">
        <v>1394</v>
      </c>
      <c r="I492" s="10">
        <v>45555</v>
      </c>
    </row>
    <row r="493" spans="1:9" x14ac:dyDescent="0.15">
      <c r="A493" s="9">
        <v>492</v>
      </c>
      <c r="B493" s="9" t="s">
        <v>9</v>
      </c>
      <c r="C493" s="9">
        <v>1917</v>
      </c>
      <c r="D493" s="10">
        <v>45653</v>
      </c>
      <c r="E493" s="9" t="str">
        <f>+HYPERLINK("http://trademark.i-assist.jp/data/china/image_1917th/81027655.pdf","81027655")</f>
        <v>81027655</v>
      </c>
      <c r="F493" s="9" t="s">
        <v>1395</v>
      </c>
      <c r="G493" s="9" t="s">
        <v>1396</v>
      </c>
      <c r="H493" s="12" t="s">
        <v>1397</v>
      </c>
      <c r="I493" s="10">
        <v>45555</v>
      </c>
    </row>
    <row r="494" spans="1:9" x14ac:dyDescent="0.15">
      <c r="A494" s="9">
        <v>493</v>
      </c>
      <c r="B494" s="9" t="s">
        <v>9</v>
      </c>
      <c r="C494" s="9">
        <v>1917</v>
      </c>
      <c r="D494" s="10">
        <v>45653</v>
      </c>
      <c r="E494" s="9" t="str">
        <f>+HYPERLINK("http://trademark.i-assist.jp/data/china/image_1917th/81027888.pdf","81027888")</f>
        <v>81027888</v>
      </c>
      <c r="F494" s="9" t="s">
        <v>1398</v>
      </c>
      <c r="G494" s="9" t="s">
        <v>1399</v>
      </c>
      <c r="H494" s="9" t="s">
        <v>1400</v>
      </c>
      <c r="I494" s="10">
        <v>45555</v>
      </c>
    </row>
    <row r="495" spans="1:9" x14ac:dyDescent="0.15">
      <c r="A495" s="9">
        <v>494</v>
      </c>
      <c r="B495" s="9" t="s">
        <v>9</v>
      </c>
      <c r="C495" s="9">
        <v>1917</v>
      </c>
      <c r="D495" s="10">
        <v>45653</v>
      </c>
      <c r="E495" s="9" t="str">
        <f>+HYPERLINK("http://trademark.i-assist.jp/data/china/image_1917th/81028581.pdf","81028581")</f>
        <v>81028581</v>
      </c>
      <c r="F495" s="9" t="s">
        <v>1401</v>
      </c>
      <c r="G495" s="9" t="s">
        <v>1402</v>
      </c>
      <c r="H495" s="9" t="s">
        <v>1403</v>
      </c>
      <c r="I495" s="10">
        <v>45555</v>
      </c>
    </row>
    <row r="496" spans="1:9" x14ac:dyDescent="0.15">
      <c r="A496" s="9">
        <v>495</v>
      </c>
      <c r="B496" s="9" t="s">
        <v>9</v>
      </c>
      <c r="C496" s="9">
        <v>1917</v>
      </c>
      <c r="D496" s="10">
        <v>45653</v>
      </c>
      <c r="E496" s="9" t="str">
        <f>+HYPERLINK("http://trademark.i-assist.jp/data/china/image_1917th/81028795.pdf","81028795")</f>
        <v>81028795</v>
      </c>
      <c r="F496" s="9" t="s">
        <v>1404</v>
      </c>
      <c r="G496" s="9" t="s">
        <v>1405</v>
      </c>
      <c r="H496" s="9" t="s">
        <v>1406</v>
      </c>
      <c r="I496" s="10">
        <v>45555</v>
      </c>
    </row>
    <row r="497" spans="1:9" x14ac:dyDescent="0.15">
      <c r="A497" s="9">
        <v>496</v>
      </c>
      <c r="B497" s="9" t="s">
        <v>9</v>
      </c>
      <c r="C497" s="9">
        <v>1917</v>
      </c>
      <c r="D497" s="10">
        <v>45653</v>
      </c>
      <c r="E497" s="9" t="str">
        <f>+HYPERLINK("http://trademark.i-assist.jp/data/china/image_1917th/81028829.pdf","81028829")</f>
        <v>81028829</v>
      </c>
      <c r="F497" s="9" t="s">
        <v>1407</v>
      </c>
      <c r="G497" s="12" t="s">
        <v>1300</v>
      </c>
      <c r="H497" s="9" t="s">
        <v>1408</v>
      </c>
      <c r="I497" s="10">
        <v>45555</v>
      </c>
    </row>
    <row r="498" spans="1:9" x14ac:dyDescent="0.15">
      <c r="A498" s="9">
        <v>497</v>
      </c>
      <c r="B498" s="9" t="s">
        <v>9</v>
      </c>
      <c r="C498" s="9">
        <v>1917</v>
      </c>
      <c r="D498" s="10">
        <v>45653</v>
      </c>
      <c r="E498" s="9" t="str">
        <f>+HYPERLINK("http://trademark.i-assist.jp/data/china/image_1917th/81030672.pdf","81030672")</f>
        <v>81030672</v>
      </c>
      <c r="F498" s="12" t="s">
        <v>1409</v>
      </c>
      <c r="G498" s="9" t="s">
        <v>28</v>
      </c>
      <c r="H498" s="12" t="s">
        <v>1410</v>
      </c>
      <c r="I498" s="10">
        <v>45555</v>
      </c>
    </row>
    <row r="499" spans="1:9" x14ac:dyDescent="0.15">
      <c r="A499" s="9">
        <v>498</v>
      </c>
      <c r="B499" s="9" t="s">
        <v>9</v>
      </c>
      <c r="C499" s="9">
        <v>1917</v>
      </c>
      <c r="D499" s="10">
        <v>45653</v>
      </c>
      <c r="E499" s="9" t="str">
        <f>+HYPERLINK("http://trademark.i-assist.jp/data/china/image_1917th/81031759.pdf","81031759")</f>
        <v>81031759</v>
      </c>
      <c r="F499" s="12" t="s">
        <v>12</v>
      </c>
      <c r="G499" s="9" t="s">
        <v>1411</v>
      </c>
      <c r="H499" s="9" t="s">
        <v>1412</v>
      </c>
      <c r="I499" s="10">
        <v>45555</v>
      </c>
    </row>
    <row r="500" spans="1:9" x14ac:dyDescent="0.15">
      <c r="A500" s="9">
        <v>499</v>
      </c>
      <c r="B500" s="9" t="s">
        <v>9</v>
      </c>
      <c r="C500" s="9">
        <v>1917</v>
      </c>
      <c r="D500" s="10">
        <v>45653</v>
      </c>
      <c r="E500" s="9" t="str">
        <f>+HYPERLINK("http://trademark.i-assist.jp/data/china/image_1917th/81032447.pdf","81032447")</f>
        <v>81032447</v>
      </c>
      <c r="F500" s="9" t="s">
        <v>1413</v>
      </c>
      <c r="G500" s="9" t="s">
        <v>1414</v>
      </c>
      <c r="H500" s="9" t="s">
        <v>1415</v>
      </c>
      <c r="I500" s="10">
        <v>45556</v>
      </c>
    </row>
    <row r="501" spans="1:9" x14ac:dyDescent="0.15">
      <c r="A501" s="9">
        <v>500</v>
      </c>
      <c r="B501" s="9" t="s">
        <v>9</v>
      </c>
      <c r="C501" s="9">
        <v>1917</v>
      </c>
      <c r="D501" s="10">
        <v>45653</v>
      </c>
      <c r="E501" s="9" t="str">
        <f>+HYPERLINK("http://trademark.i-assist.jp/data/china/image_1917th/81033835.pdf","81033835")</f>
        <v>81033835</v>
      </c>
      <c r="F501" s="12" t="s">
        <v>1416</v>
      </c>
      <c r="G501" s="9" t="s">
        <v>1417</v>
      </c>
      <c r="H501" s="9" t="s">
        <v>1418</v>
      </c>
      <c r="I501" s="10">
        <v>45556</v>
      </c>
    </row>
    <row r="502" spans="1:9" x14ac:dyDescent="0.15">
      <c r="A502" s="9">
        <v>501</v>
      </c>
      <c r="B502" s="9" t="s">
        <v>9</v>
      </c>
      <c r="C502" s="9">
        <v>1917</v>
      </c>
      <c r="D502" s="10">
        <v>45653</v>
      </c>
      <c r="E502" s="9" t="str">
        <f>+HYPERLINK("http://trademark.i-assist.jp/data/china/image_1917th/81036262.pdf","81036262")</f>
        <v>81036262</v>
      </c>
      <c r="F502" s="12" t="s">
        <v>1419</v>
      </c>
      <c r="G502" s="9" t="s">
        <v>1417</v>
      </c>
      <c r="H502" s="9" t="s">
        <v>1420</v>
      </c>
      <c r="I502" s="10">
        <v>45556</v>
      </c>
    </row>
    <row r="503" spans="1:9" x14ac:dyDescent="0.15">
      <c r="A503" s="9">
        <v>502</v>
      </c>
      <c r="B503" s="9" t="s">
        <v>9</v>
      </c>
      <c r="C503" s="9">
        <v>1917</v>
      </c>
      <c r="D503" s="10">
        <v>45653</v>
      </c>
      <c r="E503" s="9" t="str">
        <f>+HYPERLINK("http://trademark.i-assist.jp/data/china/image_1917th/81036492.pdf","81036492")</f>
        <v>81036492</v>
      </c>
      <c r="F503" s="9" t="s">
        <v>1421</v>
      </c>
      <c r="G503" s="9" t="s">
        <v>1422</v>
      </c>
      <c r="H503" s="9" t="s">
        <v>1423</v>
      </c>
      <c r="I503" s="10">
        <v>45556</v>
      </c>
    </row>
    <row r="504" spans="1:9" x14ac:dyDescent="0.15">
      <c r="A504" s="9">
        <v>503</v>
      </c>
      <c r="B504" s="9" t="s">
        <v>9</v>
      </c>
      <c r="C504" s="9">
        <v>1917</v>
      </c>
      <c r="D504" s="10">
        <v>45653</v>
      </c>
      <c r="E504" s="9" t="str">
        <f>+HYPERLINK("http://trademark.i-assist.jp/data/china/image_1917th/81041485.pdf","81041485")</f>
        <v>81041485</v>
      </c>
      <c r="F504" s="9" t="s">
        <v>1424</v>
      </c>
      <c r="G504" s="9" t="s">
        <v>1425</v>
      </c>
      <c r="H504" s="9" t="s">
        <v>1426</v>
      </c>
      <c r="I504" s="10">
        <v>45557</v>
      </c>
    </row>
    <row r="505" spans="1:9" x14ac:dyDescent="0.15">
      <c r="A505" s="9">
        <v>504</v>
      </c>
      <c r="B505" s="9" t="s">
        <v>9</v>
      </c>
      <c r="C505" s="9">
        <v>1917</v>
      </c>
      <c r="D505" s="10">
        <v>45653</v>
      </c>
      <c r="E505" s="9" t="str">
        <f>+HYPERLINK("http://trademark.i-assist.jp/data/china/image_1917th/81041847.pdf","81041847")</f>
        <v>81041847</v>
      </c>
      <c r="F505" s="9" t="s">
        <v>1427</v>
      </c>
      <c r="G505" s="9" t="s">
        <v>1425</v>
      </c>
      <c r="H505" s="12" t="s">
        <v>1428</v>
      </c>
      <c r="I505" s="10">
        <v>45557</v>
      </c>
    </row>
    <row r="506" spans="1:9" x14ac:dyDescent="0.15">
      <c r="A506" s="9">
        <v>505</v>
      </c>
      <c r="B506" s="9" t="s">
        <v>9</v>
      </c>
      <c r="C506" s="9">
        <v>1917</v>
      </c>
      <c r="D506" s="10">
        <v>45653</v>
      </c>
      <c r="E506" s="9" t="str">
        <f>+HYPERLINK("http://trademark.i-assist.jp/data/china/image_1917th/81042002.pdf","81042002")</f>
        <v>81042002</v>
      </c>
      <c r="F506" s="9" t="s">
        <v>1429</v>
      </c>
      <c r="G506" s="9" t="s">
        <v>1430</v>
      </c>
      <c r="H506" s="9" t="s">
        <v>1431</v>
      </c>
      <c r="I506" s="10">
        <v>45557</v>
      </c>
    </row>
    <row r="507" spans="1:9" x14ac:dyDescent="0.15">
      <c r="A507" s="9">
        <v>506</v>
      </c>
      <c r="B507" s="9" t="s">
        <v>9</v>
      </c>
      <c r="C507" s="9">
        <v>1917</v>
      </c>
      <c r="D507" s="10">
        <v>45653</v>
      </c>
      <c r="E507" s="9" t="str">
        <f>+HYPERLINK("http://trademark.i-assist.jp/data/china/image_1917th/81042468.pdf","81042468")</f>
        <v>81042468</v>
      </c>
      <c r="F507" s="12" t="s">
        <v>1432</v>
      </c>
      <c r="G507" s="9" t="s">
        <v>1433</v>
      </c>
      <c r="H507" s="9" t="s">
        <v>1434</v>
      </c>
      <c r="I507" s="10">
        <v>45557</v>
      </c>
    </row>
    <row r="508" spans="1:9" x14ac:dyDescent="0.15">
      <c r="A508" s="9">
        <v>507</v>
      </c>
      <c r="B508" s="9" t="s">
        <v>9</v>
      </c>
      <c r="C508" s="9">
        <v>1917</v>
      </c>
      <c r="D508" s="10">
        <v>45653</v>
      </c>
      <c r="E508" s="9" t="str">
        <f>+HYPERLINK("http://trademark.i-assist.jp/data/china/image_1917th/81044569.pdf","81044569")</f>
        <v>81044569</v>
      </c>
      <c r="F508" s="12" t="s">
        <v>1435</v>
      </c>
      <c r="G508" s="9" t="s">
        <v>1436</v>
      </c>
      <c r="H508" s="9" t="s">
        <v>1437</v>
      </c>
      <c r="I508" s="10">
        <v>45558</v>
      </c>
    </row>
    <row r="509" spans="1:9" x14ac:dyDescent="0.15">
      <c r="A509" s="9">
        <v>508</v>
      </c>
      <c r="B509" s="9" t="s">
        <v>9</v>
      </c>
      <c r="C509" s="9">
        <v>1917</v>
      </c>
      <c r="D509" s="10">
        <v>45653</v>
      </c>
      <c r="E509" s="9" t="str">
        <f>+HYPERLINK("http://trademark.i-assist.jp/data/china/image_1917th/81044916.pdf","81044916")</f>
        <v>81044916</v>
      </c>
      <c r="F509" s="9" t="s">
        <v>1438</v>
      </c>
      <c r="G509" s="9" t="s">
        <v>1439</v>
      </c>
      <c r="H509" s="9" t="s">
        <v>1440</v>
      </c>
      <c r="I509" s="10">
        <v>45558</v>
      </c>
    </row>
    <row r="510" spans="1:9" x14ac:dyDescent="0.15">
      <c r="A510" s="9">
        <v>509</v>
      </c>
      <c r="B510" s="9" t="s">
        <v>9</v>
      </c>
      <c r="C510" s="9">
        <v>1917</v>
      </c>
      <c r="D510" s="10">
        <v>45653</v>
      </c>
      <c r="E510" s="9" t="str">
        <f>+HYPERLINK("http://trademark.i-assist.jp/data/china/image_1917th/81046197.pdf","81046197")</f>
        <v>81046197</v>
      </c>
      <c r="F510" s="9" t="s">
        <v>1441</v>
      </c>
      <c r="G510" s="9" t="s">
        <v>1442</v>
      </c>
      <c r="H510" s="9" t="s">
        <v>10</v>
      </c>
      <c r="I510" s="10">
        <v>45558</v>
      </c>
    </row>
    <row r="511" spans="1:9" x14ac:dyDescent="0.15">
      <c r="A511" s="9">
        <v>510</v>
      </c>
      <c r="B511" s="9" t="s">
        <v>9</v>
      </c>
      <c r="C511" s="9">
        <v>1917</v>
      </c>
      <c r="D511" s="10">
        <v>45653</v>
      </c>
      <c r="E511" s="9" t="str">
        <f>+HYPERLINK("http://trademark.i-assist.jp/data/china/image_1917th/81047324.pdf","81047324")</f>
        <v>81047324</v>
      </c>
      <c r="F511" s="9" t="s">
        <v>1443</v>
      </c>
      <c r="G511" s="9" t="s">
        <v>1444</v>
      </c>
      <c r="H511" s="9" t="s">
        <v>1445</v>
      </c>
      <c r="I511" s="10">
        <v>45558</v>
      </c>
    </row>
    <row r="512" spans="1:9" x14ac:dyDescent="0.15">
      <c r="A512" s="9">
        <v>511</v>
      </c>
      <c r="B512" s="9" t="s">
        <v>9</v>
      </c>
      <c r="C512" s="9">
        <v>1917</v>
      </c>
      <c r="D512" s="10">
        <v>45653</v>
      </c>
      <c r="E512" s="9" t="str">
        <f>+HYPERLINK("http://trademark.i-assist.jp/data/china/image_1917th/81047669.pdf","81047669")</f>
        <v>81047669</v>
      </c>
      <c r="F512" s="12" t="s">
        <v>1446</v>
      </c>
      <c r="G512" s="12" t="s">
        <v>1447</v>
      </c>
      <c r="H512" s="9" t="s">
        <v>1448</v>
      </c>
      <c r="I512" s="10">
        <v>45558</v>
      </c>
    </row>
    <row r="513" spans="1:9" x14ac:dyDescent="0.15">
      <c r="A513" s="9">
        <v>512</v>
      </c>
      <c r="B513" s="9" t="s">
        <v>9</v>
      </c>
      <c r="C513" s="9">
        <v>1917</v>
      </c>
      <c r="D513" s="10">
        <v>45653</v>
      </c>
      <c r="E513" s="9" t="str">
        <f>+HYPERLINK("http://trademark.i-assist.jp/data/china/image_1917th/81048188.pdf","81048188")</f>
        <v>81048188</v>
      </c>
      <c r="F513" s="9" t="s">
        <v>1449</v>
      </c>
      <c r="G513" s="9" t="s">
        <v>1450</v>
      </c>
      <c r="H513" s="9" t="s">
        <v>1451</v>
      </c>
      <c r="I513" s="10">
        <v>45558</v>
      </c>
    </row>
    <row r="514" spans="1:9" x14ac:dyDescent="0.15">
      <c r="A514" s="9">
        <v>513</v>
      </c>
      <c r="B514" s="9" t="s">
        <v>9</v>
      </c>
      <c r="C514" s="9">
        <v>1917</v>
      </c>
      <c r="D514" s="10">
        <v>45653</v>
      </c>
      <c r="E514" s="9" t="str">
        <f>+HYPERLINK("http://trademark.i-assist.jp/data/china/image_1917th/81049567.pdf","81049567")</f>
        <v>81049567</v>
      </c>
      <c r="F514" s="12" t="s">
        <v>1452</v>
      </c>
      <c r="G514" s="12" t="s">
        <v>1453</v>
      </c>
      <c r="H514" s="9" t="s">
        <v>1454</v>
      </c>
      <c r="I514" s="10">
        <v>45558</v>
      </c>
    </row>
    <row r="515" spans="1:9" x14ac:dyDescent="0.15">
      <c r="A515" s="9">
        <v>514</v>
      </c>
      <c r="B515" s="9" t="s">
        <v>9</v>
      </c>
      <c r="C515" s="9">
        <v>1917</v>
      </c>
      <c r="D515" s="10">
        <v>45653</v>
      </c>
      <c r="E515" s="9" t="str">
        <f>+HYPERLINK("http://trademark.i-assist.jp/data/china/image_1917th/81050244.pdf","81050244")</f>
        <v>81050244</v>
      </c>
      <c r="F515" s="9" t="s">
        <v>1455</v>
      </c>
      <c r="G515" s="9" t="s">
        <v>1456</v>
      </c>
      <c r="H515" s="9" t="s">
        <v>1457</v>
      </c>
      <c r="I515" s="10">
        <v>45558</v>
      </c>
    </row>
    <row r="516" spans="1:9" x14ac:dyDescent="0.15">
      <c r="A516" s="9">
        <v>515</v>
      </c>
      <c r="B516" s="9" t="s">
        <v>9</v>
      </c>
      <c r="C516" s="9">
        <v>1917</v>
      </c>
      <c r="D516" s="10">
        <v>45653</v>
      </c>
      <c r="E516" s="9" t="str">
        <f>+HYPERLINK("http://trademark.i-assist.jp/data/china/image_1917th/81051251.pdf","81051251")</f>
        <v>81051251</v>
      </c>
      <c r="F516" s="9" t="s">
        <v>1458</v>
      </c>
      <c r="G516" s="9" t="s">
        <v>1459</v>
      </c>
      <c r="H516" s="9" t="s">
        <v>1460</v>
      </c>
      <c r="I516" s="10">
        <v>45558</v>
      </c>
    </row>
    <row r="517" spans="1:9" x14ac:dyDescent="0.15">
      <c r="A517" s="9">
        <v>516</v>
      </c>
      <c r="B517" s="9" t="s">
        <v>9</v>
      </c>
      <c r="C517" s="9">
        <v>1917</v>
      </c>
      <c r="D517" s="10">
        <v>45653</v>
      </c>
      <c r="E517" s="9" t="str">
        <f>+HYPERLINK("http://trademark.i-assist.jp/data/china/image_1917th/81051313.pdf","81051313")</f>
        <v>81051313</v>
      </c>
      <c r="F517" s="9" t="s">
        <v>1461</v>
      </c>
      <c r="G517" s="9" t="s">
        <v>13</v>
      </c>
      <c r="H517" s="9" t="s">
        <v>1462</v>
      </c>
      <c r="I517" s="10">
        <v>45558</v>
      </c>
    </row>
    <row r="518" spans="1:9" x14ac:dyDescent="0.15">
      <c r="A518" s="9">
        <v>517</v>
      </c>
      <c r="B518" s="9" t="s">
        <v>9</v>
      </c>
      <c r="C518" s="9">
        <v>1917</v>
      </c>
      <c r="D518" s="10">
        <v>45653</v>
      </c>
      <c r="E518" s="9" t="str">
        <f>+HYPERLINK("http://trademark.i-assist.jp/data/china/image_1917th/81051793.pdf","81051793")</f>
        <v>81051793</v>
      </c>
      <c r="F518" s="9" t="s">
        <v>1463</v>
      </c>
      <c r="G518" s="12" t="s">
        <v>1464</v>
      </c>
      <c r="H518" s="9" t="s">
        <v>1465</v>
      </c>
      <c r="I518" s="10">
        <v>45558</v>
      </c>
    </row>
    <row r="519" spans="1:9" x14ac:dyDescent="0.15">
      <c r="A519" s="9">
        <v>518</v>
      </c>
      <c r="B519" s="9" t="s">
        <v>9</v>
      </c>
      <c r="C519" s="9">
        <v>1917</v>
      </c>
      <c r="D519" s="10">
        <v>45653</v>
      </c>
      <c r="E519" s="9" t="str">
        <f>+HYPERLINK("http://trademark.i-assist.jp/data/china/image_1917th/81052896.pdf","81052896")</f>
        <v>81052896</v>
      </c>
      <c r="F519" s="9" t="s">
        <v>1466</v>
      </c>
      <c r="G519" s="9" t="s">
        <v>1467</v>
      </c>
      <c r="H519" s="9" t="s">
        <v>1468</v>
      </c>
      <c r="I519" s="10">
        <v>45558</v>
      </c>
    </row>
    <row r="520" spans="1:9" x14ac:dyDescent="0.15">
      <c r="A520" s="9">
        <v>519</v>
      </c>
      <c r="B520" s="9" t="s">
        <v>9</v>
      </c>
      <c r="C520" s="9">
        <v>1917</v>
      </c>
      <c r="D520" s="10">
        <v>45653</v>
      </c>
      <c r="E520" s="9" t="str">
        <f>+HYPERLINK("http://trademark.i-assist.jp/data/china/image_1917th/81053381.pdf","81053381")</f>
        <v>81053381</v>
      </c>
      <c r="F520" s="12" t="s">
        <v>1469</v>
      </c>
      <c r="G520" s="9" t="s">
        <v>1470</v>
      </c>
      <c r="H520" s="9" t="s">
        <v>1471</v>
      </c>
      <c r="I520" s="10">
        <v>45558</v>
      </c>
    </row>
    <row r="521" spans="1:9" x14ac:dyDescent="0.15">
      <c r="A521" s="9">
        <v>520</v>
      </c>
      <c r="B521" s="9" t="s">
        <v>9</v>
      </c>
      <c r="C521" s="9">
        <v>1917</v>
      </c>
      <c r="D521" s="10">
        <v>45653</v>
      </c>
      <c r="E521" s="9" t="str">
        <f>+HYPERLINK("http://trademark.i-assist.jp/data/china/image_1917th/81054010.pdf","81054010")</f>
        <v>81054010</v>
      </c>
      <c r="F521" s="9" t="s">
        <v>1472</v>
      </c>
      <c r="G521" s="9" t="s">
        <v>1473</v>
      </c>
      <c r="H521" s="9" t="s">
        <v>1474</v>
      </c>
      <c r="I521" s="10">
        <v>45558</v>
      </c>
    </row>
    <row r="522" spans="1:9" x14ac:dyDescent="0.15">
      <c r="A522" s="9">
        <v>521</v>
      </c>
      <c r="B522" s="9" t="s">
        <v>9</v>
      </c>
      <c r="C522" s="9">
        <v>1917</v>
      </c>
      <c r="D522" s="10">
        <v>45653</v>
      </c>
      <c r="E522" s="9" t="str">
        <f>+HYPERLINK("http://trademark.i-assist.jp/data/china/image_1917th/81054146.pdf","81054146")</f>
        <v>81054146</v>
      </c>
      <c r="F522" s="9" t="s">
        <v>1475</v>
      </c>
      <c r="G522" s="9" t="s">
        <v>1476</v>
      </c>
      <c r="H522" s="9" t="s">
        <v>1477</v>
      </c>
      <c r="I522" s="10">
        <v>45558</v>
      </c>
    </row>
    <row r="523" spans="1:9" x14ac:dyDescent="0.15">
      <c r="A523" s="9">
        <v>522</v>
      </c>
      <c r="B523" s="9" t="s">
        <v>9</v>
      </c>
      <c r="C523" s="9">
        <v>1917</v>
      </c>
      <c r="D523" s="10">
        <v>45653</v>
      </c>
      <c r="E523" s="9" t="str">
        <f>+HYPERLINK("http://trademark.i-assist.jp/data/china/image_1917th/81055212.pdf","81055212")</f>
        <v>81055212</v>
      </c>
      <c r="F523" s="9" t="s">
        <v>1478</v>
      </c>
      <c r="G523" s="9" t="s">
        <v>1479</v>
      </c>
      <c r="H523" s="9" t="s">
        <v>1480</v>
      </c>
      <c r="I523" s="10">
        <v>45558</v>
      </c>
    </row>
    <row r="524" spans="1:9" x14ac:dyDescent="0.15">
      <c r="A524" s="9">
        <v>523</v>
      </c>
      <c r="B524" s="9" t="s">
        <v>9</v>
      </c>
      <c r="C524" s="9">
        <v>1917</v>
      </c>
      <c r="D524" s="10">
        <v>45653</v>
      </c>
      <c r="E524" s="9" t="str">
        <f>+HYPERLINK("http://trademark.i-assist.jp/data/china/image_1917th/81056236.pdf","81056236")</f>
        <v>81056236</v>
      </c>
      <c r="F524" s="12" t="s">
        <v>1481</v>
      </c>
      <c r="G524" s="9" t="s">
        <v>1482</v>
      </c>
      <c r="H524" s="9" t="s">
        <v>1483</v>
      </c>
      <c r="I524" s="10">
        <v>45558</v>
      </c>
    </row>
    <row r="525" spans="1:9" x14ac:dyDescent="0.15">
      <c r="A525" s="9">
        <v>524</v>
      </c>
      <c r="B525" s="9" t="s">
        <v>9</v>
      </c>
      <c r="C525" s="9">
        <v>1917</v>
      </c>
      <c r="D525" s="10">
        <v>45653</v>
      </c>
      <c r="E525" s="9" t="str">
        <f>+HYPERLINK("http://trademark.i-assist.jp/data/china/image_1917th/81056898.pdf","81056898")</f>
        <v>81056898</v>
      </c>
      <c r="F525" s="9" t="s">
        <v>1484</v>
      </c>
      <c r="G525" s="9" t="s">
        <v>1485</v>
      </c>
      <c r="H525" s="9" t="s">
        <v>1486</v>
      </c>
      <c r="I525" s="10">
        <v>45558</v>
      </c>
    </row>
    <row r="526" spans="1:9" x14ac:dyDescent="0.15">
      <c r="A526" s="9">
        <v>525</v>
      </c>
      <c r="B526" s="9" t="s">
        <v>9</v>
      </c>
      <c r="C526" s="9">
        <v>1917</v>
      </c>
      <c r="D526" s="10">
        <v>45653</v>
      </c>
      <c r="E526" s="9" t="str">
        <f>+HYPERLINK("http://trademark.i-assist.jp/data/china/image_1917th/81057312.pdf","81057312")</f>
        <v>81057312</v>
      </c>
      <c r="F526" s="12" t="s">
        <v>1487</v>
      </c>
      <c r="G526" s="12" t="s">
        <v>1488</v>
      </c>
      <c r="H526" s="9" t="s">
        <v>1489</v>
      </c>
      <c r="I526" s="10">
        <v>45558</v>
      </c>
    </row>
    <row r="527" spans="1:9" x14ac:dyDescent="0.15">
      <c r="A527" s="9">
        <v>526</v>
      </c>
      <c r="B527" s="9" t="s">
        <v>9</v>
      </c>
      <c r="C527" s="9">
        <v>1917</v>
      </c>
      <c r="D527" s="10">
        <v>45653</v>
      </c>
      <c r="E527" s="9" t="str">
        <f>+HYPERLINK("http://trademark.i-assist.jp/data/china/image_1917th/81057701.pdf","81057701")</f>
        <v>81057701</v>
      </c>
      <c r="F527" s="9" t="s">
        <v>1490</v>
      </c>
      <c r="G527" s="9" t="s">
        <v>1491</v>
      </c>
      <c r="H527" s="9" t="s">
        <v>1492</v>
      </c>
      <c r="I527" s="10">
        <v>45558</v>
      </c>
    </row>
    <row r="528" spans="1:9" x14ac:dyDescent="0.15">
      <c r="A528" s="9">
        <v>527</v>
      </c>
      <c r="B528" s="9" t="s">
        <v>9</v>
      </c>
      <c r="C528" s="9">
        <v>1917</v>
      </c>
      <c r="D528" s="10">
        <v>45653</v>
      </c>
      <c r="E528" s="9" t="str">
        <f>+HYPERLINK("http://trademark.i-assist.jp/data/china/image_1917th/81057732.pdf","81057732")</f>
        <v>81057732</v>
      </c>
      <c r="F528" s="12" t="s">
        <v>1493</v>
      </c>
      <c r="G528" s="9" t="s">
        <v>1494</v>
      </c>
      <c r="H528" s="9" t="s">
        <v>1495</v>
      </c>
      <c r="I528" s="10">
        <v>45558</v>
      </c>
    </row>
    <row r="529" spans="1:9" x14ac:dyDescent="0.15">
      <c r="A529" s="9">
        <v>528</v>
      </c>
      <c r="B529" s="9" t="s">
        <v>9</v>
      </c>
      <c r="C529" s="9">
        <v>1917</v>
      </c>
      <c r="D529" s="10">
        <v>45653</v>
      </c>
      <c r="E529" s="9" t="str">
        <f>+HYPERLINK("http://trademark.i-assist.jp/data/china/image_1917th/81057759.pdf","81057759")</f>
        <v>81057759</v>
      </c>
      <c r="F529" s="9" t="s">
        <v>1496</v>
      </c>
      <c r="G529" s="9" t="s">
        <v>1494</v>
      </c>
      <c r="H529" s="9" t="s">
        <v>1497</v>
      </c>
      <c r="I529" s="10">
        <v>45558</v>
      </c>
    </row>
    <row r="530" spans="1:9" x14ac:dyDescent="0.15">
      <c r="A530" s="9">
        <v>529</v>
      </c>
      <c r="B530" s="9" t="s">
        <v>9</v>
      </c>
      <c r="C530" s="9">
        <v>1917</v>
      </c>
      <c r="D530" s="10">
        <v>45653</v>
      </c>
      <c r="E530" s="9" t="str">
        <f>+HYPERLINK("http://trademark.i-assist.jp/data/china/image_1917th/81059668.pdf","81059668")</f>
        <v>81059668</v>
      </c>
      <c r="F530" s="9" t="s">
        <v>1498</v>
      </c>
      <c r="G530" s="9" t="s">
        <v>1499</v>
      </c>
      <c r="H530" s="9" t="s">
        <v>1500</v>
      </c>
      <c r="I530" s="10">
        <v>45558</v>
      </c>
    </row>
    <row r="531" spans="1:9" x14ac:dyDescent="0.15">
      <c r="A531" s="9">
        <v>530</v>
      </c>
      <c r="B531" s="9" t="s">
        <v>9</v>
      </c>
      <c r="C531" s="9">
        <v>1917</v>
      </c>
      <c r="D531" s="10">
        <v>45653</v>
      </c>
      <c r="E531" s="9" t="str">
        <f>+HYPERLINK("http://trademark.i-assist.jp/data/china/image_1917th/81059683.pdf","81059683")</f>
        <v>81059683</v>
      </c>
      <c r="F531" s="9" t="s">
        <v>1501</v>
      </c>
      <c r="G531" s="9" t="s">
        <v>1430</v>
      </c>
      <c r="H531" s="9" t="s">
        <v>1502</v>
      </c>
      <c r="I531" s="10">
        <v>45558</v>
      </c>
    </row>
    <row r="532" spans="1:9" x14ac:dyDescent="0.15">
      <c r="A532" s="9">
        <v>531</v>
      </c>
      <c r="B532" s="9" t="s">
        <v>9</v>
      </c>
      <c r="C532" s="9">
        <v>1917</v>
      </c>
      <c r="D532" s="10">
        <v>45653</v>
      </c>
      <c r="E532" s="9" t="str">
        <f>+HYPERLINK("http://trademark.i-assist.jp/data/china/image_1917th/81059707.pdf","81059707")</f>
        <v>81059707</v>
      </c>
      <c r="F532" s="9" t="s">
        <v>1503</v>
      </c>
      <c r="G532" s="9" t="s">
        <v>1470</v>
      </c>
      <c r="H532" s="9" t="s">
        <v>1504</v>
      </c>
      <c r="I532" s="10">
        <v>45558</v>
      </c>
    </row>
    <row r="533" spans="1:9" x14ac:dyDescent="0.15">
      <c r="A533" s="9">
        <v>532</v>
      </c>
      <c r="B533" s="9" t="s">
        <v>9</v>
      </c>
      <c r="C533" s="9">
        <v>1917</v>
      </c>
      <c r="D533" s="10">
        <v>45653</v>
      </c>
      <c r="E533" s="9" t="str">
        <f>+HYPERLINK("http://trademark.i-assist.jp/data/china/image_1917th/81060488.pdf","81060488")</f>
        <v>81060488</v>
      </c>
      <c r="F533" s="12" t="s">
        <v>1505</v>
      </c>
      <c r="G533" s="9" t="s">
        <v>1506</v>
      </c>
      <c r="H533" s="9" t="s">
        <v>1507</v>
      </c>
      <c r="I533" s="10">
        <v>45558</v>
      </c>
    </row>
    <row r="534" spans="1:9" x14ac:dyDescent="0.15">
      <c r="A534" s="9">
        <v>533</v>
      </c>
      <c r="B534" s="9" t="s">
        <v>9</v>
      </c>
      <c r="C534" s="9">
        <v>1917</v>
      </c>
      <c r="D534" s="10">
        <v>45653</v>
      </c>
      <c r="E534" s="9" t="str">
        <f>+HYPERLINK("http://trademark.i-assist.jp/data/china/image_1917th/81061094.pdf","81061094")</f>
        <v>81061094</v>
      </c>
      <c r="F534" s="12" t="s">
        <v>1508</v>
      </c>
      <c r="G534" s="9" t="s">
        <v>42</v>
      </c>
      <c r="H534" s="9" t="s">
        <v>1509</v>
      </c>
      <c r="I534" s="10">
        <v>45558</v>
      </c>
    </row>
    <row r="535" spans="1:9" x14ac:dyDescent="0.15">
      <c r="A535" s="9">
        <v>534</v>
      </c>
      <c r="B535" s="9" t="s">
        <v>9</v>
      </c>
      <c r="C535" s="9">
        <v>1917</v>
      </c>
      <c r="D535" s="10">
        <v>45653</v>
      </c>
      <c r="E535" s="9" t="str">
        <f>+HYPERLINK("http://trademark.i-assist.jp/data/china/image_1917th/81061711.pdf","81061711")</f>
        <v>81061711</v>
      </c>
      <c r="F535" s="9" t="s">
        <v>1510</v>
      </c>
      <c r="G535" s="9" t="s">
        <v>13</v>
      </c>
      <c r="H535" s="9" t="s">
        <v>1511</v>
      </c>
      <c r="I535" s="10">
        <v>45558</v>
      </c>
    </row>
    <row r="536" spans="1:9" x14ac:dyDescent="0.15">
      <c r="A536" s="9">
        <v>535</v>
      </c>
      <c r="B536" s="9" t="s">
        <v>9</v>
      </c>
      <c r="C536" s="9">
        <v>1917</v>
      </c>
      <c r="D536" s="10">
        <v>45653</v>
      </c>
      <c r="E536" s="9" t="str">
        <f>+HYPERLINK("http://trademark.i-assist.jp/data/china/image_1917th/81061715.pdf","81061715")</f>
        <v>81061715</v>
      </c>
      <c r="F536" s="9" t="s">
        <v>1512</v>
      </c>
      <c r="G536" s="9" t="s">
        <v>1485</v>
      </c>
      <c r="H536" s="9" t="s">
        <v>1513</v>
      </c>
      <c r="I536" s="10">
        <v>45558</v>
      </c>
    </row>
    <row r="537" spans="1:9" x14ac:dyDescent="0.15">
      <c r="A537" s="9">
        <v>536</v>
      </c>
      <c r="B537" s="9" t="s">
        <v>9</v>
      </c>
      <c r="C537" s="9">
        <v>1917</v>
      </c>
      <c r="D537" s="10">
        <v>45653</v>
      </c>
      <c r="E537" s="9" t="str">
        <f>+HYPERLINK("http://trademark.i-assist.jp/data/china/image_1917th/81061816.pdf","81061816")</f>
        <v>81061816</v>
      </c>
      <c r="F537" s="12" t="s">
        <v>1514</v>
      </c>
      <c r="G537" s="12" t="s">
        <v>1515</v>
      </c>
      <c r="H537" s="9" t="s">
        <v>1516</v>
      </c>
      <c r="I537" s="10">
        <v>45558</v>
      </c>
    </row>
    <row r="538" spans="1:9" x14ac:dyDescent="0.15">
      <c r="A538" s="9">
        <v>537</v>
      </c>
      <c r="B538" s="9" t="s">
        <v>9</v>
      </c>
      <c r="C538" s="9">
        <v>1917</v>
      </c>
      <c r="D538" s="10">
        <v>45653</v>
      </c>
      <c r="E538" s="9" t="str">
        <f>+HYPERLINK("http://trademark.i-assist.jp/data/china/image_1917th/81062378.pdf","81062378")</f>
        <v>81062378</v>
      </c>
      <c r="F538" s="9" t="s">
        <v>1517</v>
      </c>
      <c r="G538" s="9" t="s">
        <v>1518</v>
      </c>
      <c r="H538" s="9" t="s">
        <v>1519</v>
      </c>
      <c r="I538" s="10">
        <v>45558</v>
      </c>
    </row>
    <row r="539" spans="1:9" x14ac:dyDescent="0.15">
      <c r="A539" s="9">
        <v>538</v>
      </c>
      <c r="B539" s="9" t="s">
        <v>9</v>
      </c>
      <c r="C539" s="9">
        <v>1917</v>
      </c>
      <c r="D539" s="10">
        <v>45653</v>
      </c>
      <c r="E539" s="9" t="str">
        <f>+HYPERLINK("http://trademark.i-assist.jp/data/china/image_1917th/81063416.pdf","81063416")</f>
        <v>81063416</v>
      </c>
      <c r="F539" s="11" t="s">
        <v>1520</v>
      </c>
      <c r="G539" s="11" t="s">
        <v>1521</v>
      </c>
      <c r="H539" s="9" t="s">
        <v>1522</v>
      </c>
      <c r="I539" s="10">
        <v>45558</v>
      </c>
    </row>
    <row r="540" spans="1:9" x14ac:dyDescent="0.15">
      <c r="A540" s="9">
        <v>539</v>
      </c>
      <c r="B540" s="9" t="s">
        <v>9</v>
      </c>
      <c r="C540" s="9">
        <v>1917</v>
      </c>
      <c r="D540" s="10">
        <v>45653</v>
      </c>
      <c r="E540" s="9" t="str">
        <f>+HYPERLINK("http://trademark.i-assist.jp/data/china/image_1917th/81064605.pdf","81064605")</f>
        <v>81064605</v>
      </c>
      <c r="F540" s="9" t="s">
        <v>1523</v>
      </c>
      <c r="G540" s="9" t="s">
        <v>13</v>
      </c>
      <c r="H540" s="9" t="s">
        <v>1524</v>
      </c>
      <c r="I540" s="10">
        <v>45558</v>
      </c>
    </row>
    <row r="541" spans="1:9" x14ac:dyDescent="0.15">
      <c r="A541" s="9">
        <v>540</v>
      </c>
      <c r="B541" s="9" t="s">
        <v>9</v>
      </c>
      <c r="C541" s="9">
        <v>1917</v>
      </c>
      <c r="D541" s="10">
        <v>45653</v>
      </c>
      <c r="E541" s="9" t="str">
        <f>+HYPERLINK("http://trademark.i-assist.jp/data/china/image_1917th/81066317.pdf","81066317")</f>
        <v>81066317</v>
      </c>
      <c r="F541" s="12" t="s">
        <v>1525</v>
      </c>
      <c r="G541" s="9" t="s">
        <v>1439</v>
      </c>
      <c r="H541" s="9" t="s">
        <v>1526</v>
      </c>
      <c r="I541" s="10">
        <v>45558</v>
      </c>
    </row>
    <row r="542" spans="1:9" x14ac:dyDescent="0.15">
      <c r="A542" s="9">
        <v>541</v>
      </c>
      <c r="B542" s="9" t="s">
        <v>9</v>
      </c>
      <c r="C542" s="9">
        <v>1917</v>
      </c>
      <c r="D542" s="10">
        <v>45653</v>
      </c>
      <c r="E542" s="9" t="str">
        <f>+HYPERLINK("http://trademark.i-assist.jp/data/china/image_1917th/81068248.pdf","81068248")</f>
        <v>81068248</v>
      </c>
      <c r="F542" s="9" t="s">
        <v>1527</v>
      </c>
      <c r="G542" s="12" t="s">
        <v>1528</v>
      </c>
      <c r="H542" s="9" t="s">
        <v>1529</v>
      </c>
      <c r="I542" s="10">
        <v>45558</v>
      </c>
    </row>
    <row r="543" spans="1:9" x14ac:dyDescent="0.15">
      <c r="A543" s="9">
        <v>542</v>
      </c>
      <c r="B543" s="9" t="s">
        <v>9</v>
      </c>
      <c r="C543" s="9">
        <v>1917</v>
      </c>
      <c r="D543" s="10">
        <v>45653</v>
      </c>
      <c r="E543" s="9" t="str">
        <f>+HYPERLINK("http://trademark.i-assist.jp/data/china/image_1917th/81068546.pdf","81068546")</f>
        <v>81068546</v>
      </c>
      <c r="F543" s="9" t="s">
        <v>1530</v>
      </c>
      <c r="G543" s="12" t="s">
        <v>1531</v>
      </c>
      <c r="H543" s="9" t="s">
        <v>1532</v>
      </c>
      <c r="I543" s="10">
        <v>45558</v>
      </c>
    </row>
    <row r="544" spans="1:9" x14ac:dyDescent="0.15">
      <c r="A544" s="9">
        <v>543</v>
      </c>
      <c r="B544" s="9" t="s">
        <v>9</v>
      </c>
      <c r="C544" s="9">
        <v>1917</v>
      </c>
      <c r="D544" s="10">
        <v>45653</v>
      </c>
      <c r="E544" s="9" t="str">
        <f>+HYPERLINK("http://trademark.i-assist.jp/data/china/image_1917th/81069285.pdf","81069285")</f>
        <v>81069285</v>
      </c>
      <c r="F544" s="12" t="s">
        <v>1533</v>
      </c>
      <c r="G544" s="9" t="s">
        <v>1534</v>
      </c>
      <c r="H544" s="9" t="s">
        <v>1535</v>
      </c>
      <c r="I544" s="10">
        <v>45559</v>
      </c>
    </row>
    <row r="545" spans="1:9" x14ac:dyDescent="0.15">
      <c r="A545" s="9">
        <v>544</v>
      </c>
      <c r="B545" s="9" t="s">
        <v>9</v>
      </c>
      <c r="C545" s="9">
        <v>1917</v>
      </c>
      <c r="D545" s="10">
        <v>45653</v>
      </c>
      <c r="E545" s="9" t="str">
        <f>+HYPERLINK("http://trademark.i-assist.jp/data/china/image_1917th/81069336.pdf","81069336")</f>
        <v>81069336</v>
      </c>
      <c r="F545" s="9" t="s">
        <v>1536</v>
      </c>
      <c r="G545" s="9" t="s">
        <v>1537</v>
      </c>
      <c r="H545" s="12" t="s">
        <v>1538</v>
      </c>
      <c r="I545" s="10">
        <v>45559</v>
      </c>
    </row>
    <row r="546" spans="1:9" x14ac:dyDescent="0.15">
      <c r="A546" s="9">
        <v>545</v>
      </c>
      <c r="B546" s="9" t="s">
        <v>9</v>
      </c>
      <c r="C546" s="9">
        <v>1917</v>
      </c>
      <c r="D546" s="10">
        <v>45653</v>
      </c>
      <c r="E546" s="9" t="str">
        <f>+HYPERLINK("http://trademark.i-assist.jp/data/china/image_1917th/81069808.pdf","81069808")</f>
        <v>81069808</v>
      </c>
      <c r="F546" s="9" t="s">
        <v>1539</v>
      </c>
      <c r="G546" s="9" t="s">
        <v>1540</v>
      </c>
      <c r="H546" s="9" t="s">
        <v>1541</v>
      </c>
      <c r="I546" s="10">
        <v>45559</v>
      </c>
    </row>
    <row r="547" spans="1:9" x14ac:dyDescent="0.15">
      <c r="A547" s="9">
        <v>546</v>
      </c>
      <c r="B547" s="9" t="s">
        <v>9</v>
      </c>
      <c r="C547" s="9">
        <v>1917</v>
      </c>
      <c r="D547" s="10">
        <v>45653</v>
      </c>
      <c r="E547" s="9" t="str">
        <f>+HYPERLINK("http://trademark.i-assist.jp/data/china/image_1917th/81071103.pdf","81071103")</f>
        <v>81071103</v>
      </c>
      <c r="F547" s="9" t="s">
        <v>1542</v>
      </c>
      <c r="G547" s="9" t="s">
        <v>1543</v>
      </c>
      <c r="H547" s="9" t="s">
        <v>1544</v>
      </c>
      <c r="I547" s="10">
        <v>45559</v>
      </c>
    </row>
    <row r="548" spans="1:9" x14ac:dyDescent="0.15">
      <c r="A548" s="9">
        <v>547</v>
      </c>
      <c r="B548" s="9" t="s">
        <v>9</v>
      </c>
      <c r="C548" s="9">
        <v>1917</v>
      </c>
      <c r="D548" s="10">
        <v>45653</v>
      </c>
      <c r="E548" s="9" t="str">
        <f>+HYPERLINK("http://trademark.i-assist.jp/data/china/image_1917th/81071452.pdf","81071452")</f>
        <v>81071452</v>
      </c>
      <c r="F548" s="12" t="s">
        <v>1545</v>
      </c>
      <c r="G548" s="12" t="s">
        <v>1546</v>
      </c>
      <c r="H548" s="9" t="s">
        <v>1547</v>
      </c>
      <c r="I548" s="10">
        <v>45559</v>
      </c>
    </row>
    <row r="549" spans="1:9" x14ac:dyDescent="0.15">
      <c r="A549" s="9">
        <v>548</v>
      </c>
      <c r="B549" s="9" t="s">
        <v>9</v>
      </c>
      <c r="C549" s="9">
        <v>1917</v>
      </c>
      <c r="D549" s="10">
        <v>45653</v>
      </c>
      <c r="E549" s="9" t="str">
        <f>+HYPERLINK("http://trademark.i-assist.jp/data/china/image_1917th/81071848.pdf","81071848")</f>
        <v>81071848</v>
      </c>
      <c r="F549" s="9" t="s">
        <v>1548</v>
      </c>
      <c r="G549" s="9" t="s">
        <v>1549</v>
      </c>
      <c r="H549" s="12" t="s">
        <v>1550</v>
      </c>
      <c r="I549" s="10">
        <v>45559</v>
      </c>
    </row>
    <row r="550" spans="1:9" x14ac:dyDescent="0.15">
      <c r="A550" s="9">
        <v>549</v>
      </c>
      <c r="B550" s="9" t="s">
        <v>9</v>
      </c>
      <c r="C550" s="9">
        <v>1917</v>
      </c>
      <c r="D550" s="10">
        <v>45653</v>
      </c>
      <c r="E550" s="9" t="str">
        <f>+HYPERLINK("http://trademark.i-assist.jp/data/china/image_1917th/81071956.pdf","81071956")</f>
        <v>81071956</v>
      </c>
      <c r="F550" s="9" t="s">
        <v>1551</v>
      </c>
      <c r="G550" s="9" t="s">
        <v>1552</v>
      </c>
      <c r="H550" s="12" t="s">
        <v>1553</v>
      </c>
      <c r="I550" s="10">
        <v>45559</v>
      </c>
    </row>
    <row r="551" spans="1:9" x14ac:dyDescent="0.15">
      <c r="A551" s="9">
        <v>550</v>
      </c>
      <c r="B551" s="9" t="s">
        <v>9</v>
      </c>
      <c r="C551" s="9">
        <v>1917</v>
      </c>
      <c r="D551" s="10">
        <v>45653</v>
      </c>
      <c r="E551" s="9" t="str">
        <f>+HYPERLINK("http://trademark.i-assist.jp/data/china/image_1917th/81072768.pdf","81072768")</f>
        <v>81072768</v>
      </c>
      <c r="F551" s="9" t="s">
        <v>1554</v>
      </c>
      <c r="G551" s="9" t="s">
        <v>1555</v>
      </c>
      <c r="H551" s="9" t="s">
        <v>1556</v>
      </c>
      <c r="I551" s="10">
        <v>45559</v>
      </c>
    </row>
    <row r="552" spans="1:9" x14ac:dyDescent="0.15">
      <c r="A552" s="9">
        <v>551</v>
      </c>
      <c r="B552" s="9" t="s">
        <v>9</v>
      </c>
      <c r="C552" s="9">
        <v>1917</v>
      </c>
      <c r="D552" s="10">
        <v>45653</v>
      </c>
      <c r="E552" s="9" t="str">
        <f>+HYPERLINK("http://trademark.i-assist.jp/data/china/image_1917th/81072896.pdf","81072896")</f>
        <v>81072896</v>
      </c>
      <c r="F552" s="9" t="s">
        <v>1557</v>
      </c>
      <c r="G552" s="9" t="s">
        <v>1558</v>
      </c>
      <c r="H552" s="9" t="s">
        <v>1559</v>
      </c>
      <c r="I552" s="10">
        <v>45559</v>
      </c>
    </row>
    <row r="553" spans="1:9" x14ac:dyDescent="0.15">
      <c r="A553" s="9">
        <v>552</v>
      </c>
      <c r="B553" s="9" t="s">
        <v>9</v>
      </c>
      <c r="C553" s="9">
        <v>1917</v>
      </c>
      <c r="D553" s="10">
        <v>45653</v>
      </c>
      <c r="E553" s="9" t="str">
        <f>+HYPERLINK("http://trademark.i-assist.jp/data/china/image_1917th/81073733.pdf","81073733")</f>
        <v>81073733</v>
      </c>
      <c r="F553" s="12" t="s">
        <v>12</v>
      </c>
      <c r="G553" s="12" t="s">
        <v>1560</v>
      </c>
      <c r="H553" s="9" t="s">
        <v>1561</v>
      </c>
      <c r="I553" s="10">
        <v>45559</v>
      </c>
    </row>
    <row r="554" spans="1:9" x14ac:dyDescent="0.15">
      <c r="A554" s="9">
        <v>553</v>
      </c>
      <c r="B554" s="9" t="s">
        <v>9</v>
      </c>
      <c r="C554" s="9">
        <v>1917</v>
      </c>
      <c r="D554" s="10">
        <v>45653</v>
      </c>
      <c r="E554" s="9" t="str">
        <f>+HYPERLINK("http://trademark.i-assist.jp/data/china/image_1917th/81073753.pdf","81073753")</f>
        <v>81073753</v>
      </c>
      <c r="F554" s="9" t="s">
        <v>1562</v>
      </c>
      <c r="G554" s="9" t="s">
        <v>1563</v>
      </c>
      <c r="H554" s="9" t="s">
        <v>1564</v>
      </c>
      <c r="I554" s="10">
        <v>45559</v>
      </c>
    </row>
    <row r="555" spans="1:9" x14ac:dyDescent="0.15">
      <c r="A555" s="9">
        <v>554</v>
      </c>
      <c r="B555" s="9" t="s">
        <v>9</v>
      </c>
      <c r="C555" s="9">
        <v>1917</v>
      </c>
      <c r="D555" s="10">
        <v>45653</v>
      </c>
      <c r="E555" s="9" t="str">
        <f>+HYPERLINK("http://trademark.i-assist.jp/data/china/image_1917th/81074897.pdf","81074897")</f>
        <v>81074897</v>
      </c>
      <c r="F555" s="9" t="s">
        <v>1565</v>
      </c>
      <c r="G555" s="12" t="s">
        <v>1566</v>
      </c>
      <c r="H555" s="9" t="s">
        <v>1567</v>
      </c>
      <c r="I555" s="10">
        <v>45559</v>
      </c>
    </row>
    <row r="556" spans="1:9" x14ac:dyDescent="0.15">
      <c r="A556" s="9">
        <v>555</v>
      </c>
      <c r="B556" s="9" t="s">
        <v>9</v>
      </c>
      <c r="C556" s="9">
        <v>1917</v>
      </c>
      <c r="D556" s="10">
        <v>45653</v>
      </c>
      <c r="E556" s="9" t="str">
        <f>+HYPERLINK("http://trademark.i-assist.jp/data/china/image_1917th/81074971.pdf","81074971")</f>
        <v>81074971</v>
      </c>
      <c r="F556" s="9" t="s">
        <v>1568</v>
      </c>
      <c r="G556" s="9" t="s">
        <v>1569</v>
      </c>
      <c r="H556" s="9" t="s">
        <v>1570</v>
      </c>
      <c r="I556" s="10">
        <v>45559</v>
      </c>
    </row>
    <row r="557" spans="1:9" x14ac:dyDescent="0.15">
      <c r="A557" s="9">
        <v>556</v>
      </c>
      <c r="B557" s="9" t="s">
        <v>9</v>
      </c>
      <c r="C557" s="9">
        <v>1917</v>
      </c>
      <c r="D557" s="10">
        <v>45653</v>
      </c>
      <c r="E557" s="9" t="str">
        <f>+HYPERLINK("http://trademark.i-assist.jp/data/china/image_1917th/81075887.pdf","81075887")</f>
        <v>81075887</v>
      </c>
      <c r="F557" s="9" t="s">
        <v>1571</v>
      </c>
      <c r="G557" s="9" t="s">
        <v>1572</v>
      </c>
      <c r="H557" s="9" t="s">
        <v>1573</v>
      </c>
      <c r="I557" s="10">
        <v>45559</v>
      </c>
    </row>
    <row r="558" spans="1:9" x14ac:dyDescent="0.15">
      <c r="A558" s="9">
        <v>557</v>
      </c>
      <c r="B558" s="9" t="s">
        <v>9</v>
      </c>
      <c r="C558" s="9">
        <v>1917</v>
      </c>
      <c r="D558" s="10">
        <v>45653</v>
      </c>
      <c r="E558" s="9" t="str">
        <f>+HYPERLINK("http://trademark.i-assist.jp/data/china/image_1917th/81075904.pdf","81075904")</f>
        <v>81075904</v>
      </c>
      <c r="F558" s="12" t="s">
        <v>12</v>
      </c>
      <c r="G558" s="9" t="s">
        <v>1574</v>
      </c>
      <c r="H558" s="9" t="s">
        <v>20</v>
      </c>
      <c r="I558" s="10">
        <v>45559</v>
      </c>
    </row>
    <row r="559" spans="1:9" x14ac:dyDescent="0.15">
      <c r="A559" s="9">
        <v>558</v>
      </c>
      <c r="B559" s="9" t="s">
        <v>9</v>
      </c>
      <c r="C559" s="9">
        <v>1917</v>
      </c>
      <c r="D559" s="10">
        <v>45653</v>
      </c>
      <c r="E559" s="9" t="str">
        <f>+HYPERLINK("http://trademark.i-assist.jp/data/china/image_1917th/81075975.pdf","81075975")</f>
        <v>81075975</v>
      </c>
      <c r="F559" s="9" t="s">
        <v>1575</v>
      </c>
      <c r="G559" s="9" t="s">
        <v>1576</v>
      </c>
      <c r="H559" s="9" t="s">
        <v>1577</v>
      </c>
      <c r="I559" s="10">
        <v>45559</v>
      </c>
    </row>
    <row r="560" spans="1:9" x14ac:dyDescent="0.15">
      <c r="A560" s="9">
        <v>559</v>
      </c>
      <c r="B560" s="9" t="s">
        <v>9</v>
      </c>
      <c r="C560" s="9">
        <v>1917</v>
      </c>
      <c r="D560" s="10">
        <v>45653</v>
      </c>
      <c r="E560" s="9" t="str">
        <f>+HYPERLINK("http://trademark.i-assist.jp/data/china/image_1917th/81075997.pdf","81075997")</f>
        <v>81075997</v>
      </c>
      <c r="F560" s="9" t="s">
        <v>1578</v>
      </c>
      <c r="G560" s="12" t="s">
        <v>1579</v>
      </c>
      <c r="H560" s="9" t="s">
        <v>1580</v>
      </c>
      <c r="I560" s="10">
        <v>45559</v>
      </c>
    </row>
    <row r="561" spans="1:9" x14ac:dyDescent="0.15">
      <c r="A561" s="9">
        <v>560</v>
      </c>
      <c r="B561" s="9" t="s">
        <v>9</v>
      </c>
      <c r="C561" s="9">
        <v>1917</v>
      </c>
      <c r="D561" s="10">
        <v>45653</v>
      </c>
      <c r="E561" s="9" t="str">
        <f>+HYPERLINK("http://trademark.i-assist.jp/data/china/image_1917th/81076605.pdf","81076605")</f>
        <v>81076605</v>
      </c>
      <c r="F561" s="9" t="s">
        <v>1581</v>
      </c>
      <c r="G561" s="12" t="s">
        <v>1582</v>
      </c>
      <c r="H561" s="9" t="s">
        <v>1583</v>
      </c>
      <c r="I561" s="10">
        <v>45559</v>
      </c>
    </row>
    <row r="562" spans="1:9" x14ac:dyDescent="0.15">
      <c r="A562" s="9">
        <v>561</v>
      </c>
      <c r="B562" s="9" t="s">
        <v>9</v>
      </c>
      <c r="C562" s="9">
        <v>1917</v>
      </c>
      <c r="D562" s="10">
        <v>45653</v>
      </c>
      <c r="E562" s="9" t="str">
        <f>+HYPERLINK("http://trademark.i-assist.jp/data/china/image_1917th/81078326.pdf","81078326")</f>
        <v>81078326</v>
      </c>
      <c r="F562" s="9" t="s">
        <v>1584</v>
      </c>
      <c r="G562" s="9" t="s">
        <v>1585</v>
      </c>
      <c r="H562" s="9" t="s">
        <v>1586</v>
      </c>
      <c r="I562" s="10">
        <v>45559</v>
      </c>
    </row>
    <row r="563" spans="1:9" x14ac:dyDescent="0.15">
      <c r="A563" s="9">
        <v>562</v>
      </c>
      <c r="B563" s="9" t="s">
        <v>9</v>
      </c>
      <c r="C563" s="9">
        <v>1917</v>
      </c>
      <c r="D563" s="10">
        <v>45653</v>
      </c>
      <c r="E563" s="9" t="str">
        <f>+HYPERLINK("http://trademark.i-assist.jp/data/china/image_1917th/81078748.pdf","81078748")</f>
        <v>81078748</v>
      </c>
      <c r="F563" s="9" t="s">
        <v>1587</v>
      </c>
      <c r="G563" s="9" t="s">
        <v>1588</v>
      </c>
      <c r="H563" s="9" t="s">
        <v>1589</v>
      </c>
      <c r="I563" s="10">
        <v>45559</v>
      </c>
    </row>
    <row r="564" spans="1:9" x14ac:dyDescent="0.15">
      <c r="A564" s="9">
        <v>563</v>
      </c>
      <c r="B564" s="9" t="s">
        <v>9</v>
      </c>
      <c r="C564" s="9">
        <v>1917</v>
      </c>
      <c r="D564" s="10">
        <v>45653</v>
      </c>
      <c r="E564" s="9" t="str">
        <f>+HYPERLINK("http://trademark.i-assist.jp/data/china/image_1917th/81080030.pdf","81080030")</f>
        <v>81080030</v>
      </c>
      <c r="F564" s="9" t="s">
        <v>1590</v>
      </c>
      <c r="G564" s="9" t="s">
        <v>1591</v>
      </c>
      <c r="H564" s="9" t="s">
        <v>1592</v>
      </c>
      <c r="I564" s="10">
        <v>45559</v>
      </c>
    </row>
    <row r="565" spans="1:9" x14ac:dyDescent="0.15">
      <c r="A565" s="9">
        <v>564</v>
      </c>
      <c r="B565" s="9" t="s">
        <v>9</v>
      </c>
      <c r="C565" s="9">
        <v>1917</v>
      </c>
      <c r="D565" s="10">
        <v>45653</v>
      </c>
      <c r="E565" s="9" t="str">
        <f>+HYPERLINK("http://trademark.i-assist.jp/data/china/image_1917th/81080057.pdf","81080057")</f>
        <v>81080057</v>
      </c>
      <c r="F565" s="9" t="s">
        <v>1593</v>
      </c>
      <c r="G565" s="9" t="s">
        <v>1594</v>
      </c>
      <c r="H565" s="9" t="s">
        <v>1595</v>
      </c>
      <c r="I565" s="10">
        <v>45559</v>
      </c>
    </row>
    <row r="566" spans="1:9" x14ac:dyDescent="0.15">
      <c r="A566" s="9">
        <v>565</v>
      </c>
      <c r="B566" s="9" t="s">
        <v>9</v>
      </c>
      <c r="C566" s="9">
        <v>1917</v>
      </c>
      <c r="D566" s="10">
        <v>45653</v>
      </c>
      <c r="E566" s="9" t="str">
        <f>+HYPERLINK("http://trademark.i-assist.jp/data/china/image_1917th/81080787.pdf","81080787")</f>
        <v>81080787</v>
      </c>
      <c r="F566" s="12" t="s">
        <v>1596</v>
      </c>
      <c r="G566" s="12" t="s">
        <v>1546</v>
      </c>
      <c r="H566" s="9" t="s">
        <v>1597</v>
      </c>
      <c r="I566" s="10">
        <v>45559</v>
      </c>
    </row>
    <row r="567" spans="1:9" x14ac:dyDescent="0.15">
      <c r="A567" s="9">
        <v>566</v>
      </c>
      <c r="B567" s="9" t="s">
        <v>9</v>
      </c>
      <c r="C567" s="9">
        <v>1917</v>
      </c>
      <c r="D567" s="10">
        <v>45653</v>
      </c>
      <c r="E567" s="9" t="str">
        <f>+HYPERLINK("http://trademark.i-assist.jp/data/china/image_1917th/81082241.pdf","81082241")</f>
        <v>81082241</v>
      </c>
      <c r="F567" s="9" t="s">
        <v>1593</v>
      </c>
      <c r="G567" s="9" t="s">
        <v>1594</v>
      </c>
      <c r="H567" s="9" t="s">
        <v>1598</v>
      </c>
      <c r="I567" s="10">
        <v>45559</v>
      </c>
    </row>
    <row r="568" spans="1:9" x14ac:dyDescent="0.15">
      <c r="A568" s="9">
        <v>567</v>
      </c>
      <c r="B568" s="9" t="s">
        <v>9</v>
      </c>
      <c r="C568" s="9">
        <v>1917</v>
      </c>
      <c r="D568" s="10">
        <v>45653</v>
      </c>
      <c r="E568" s="9" t="str">
        <f>+HYPERLINK("http://trademark.i-assist.jp/data/china/image_1917th/81082851.pdf","81082851")</f>
        <v>81082851</v>
      </c>
      <c r="F568" s="9" t="s">
        <v>1599</v>
      </c>
      <c r="G568" s="9" t="s">
        <v>1600</v>
      </c>
      <c r="H568" s="9" t="s">
        <v>1601</v>
      </c>
      <c r="I568" s="10">
        <v>45559</v>
      </c>
    </row>
    <row r="569" spans="1:9" x14ac:dyDescent="0.15">
      <c r="A569" s="9">
        <v>568</v>
      </c>
      <c r="B569" s="9" t="s">
        <v>9</v>
      </c>
      <c r="C569" s="9">
        <v>1917</v>
      </c>
      <c r="D569" s="10">
        <v>45653</v>
      </c>
      <c r="E569" s="9" t="str">
        <f>+HYPERLINK("http://trademark.i-assist.jp/data/china/image_1917th/81083504.pdf","81083504")</f>
        <v>81083504</v>
      </c>
      <c r="F569" s="9" t="s">
        <v>1602</v>
      </c>
      <c r="G569" s="9" t="s">
        <v>1543</v>
      </c>
      <c r="H569" s="9" t="s">
        <v>1603</v>
      </c>
      <c r="I569" s="10">
        <v>45559</v>
      </c>
    </row>
    <row r="570" spans="1:9" x14ac:dyDescent="0.15">
      <c r="A570" s="9">
        <v>569</v>
      </c>
      <c r="B570" s="9" t="s">
        <v>9</v>
      </c>
      <c r="C570" s="9">
        <v>1917</v>
      </c>
      <c r="D570" s="10">
        <v>45653</v>
      </c>
      <c r="E570" s="9" t="str">
        <f>+HYPERLINK("http://trademark.i-assist.jp/data/china/image_1917th/81083904.pdf","81083904")</f>
        <v>81083904</v>
      </c>
      <c r="F570" s="9" t="s">
        <v>1604</v>
      </c>
      <c r="G570" s="12" t="s">
        <v>1605</v>
      </c>
      <c r="H570" s="9" t="s">
        <v>1606</v>
      </c>
      <c r="I570" s="10">
        <v>45559</v>
      </c>
    </row>
    <row r="571" spans="1:9" x14ac:dyDescent="0.15">
      <c r="A571" s="9">
        <v>570</v>
      </c>
      <c r="B571" s="9" t="s">
        <v>9</v>
      </c>
      <c r="C571" s="9">
        <v>1917</v>
      </c>
      <c r="D571" s="10">
        <v>45653</v>
      </c>
      <c r="E571" s="9" t="str">
        <f>+HYPERLINK("http://trademark.i-assist.jp/data/china/image_1917th/81084039.pdf","81084039")</f>
        <v>81084039</v>
      </c>
      <c r="F571" s="12" t="s">
        <v>12</v>
      </c>
      <c r="G571" s="9" t="s">
        <v>1607</v>
      </c>
      <c r="H571" s="9" t="s">
        <v>1608</v>
      </c>
      <c r="I571" s="10">
        <v>45559</v>
      </c>
    </row>
    <row r="572" spans="1:9" x14ac:dyDescent="0.15">
      <c r="A572" s="9">
        <v>571</v>
      </c>
      <c r="B572" s="9" t="s">
        <v>9</v>
      </c>
      <c r="C572" s="9">
        <v>1917</v>
      </c>
      <c r="D572" s="10">
        <v>45653</v>
      </c>
      <c r="E572" s="9" t="str">
        <f>+HYPERLINK("http://trademark.i-assist.jp/data/china/image_1917th/81084363.pdf","81084363")</f>
        <v>81084363</v>
      </c>
      <c r="F572" s="9" t="s">
        <v>1609</v>
      </c>
      <c r="G572" s="9" t="s">
        <v>1610</v>
      </c>
      <c r="H572" s="9" t="s">
        <v>1611</v>
      </c>
      <c r="I572" s="10">
        <v>45559</v>
      </c>
    </row>
    <row r="573" spans="1:9" x14ac:dyDescent="0.15">
      <c r="A573" s="9">
        <v>572</v>
      </c>
      <c r="B573" s="9" t="s">
        <v>9</v>
      </c>
      <c r="C573" s="9">
        <v>1917</v>
      </c>
      <c r="D573" s="10">
        <v>45653</v>
      </c>
      <c r="E573" s="9" t="str">
        <f>+HYPERLINK("http://trademark.i-assist.jp/data/china/image_1917th/81084517.pdf","81084517")</f>
        <v>81084517</v>
      </c>
      <c r="F573" s="9" t="s">
        <v>1612</v>
      </c>
      <c r="G573" s="9" t="s">
        <v>1613</v>
      </c>
      <c r="H573" s="9" t="s">
        <v>1614</v>
      </c>
      <c r="I573" s="10">
        <v>45559</v>
      </c>
    </row>
    <row r="574" spans="1:9" x14ac:dyDescent="0.15">
      <c r="A574" s="9">
        <v>573</v>
      </c>
      <c r="B574" s="9" t="s">
        <v>9</v>
      </c>
      <c r="C574" s="9">
        <v>1917</v>
      </c>
      <c r="D574" s="10">
        <v>45653</v>
      </c>
      <c r="E574" s="9" t="str">
        <f>+HYPERLINK("http://trademark.i-assist.jp/data/china/image_1917th/81084935.pdf","81084935")</f>
        <v>81084935</v>
      </c>
      <c r="F574" s="9" t="s">
        <v>1615</v>
      </c>
      <c r="G574" s="9" t="s">
        <v>1591</v>
      </c>
      <c r="H574" s="9" t="s">
        <v>1616</v>
      </c>
      <c r="I574" s="10">
        <v>45559</v>
      </c>
    </row>
    <row r="575" spans="1:9" x14ac:dyDescent="0.15">
      <c r="A575" s="9">
        <v>574</v>
      </c>
      <c r="B575" s="9" t="s">
        <v>9</v>
      </c>
      <c r="C575" s="9">
        <v>1917</v>
      </c>
      <c r="D575" s="10">
        <v>45653</v>
      </c>
      <c r="E575" s="9" t="str">
        <f>+HYPERLINK("http://trademark.i-assist.jp/data/china/image_1917th/81085513.pdf","81085513")</f>
        <v>81085513</v>
      </c>
      <c r="F575" s="12" t="s">
        <v>12</v>
      </c>
      <c r="G575" s="12" t="s">
        <v>1617</v>
      </c>
      <c r="H575" s="9" t="s">
        <v>1618</v>
      </c>
      <c r="I575" s="10">
        <v>45559</v>
      </c>
    </row>
    <row r="576" spans="1:9" x14ac:dyDescent="0.15">
      <c r="A576" s="9">
        <v>575</v>
      </c>
      <c r="B576" s="9" t="s">
        <v>9</v>
      </c>
      <c r="C576" s="9">
        <v>1917</v>
      </c>
      <c r="D576" s="10">
        <v>45653</v>
      </c>
      <c r="E576" s="9" t="str">
        <f>+HYPERLINK("http://trademark.i-assist.jp/data/china/image_1917th/81085784.pdf","81085784")</f>
        <v>81085784</v>
      </c>
      <c r="F576" s="9" t="s">
        <v>1619</v>
      </c>
      <c r="G576" s="9" t="s">
        <v>1620</v>
      </c>
      <c r="H576" s="9" t="s">
        <v>1621</v>
      </c>
      <c r="I576" s="10">
        <v>45559</v>
      </c>
    </row>
    <row r="577" spans="1:9" x14ac:dyDescent="0.15">
      <c r="A577" s="9">
        <v>576</v>
      </c>
      <c r="B577" s="9" t="s">
        <v>9</v>
      </c>
      <c r="C577" s="9">
        <v>1917</v>
      </c>
      <c r="D577" s="10">
        <v>45653</v>
      </c>
      <c r="E577" s="9" t="str">
        <f>+HYPERLINK("http://trademark.i-assist.jp/data/china/image_1917th/81086224.pdf","81086224")</f>
        <v>81086224</v>
      </c>
      <c r="F577" s="9" t="s">
        <v>1622</v>
      </c>
      <c r="G577" s="12" t="s">
        <v>1623</v>
      </c>
      <c r="H577" s="9" t="s">
        <v>1624</v>
      </c>
      <c r="I577" s="10">
        <v>45559</v>
      </c>
    </row>
    <row r="578" spans="1:9" x14ac:dyDescent="0.15">
      <c r="A578" s="9">
        <v>577</v>
      </c>
      <c r="B578" s="9" t="s">
        <v>9</v>
      </c>
      <c r="C578" s="9">
        <v>1917</v>
      </c>
      <c r="D578" s="10">
        <v>45653</v>
      </c>
      <c r="E578" s="9" t="str">
        <f>+HYPERLINK("http://trademark.i-assist.jp/data/china/image_1917th/81086575.pdf","81086575")</f>
        <v>81086575</v>
      </c>
      <c r="F578" s="9" t="s">
        <v>1625</v>
      </c>
      <c r="G578" s="9" t="s">
        <v>1626</v>
      </c>
      <c r="H578" s="9" t="s">
        <v>1627</v>
      </c>
      <c r="I578" s="10">
        <v>45559</v>
      </c>
    </row>
    <row r="579" spans="1:9" x14ac:dyDescent="0.15">
      <c r="A579" s="9">
        <v>578</v>
      </c>
      <c r="B579" s="9" t="s">
        <v>9</v>
      </c>
      <c r="C579" s="9">
        <v>1917</v>
      </c>
      <c r="D579" s="10">
        <v>45653</v>
      </c>
      <c r="E579" s="9" t="str">
        <f>+HYPERLINK("http://trademark.i-assist.jp/data/china/image_1917th/81087443.pdf","81087443")</f>
        <v>81087443</v>
      </c>
      <c r="F579" s="12" t="s">
        <v>1628</v>
      </c>
      <c r="G579" s="9" t="s">
        <v>1629</v>
      </c>
      <c r="H579" s="9" t="s">
        <v>1630</v>
      </c>
      <c r="I579" s="10">
        <v>45559</v>
      </c>
    </row>
    <row r="580" spans="1:9" x14ac:dyDescent="0.15">
      <c r="A580" s="9">
        <v>579</v>
      </c>
      <c r="B580" s="9" t="s">
        <v>9</v>
      </c>
      <c r="C580" s="9">
        <v>1917</v>
      </c>
      <c r="D580" s="10">
        <v>45653</v>
      </c>
      <c r="E580" s="9" t="str">
        <f>+HYPERLINK("http://trademark.i-assist.jp/data/china/image_1917th/81088477.pdf","81088477")</f>
        <v>81088477</v>
      </c>
      <c r="F580" s="12" t="s">
        <v>12</v>
      </c>
      <c r="G580" s="12" t="s">
        <v>1560</v>
      </c>
      <c r="H580" s="9" t="s">
        <v>1631</v>
      </c>
      <c r="I580" s="10">
        <v>45559</v>
      </c>
    </row>
    <row r="581" spans="1:9" x14ac:dyDescent="0.15">
      <c r="A581" s="9">
        <v>580</v>
      </c>
      <c r="B581" s="9" t="s">
        <v>9</v>
      </c>
      <c r="C581" s="9">
        <v>1917</v>
      </c>
      <c r="D581" s="10">
        <v>45653</v>
      </c>
      <c r="E581" s="9" t="str">
        <f>+HYPERLINK("http://trademark.i-assist.jp/data/china/image_1917th/81089368.pdf","81089368")</f>
        <v>81089368</v>
      </c>
      <c r="F581" s="9" t="s">
        <v>1632</v>
      </c>
      <c r="G581" s="9" t="s">
        <v>1633</v>
      </c>
      <c r="H581" s="9" t="s">
        <v>1634</v>
      </c>
      <c r="I581" s="10">
        <v>45559</v>
      </c>
    </row>
    <row r="582" spans="1:9" x14ac:dyDescent="0.15">
      <c r="A582" s="9">
        <v>581</v>
      </c>
      <c r="B582" s="9" t="s">
        <v>9</v>
      </c>
      <c r="C582" s="9">
        <v>1917</v>
      </c>
      <c r="D582" s="10">
        <v>45653</v>
      </c>
      <c r="E582" s="9" t="str">
        <f>+HYPERLINK("http://trademark.i-assist.jp/data/china/image_1917th/81089379.pdf","81089379")</f>
        <v>81089379</v>
      </c>
      <c r="F582" s="9" t="s">
        <v>1635</v>
      </c>
      <c r="G582" s="9" t="s">
        <v>1636</v>
      </c>
      <c r="H582" s="9" t="s">
        <v>1637</v>
      </c>
      <c r="I582" s="10">
        <v>45559</v>
      </c>
    </row>
    <row r="583" spans="1:9" x14ac:dyDescent="0.15">
      <c r="A583" s="9">
        <v>582</v>
      </c>
      <c r="B583" s="9" t="s">
        <v>9</v>
      </c>
      <c r="C583" s="9">
        <v>1917</v>
      </c>
      <c r="D583" s="10">
        <v>45653</v>
      </c>
      <c r="E583" s="9" t="str">
        <f>+HYPERLINK("http://trademark.i-assist.jp/data/china/image_1917th/81089474.pdf","81089474")</f>
        <v>81089474</v>
      </c>
      <c r="F583" s="9" t="s">
        <v>1638</v>
      </c>
      <c r="G583" s="12" t="s">
        <v>1639</v>
      </c>
      <c r="H583" s="9" t="s">
        <v>1640</v>
      </c>
      <c r="I583" s="10">
        <v>45559</v>
      </c>
    </row>
    <row r="584" spans="1:9" x14ac:dyDescent="0.15">
      <c r="A584" s="9">
        <v>583</v>
      </c>
      <c r="B584" s="9" t="s">
        <v>9</v>
      </c>
      <c r="C584" s="9">
        <v>1917</v>
      </c>
      <c r="D584" s="10">
        <v>45653</v>
      </c>
      <c r="E584" s="9" t="str">
        <f>+HYPERLINK("http://trademark.i-assist.jp/data/china/image_1917th/81090119.pdf","81090119")</f>
        <v>81090119</v>
      </c>
      <c r="F584" s="9" t="s">
        <v>1641</v>
      </c>
      <c r="G584" s="9" t="s">
        <v>1642</v>
      </c>
      <c r="H584" s="9" t="s">
        <v>1643</v>
      </c>
      <c r="I584" s="10">
        <v>45559</v>
      </c>
    </row>
    <row r="585" spans="1:9" x14ac:dyDescent="0.15">
      <c r="A585" s="9">
        <v>584</v>
      </c>
      <c r="B585" s="9" t="s">
        <v>9</v>
      </c>
      <c r="C585" s="9">
        <v>1917</v>
      </c>
      <c r="D585" s="10">
        <v>45653</v>
      </c>
      <c r="E585" s="9" t="str">
        <f>+HYPERLINK("http://trademark.i-assist.jp/data/china/image_1917th/81090460.pdf","81090460")</f>
        <v>81090460</v>
      </c>
      <c r="F585" s="9" t="s">
        <v>1644</v>
      </c>
      <c r="G585" s="9" t="s">
        <v>1645</v>
      </c>
      <c r="H585" s="12" t="s">
        <v>1646</v>
      </c>
      <c r="I585" s="10">
        <v>45559</v>
      </c>
    </row>
    <row r="586" spans="1:9" x14ac:dyDescent="0.15">
      <c r="A586" s="9">
        <v>585</v>
      </c>
      <c r="B586" s="9" t="s">
        <v>9</v>
      </c>
      <c r="C586" s="9">
        <v>1917</v>
      </c>
      <c r="D586" s="10">
        <v>45653</v>
      </c>
      <c r="E586" s="9" t="str">
        <f>+HYPERLINK("http://trademark.i-assist.jp/data/china/image_1917th/81091067.pdf","81091067")</f>
        <v>81091067</v>
      </c>
      <c r="F586" s="11" t="s">
        <v>1647</v>
      </c>
      <c r="G586" s="9" t="s">
        <v>1648</v>
      </c>
      <c r="H586" s="9" t="s">
        <v>1649</v>
      </c>
      <c r="I586" s="10">
        <v>45559</v>
      </c>
    </row>
    <row r="587" spans="1:9" x14ac:dyDescent="0.15">
      <c r="A587" s="9">
        <v>586</v>
      </c>
      <c r="B587" s="9" t="s">
        <v>9</v>
      </c>
      <c r="C587" s="9">
        <v>1917</v>
      </c>
      <c r="D587" s="10">
        <v>45653</v>
      </c>
      <c r="E587" s="9" t="str">
        <f>+HYPERLINK("http://trademark.i-assist.jp/data/china/image_1917th/81091312.pdf","81091312")</f>
        <v>81091312</v>
      </c>
      <c r="F587" s="9" t="s">
        <v>1650</v>
      </c>
      <c r="G587" s="9" t="s">
        <v>1651</v>
      </c>
      <c r="H587" s="9" t="s">
        <v>1652</v>
      </c>
      <c r="I587" s="10">
        <v>45559</v>
      </c>
    </row>
    <row r="588" spans="1:9" x14ac:dyDescent="0.15">
      <c r="A588" s="9">
        <v>587</v>
      </c>
      <c r="B588" s="9" t="s">
        <v>9</v>
      </c>
      <c r="C588" s="9">
        <v>1917</v>
      </c>
      <c r="D588" s="10">
        <v>45653</v>
      </c>
      <c r="E588" s="9" t="str">
        <f>+HYPERLINK("http://trademark.i-assist.jp/data/china/image_1917th/81091323.pdf","81091323")</f>
        <v>81091323</v>
      </c>
      <c r="F588" s="9" t="s">
        <v>1653</v>
      </c>
      <c r="G588" s="9" t="s">
        <v>1654</v>
      </c>
      <c r="H588" s="9" t="s">
        <v>1655</v>
      </c>
      <c r="I588" s="10">
        <v>45559</v>
      </c>
    </row>
    <row r="589" spans="1:9" x14ac:dyDescent="0.15">
      <c r="A589" s="9">
        <v>588</v>
      </c>
      <c r="B589" s="9" t="s">
        <v>9</v>
      </c>
      <c r="C589" s="9">
        <v>1917</v>
      </c>
      <c r="D589" s="10">
        <v>45653</v>
      </c>
      <c r="E589" s="9" t="str">
        <f>+HYPERLINK("http://trademark.i-assist.jp/data/china/image_1917th/81092048.pdf","81092048")</f>
        <v>81092048</v>
      </c>
      <c r="F589" s="12" t="s">
        <v>1656</v>
      </c>
      <c r="G589" s="9" t="s">
        <v>1657</v>
      </c>
      <c r="H589" s="9" t="s">
        <v>1658</v>
      </c>
      <c r="I589" s="10">
        <v>45559</v>
      </c>
    </row>
    <row r="590" spans="1:9" x14ac:dyDescent="0.15">
      <c r="A590" s="9">
        <v>589</v>
      </c>
      <c r="B590" s="9" t="s">
        <v>9</v>
      </c>
      <c r="C590" s="9">
        <v>1917</v>
      </c>
      <c r="D590" s="10">
        <v>45653</v>
      </c>
      <c r="E590" s="9" t="str">
        <f>+HYPERLINK("http://trademark.i-assist.jp/data/china/image_1917th/81093415.pdf","81093415")</f>
        <v>81093415</v>
      </c>
      <c r="F590" s="9" t="s">
        <v>1659</v>
      </c>
      <c r="G590" s="9" t="s">
        <v>1660</v>
      </c>
      <c r="H590" s="12" t="s">
        <v>1661</v>
      </c>
      <c r="I590" s="10">
        <v>45559</v>
      </c>
    </row>
    <row r="591" spans="1:9" x14ac:dyDescent="0.15">
      <c r="A591" s="9">
        <v>590</v>
      </c>
      <c r="B591" s="9" t="s">
        <v>9</v>
      </c>
      <c r="C591" s="9">
        <v>1917</v>
      </c>
      <c r="D591" s="10">
        <v>45653</v>
      </c>
      <c r="E591" s="9" t="str">
        <f>+HYPERLINK("http://trademark.i-assist.jp/data/china/image_1917th/81093430.pdf","81093430")</f>
        <v>81093430</v>
      </c>
      <c r="F591" s="9" t="s">
        <v>1662</v>
      </c>
      <c r="G591" s="9" t="s">
        <v>1663</v>
      </c>
      <c r="H591" s="9" t="s">
        <v>1664</v>
      </c>
      <c r="I591" s="10">
        <v>45559</v>
      </c>
    </row>
    <row r="592" spans="1:9" x14ac:dyDescent="0.15">
      <c r="A592" s="9">
        <v>591</v>
      </c>
      <c r="B592" s="9" t="s">
        <v>9</v>
      </c>
      <c r="C592" s="9">
        <v>1917</v>
      </c>
      <c r="D592" s="10">
        <v>45653</v>
      </c>
      <c r="E592" s="9" t="str">
        <f>+HYPERLINK("http://trademark.i-assist.jp/data/china/image_1917th/81093513.pdf","81093513")</f>
        <v>81093513</v>
      </c>
      <c r="F592" s="9" t="s">
        <v>1665</v>
      </c>
      <c r="G592" s="9" t="s">
        <v>1666</v>
      </c>
      <c r="H592" s="12" t="s">
        <v>1667</v>
      </c>
      <c r="I592" s="10">
        <v>45559</v>
      </c>
    </row>
    <row r="593" spans="1:9" x14ac:dyDescent="0.15">
      <c r="A593" s="9">
        <v>592</v>
      </c>
      <c r="B593" s="9" t="s">
        <v>9</v>
      </c>
      <c r="C593" s="9">
        <v>1917</v>
      </c>
      <c r="D593" s="10">
        <v>45653</v>
      </c>
      <c r="E593" s="9" t="str">
        <f>+HYPERLINK("http://trademark.i-assist.jp/data/china/image_1917th/81093745.pdf","81093745")</f>
        <v>81093745</v>
      </c>
      <c r="F593" s="9" t="s">
        <v>1668</v>
      </c>
      <c r="G593" s="9" t="s">
        <v>1669</v>
      </c>
      <c r="H593" s="9" t="s">
        <v>1670</v>
      </c>
      <c r="I593" s="10">
        <v>45559</v>
      </c>
    </row>
    <row r="594" spans="1:9" x14ac:dyDescent="0.15">
      <c r="A594" s="9">
        <v>593</v>
      </c>
      <c r="B594" s="9" t="s">
        <v>9</v>
      </c>
      <c r="C594" s="9">
        <v>1917</v>
      </c>
      <c r="D594" s="10">
        <v>45653</v>
      </c>
      <c r="E594" s="9" t="str">
        <f>+HYPERLINK("http://trademark.i-assist.jp/data/china/image_1917th/81094538.pdf","81094538")</f>
        <v>81094538</v>
      </c>
      <c r="F594" s="9" t="s">
        <v>1671</v>
      </c>
      <c r="G594" s="12" t="s">
        <v>1672</v>
      </c>
      <c r="H594" s="9" t="s">
        <v>1673</v>
      </c>
      <c r="I594" s="10">
        <v>45560</v>
      </c>
    </row>
    <row r="595" spans="1:9" x14ac:dyDescent="0.15">
      <c r="A595" s="9">
        <v>594</v>
      </c>
      <c r="B595" s="9" t="s">
        <v>9</v>
      </c>
      <c r="C595" s="9">
        <v>1917</v>
      </c>
      <c r="D595" s="10">
        <v>45653</v>
      </c>
      <c r="E595" s="9" t="str">
        <f>+HYPERLINK("http://trademark.i-assist.jp/data/china/image_1917th/81094663.pdf","81094663")</f>
        <v>81094663</v>
      </c>
      <c r="F595" s="9" t="s">
        <v>1674</v>
      </c>
      <c r="G595" s="9" t="s">
        <v>1675</v>
      </c>
      <c r="H595" s="9" t="s">
        <v>1676</v>
      </c>
      <c r="I595" s="10">
        <v>45560</v>
      </c>
    </row>
    <row r="596" spans="1:9" x14ac:dyDescent="0.15">
      <c r="A596" s="9">
        <v>595</v>
      </c>
      <c r="B596" s="9" t="s">
        <v>9</v>
      </c>
      <c r="C596" s="9">
        <v>1917</v>
      </c>
      <c r="D596" s="10">
        <v>45653</v>
      </c>
      <c r="E596" s="9" t="str">
        <f>+HYPERLINK("http://trademark.i-assist.jp/data/china/image_1917th/81095157.pdf","81095157")</f>
        <v>81095157</v>
      </c>
      <c r="F596" s="9" t="s">
        <v>1677</v>
      </c>
      <c r="G596" s="9" t="s">
        <v>1678</v>
      </c>
      <c r="H596" s="9" t="s">
        <v>1679</v>
      </c>
      <c r="I596" s="10">
        <v>45560</v>
      </c>
    </row>
    <row r="597" spans="1:9" x14ac:dyDescent="0.15">
      <c r="A597" s="9">
        <v>596</v>
      </c>
      <c r="B597" s="9" t="s">
        <v>9</v>
      </c>
      <c r="C597" s="9">
        <v>1917</v>
      </c>
      <c r="D597" s="10">
        <v>45653</v>
      </c>
      <c r="E597" s="9" t="str">
        <f>+HYPERLINK("http://trademark.i-assist.jp/data/china/image_1917th/81095807.pdf","81095807")</f>
        <v>81095807</v>
      </c>
      <c r="F597" s="12" t="s">
        <v>1680</v>
      </c>
      <c r="G597" s="12" t="s">
        <v>1300</v>
      </c>
      <c r="H597" s="9" t="s">
        <v>1681</v>
      </c>
      <c r="I597" s="10">
        <v>45560</v>
      </c>
    </row>
    <row r="598" spans="1:9" x14ac:dyDescent="0.15">
      <c r="A598" s="9">
        <v>597</v>
      </c>
      <c r="B598" s="9" t="s">
        <v>9</v>
      </c>
      <c r="C598" s="9">
        <v>1917</v>
      </c>
      <c r="D598" s="10">
        <v>45653</v>
      </c>
      <c r="E598" s="9" t="str">
        <f>+HYPERLINK("http://trademark.i-assist.jp/data/china/image_1917th/81095900.pdf","81095900")</f>
        <v>81095900</v>
      </c>
      <c r="F598" s="12" t="s">
        <v>1682</v>
      </c>
      <c r="G598" s="12" t="s">
        <v>1683</v>
      </c>
      <c r="H598" s="9" t="s">
        <v>1684</v>
      </c>
      <c r="I598" s="10">
        <v>45560</v>
      </c>
    </row>
    <row r="599" spans="1:9" x14ac:dyDescent="0.15">
      <c r="A599" s="9">
        <v>598</v>
      </c>
      <c r="B599" s="9" t="s">
        <v>9</v>
      </c>
      <c r="C599" s="9">
        <v>1917</v>
      </c>
      <c r="D599" s="10">
        <v>45653</v>
      </c>
      <c r="E599" s="9" t="str">
        <f>+HYPERLINK("http://trademark.i-assist.jp/data/china/image_1917th/81096607.pdf","81096607")</f>
        <v>81096607</v>
      </c>
      <c r="F599" s="9" t="s">
        <v>1685</v>
      </c>
      <c r="G599" s="9" t="s">
        <v>1686</v>
      </c>
      <c r="H599" s="9" t="s">
        <v>1687</v>
      </c>
      <c r="I599" s="10">
        <v>45560</v>
      </c>
    </row>
    <row r="600" spans="1:9" x14ac:dyDescent="0.15">
      <c r="A600" s="9">
        <v>599</v>
      </c>
      <c r="B600" s="9" t="s">
        <v>9</v>
      </c>
      <c r="C600" s="9">
        <v>1917</v>
      </c>
      <c r="D600" s="10">
        <v>45653</v>
      </c>
      <c r="E600" s="9" t="str">
        <f>+HYPERLINK("http://trademark.i-assist.jp/data/china/image_1917th/81097312.pdf","81097312")</f>
        <v>81097312</v>
      </c>
      <c r="F600" s="9" t="s">
        <v>1688</v>
      </c>
      <c r="G600" s="12" t="s">
        <v>1689</v>
      </c>
      <c r="H600" s="9" t="s">
        <v>1690</v>
      </c>
      <c r="I600" s="10">
        <v>45560</v>
      </c>
    </row>
    <row r="601" spans="1:9" x14ac:dyDescent="0.15">
      <c r="A601" s="9">
        <v>600</v>
      </c>
      <c r="B601" s="9" t="s">
        <v>9</v>
      </c>
      <c r="C601" s="9">
        <v>1917</v>
      </c>
      <c r="D601" s="10">
        <v>45653</v>
      </c>
      <c r="E601" s="9" t="str">
        <f>+HYPERLINK("http://trademark.i-assist.jp/data/china/image_1917th/81097328.pdf","81097328")</f>
        <v>81097328</v>
      </c>
      <c r="F601" s="9" t="s">
        <v>1691</v>
      </c>
      <c r="G601" s="9" t="s">
        <v>1692</v>
      </c>
      <c r="H601" s="9" t="s">
        <v>1693</v>
      </c>
      <c r="I601" s="10">
        <v>45560</v>
      </c>
    </row>
    <row r="602" spans="1:9" x14ac:dyDescent="0.15">
      <c r="A602" s="9">
        <v>601</v>
      </c>
      <c r="B602" s="9" t="s">
        <v>9</v>
      </c>
      <c r="C602" s="9">
        <v>1917</v>
      </c>
      <c r="D602" s="10">
        <v>45653</v>
      </c>
      <c r="E602" s="9" t="str">
        <f>+HYPERLINK("http://trademark.i-assist.jp/data/china/image_1917th/81097656.pdf","81097656")</f>
        <v>81097656</v>
      </c>
      <c r="F602" s="9" t="s">
        <v>1694</v>
      </c>
      <c r="G602" s="9" t="s">
        <v>1695</v>
      </c>
      <c r="H602" s="9" t="s">
        <v>1696</v>
      </c>
      <c r="I602" s="10">
        <v>45560</v>
      </c>
    </row>
    <row r="603" spans="1:9" x14ac:dyDescent="0.15">
      <c r="A603" s="9">
        <v>602</v>
      </c>
      <c r="B603" s="9" t="s">
        <v>9</v>
      </c>
      <c r="C603" s="9">
        <v>1917</v>
      </c>
      <c r="D603" s="10">
        <v>45653</v>
      </c>
      <c r="E603" s="9" t="str">
        <f>+HYPERLINK("http://trademark.i-assist.jp/data/china/image_1917th/81097845.pdf","81097845")</f>
        <v>81097845</v>
      </c>
      <c r="F603" s="9" t="s">
        <v>1697</v>
      </c>
      <c r="G603" s="12" t="s">
        <v>1698</v>
      </c>
      <c r="H603" s="9" t="s">
        <v>1699</v>
      </c>
      <c r="I603" s="10">
        <v>45560</v>
      </c>
    </row>
    <row r="604" spans="1:9" x14ac:dyDescent="0.15">
      <c r="A604" s="9">
        <v>603</v>
      </c>
      <c r="B604" s="9" t="s">
        <v>9</v>
      </c>
      <c r="C604" s="9">
        <v>1917</v>
      </c>
      <c r="D604" s="10">
        <v>45653</v>
      </c>
      <c r="E604" s="9" t="str">
        <f>+HYPERLINK("http://trademark.i-assist.jp/data/china/image_1917th/81098468.pdf","81098468")</f>
        <v>81098468</v>
      </c>
      <c r="F604" s="9" t="s">
        <v>1700</v>
      </c>
      <c r="G604" s="9" t="s">
        <v>1701</v>
      </c>
      <c r="H604" s="9" t="s">
        <v>1702</v>
      </c>
      <c r="I604" s="10">
        <v>45560</v>
      </c>
    </row>
    <row r="605" spans="1:9" x14ac:dyDescent="0.15">
      <c r="A605" s="9">
        <v>604</v>
      </c>
      <c r="B605" s="9" t="s">
        <v>9</v>
      </c>
      <c r="C605" s="9">
        <v>1917</v>
      </c>
      <c r="D605" s="10">
        <v>45653</v>
      </c>
      <c r="E605" s="9" t="str">
        <f>+HYPERLINK("http://trademark.i-assist.jp/data/china/image_1917th/81098484.pdf","81098484")</f>
        <v>81098484</v>
      </c>
      <c r="F605" s="9" t="s">
        <v>1703</v>
      </c>
      <c r="G605" s="9" t="s">
        <v>1704</v>
      </c>
      <c r="H605" s="9" t="s">
        <v>1705</v>
      </c>
      <c r="I605" s="10">
        <v>45560</v>
      </c>
    </row>
    <row r="606" spans="1:9" x14ac:dyDescent="0.15">
      <c r="A606" s="9">
        <v>605</v>
      </c>
      <c r="B606" s="9" t="s">
        <v>9</v>
      </c>
      <c r="C606" s="9">
        <v>1917</v>
      </c>
      <c r="D606" s="10">
        <v>45653</v>
      </c>
      <c r="E606" s="9" t="str">
        <f>+HYPERLINK("http://trademark.i-assist.jp/data/china/image_1917th/81098503.pdf","81098503")</f>
        <v>81098503</v>
      </c>
      <c r="F606" s="9" t="s">
        <v>1706</v>
      </c>
      <c r="G606" s="9" t="s">
        <v>1707</v>
      </c>
      <c r="H606" s="9" t="s">
        <v>1708</v>
      </c>
      <c r="I606" s="10">
        <v>45560</v>
      </c>
    </row>
    <row r="607" spans="1:9" x14ac:dyDescent="0.15">
      <c r="A607" s="9">
        <v>606</v>
      </c>
      <c r="B607" s="9" t="s">
        <v>9</v>
      </c>
      <c r="C607" s="9">
        <v>1917</v>
      </c>
      <c r="D607" s="10">
        <v>45653</v>
      </c>
      <c r="E607" s="9" t="str">
        <f>+HYPERLINK("http://trademark.i-assist.jp/data/china/image_1917th/81098588.pdf","81098588")</f>
        <v>81098588</v>
      </c>
      <c r="F607" s="9" t="s">
        <v>1709</v>
      </c>
      <c r="G607" s="9" t="s">
        <v>1710</v>
      </c>
      <c r="H607" s="12" t="s">
        <v>1711</v>
      </c>
      <c r="I607" s="10">
        <v>45560</v>
      </c>
    </row>
    <row r="608" spans="1:9" x14ac:dyDescent="0.15">
      <c r="A608" s="9">
        <v>607</v>
      </c>
      <c r="B608" s="9" t="s">
        <v>9</v>
      </c>
      <c r="C608" s="9">
        <v>1917</v>
      </c>
      <c r="D608" s="10">
        <v>45653</v>
      </c>
      <c r="E608" s="9" t="str">
        <f>+HYPERLINK("http://trademark.i-assist.jp/data/china/image_1917th/81098629.pdf","81098629")</f>
        <v>81098629</v>
      </c>
      <c r="F608" s="9" t="s">
        <v>1712</v>
      </c>
      <c r="G608" s="9" t="s">
        <v>1713</v>
      </c>
      <c r="H608" s="9" t="s">
        <v>1714</v>
      </c>
      <c r="I608" s="10">
        <v>45560</v>
      </c>
    </row>
    <row r="609" spans="1:9" x14ac:dyDescent="0.15">
      <c r="A609" s="9">
        <v>608</v>
      </c>
      <c r="B609" s="9" t="s">
        <v>9</v>
      </c>
      <c r="C609" s="9">
        <v>1917</v>
      </c>
      <c r="D609" s="10">
        <v>45653</v>
      </c>
      <c r="E609" s="9" t="str">
        <f>+HYPERLINK("http://trademark.i-assist.jp/data/china/image_1917th/81099114.pdf","81099114")</f>
        <v>81099114</v>
      </c>
      <c r="F609" s="9" t="s">
        <v>1715</v>
      </c>
      <c r="G609" s="9" t="s">
        <v>37</v>
      </c>
      <c r="H609" s="9" t="s">
        <v>1716</v>
      </c>
      <c r="I609" s="10">
        <v>45560</v>
      </c>
    </row>
    <row r="610" spans="1:9" x14ac:dyDescent="0.15">
      <c r="A610" s="9">
        <v>609</v>
      </c>
      <c r="B610" s="9" t="s">
        <v>9</v>
      </c>
      <c r="C610" s="9">
        <v>1917</v>
      </c>
      <c r="D610" s="10">
        <v>45653</v>
      </c>
      <c r="E610" s="9" t="str">
        <f>+HYPERLINK("http://trademark.i-assist.jp/data/china/image_1917th/81099348.pdf","81099348")</f>
        <v>81099348</v>
      </c>
      <c r="F610" s="9" t="s">
        <v>1717</v>
      </c>
      <c r="G610" s="9" t="s">
        <v>1718</v>
      </c>
      <c r="H610" s="9" t="s">
        <v>1719</v>
      </c>
      <c r="I610" s="10">
        <v>45560</v>
      </c>
    </row>
    <row r="611" spans="1:9" x14ac:dyDescent="0.15">
      <c r="A611" s="9">
        <v>610</v>
      </c>
      <c r="B611" s="9" t="s">
        <v>9</v>
      </c>
      <c r="C611" s="9">
        <v>1917</v>
      </c>
      <c r="D611" s="10">
        <v>45653</v>
      </c>
      <c r="E611" s="9" t="str">
        <f>+HYPERLINK("http://trademark.i-assist.jp/data/china/image_1917th/81099835.pdf","81099835")</f>
        <v>81099835</v>
      </c>
      <c r="F611" s="9" t="s">
        <v>1720</v>
      </c>
      <c r="G611" s="12" t="s">
        <v>1721</v>
      </c>
      <c r="H611" s="9" t="s">
        <v>1722</v>
      </c>
      <c r="I611" s="10">
        <v>45560</v>
      </c>
    </row>
    <row r="612" spans="1:9" x14ac:dyDescent="0.15">
      <c r="A612" s="9">
        <v>611</v>
      </c>
      <c r="B612" s="9" t="s">
        <v>9</v>
      </c>
      <c r="C612" s="9">
        <v>1917</v>
      </c>
      <c r="D612" s="10">
        <v>45653</v>
      </c>
      <c r="E612" s="9" t="str">
        <f>+HYPERLINK("http://trademark.i-assist.jp/data/china/image_1917th/81100448.pdf","81100448")</f>
        <v>81100448</v>
      </c>
      <c r="F612" s="9" t="s">
        <v>1723</v>
      </c>
      <c r="G612" s="9" t="s">
        <v>1724</v>
      </c>
      <c r="H612" s="9" t="s">
        <v>1725</v>
      </c>
      <c r="I612" s="10">
        <v>45560</v>
      </c>
    </row>
    <row r="613" spans="1:9" x14ac:dyDescent="0.15">
      <c r="A613" s="9">
        <v>612</v>
      </c>
      <c r="B613" s="9" t="s">
        <v>9</v>
      </c>
      <c r="C613" s="9">
        <v>1917</v>
      </c>
      <c r="D613" s="10">
        <v>45653</v>
      </c>
      <c r="E613" s="9" t="str">
        <f>+HYPERLINK("http://trademark.i-assist.jp/data/china/image_1917th/81100516.pdf","81100516")</f>
        <v>81100516</v>
      </c>
      <c r="F613" s="9" t="s">
        <v>1726</v>
      </c>
      <c r="G613" s="12" t="s">
        <v>1727</v>
      </c>
      <c r="H613" s="9" t="s">
        <v>1728</v>
      </c>
      <c r="I613" s="10">
        <v>45560</v>
      </c>
    </row>
    <row r="614" spans="1:9" x14ac:dyDescent="0.15">
      <c r="A614" s="9">
        <v>613</v>
      </c>
      <c r="B614" s="9" t="s">
        <v>9</v>
      </c>
      <c r="C614" s="9">
        <v>1917</v>
      </c>
      <c r="D614" s="10">
        <v>45653</v>
      </c>
      <c r="E614" s="9" t="str">
        <f>+HYPERLINK("http://trademark.i-assist.jp/data/china/image_1917th/81100950.pdf","81100950")</f>
        <v>81100950</v>
      </c>
      <c r="F614" s="9" t="s">
        <v>1729</v>
      </c>
      <c r="G614" s="12" t="s">
        <v>1730</v>
      </c>
      <c r="H614" s="9" t="s">
        <v>1731</v>
      </c>
      <c r="I614" s="10">
        <v>45560</v>
      </c>
    </row>
    <row r="615" spans="1:9" x14ac:dyDescent="0.15">
      <c r="A615" s="9">
        <v>614</v>
      </c>
      <c r="B615" s="9" t="s">
        <v>9</v>
      </c>
      <c r="C615" s="9">
        <v>1917</v>
      </c>
      <c r="D615" s="10">
        <v>45653</v>
      </c>
      <c r="E615" s="9" t="str">
        <f>+HYPERLINK("http://trademark.i-assist.jp/data/china/image_1917th/81101135.pdf","81101135")</f>
        <v>81101135</v>
      </c>
      <c r="F615" s="9" t="s">
        <v>1732</v>
      </c>
      <c r="G615" s="9" t="s">
        <v>1733</v>
      </c>
      <c r="H615" s="9" t="s">
        <v>1734</v>
      </c>
      <c r="I615" s="10">
        <v>45560</v>
      </c>
    </row>
    <row r="616" spans="1:9" x14ac:dyDescent="0.15">
      <c r="A616" s="9">
        <v>615</v>
      </c>
      <c r="B616" s="9" t="s">
        <v>9</v>
      </c>
      <c r="C616" s="9">
        <v>1917</v>
      </c>
      <c r="D616" s="10">
        <v>45653</v>
      </c>
      <c r="E616" s="9" t="str">
        <f>+HYPERLINK("http://trademark.i-assist.jp/data/china/image_1917th/81101315.pdf","81101315")</f>
        <v>81101315</v>
      </c>
      <c r="F616" s="12" t="s">
        <v>1735</v>
      </c>
      <c r="G616" s="12" t="s">
        <v>1736</v>
      </c>
      <c r="H616" s="9" t="s">
        <v>1737</v>
      </c>
      <c r="I616" s="10">
        <v>45560</v>
      </c>
    </row>
    <row r="617" spans="1:9" x14ac:dyDescent="0.15">
      <c r="A617" s="9">
        <v>616</v>
      </c>
      <c r="B617" s="9" t="s">
        <v>9</v>
      </c>
      <c r="C617" s="9">
        <v>1917</v>
      </c>
      <c r="D617" s="10">
        <v>45653</v>
      </c>
      <c r="E617" s="9" t="str">
        <f>+HYPERLINK("http://trademark.i-assist.jp/data/china/image_1917th/81102926.pdf","81102926")</f>
        <v>81102926</v>
      </c>
      <c r="F617" s="12" t="s">
        <v>12</v>
      </c>
      <c r="G617" s="9" t="s">
        <v>1738</v>
      </c>
      <c r="H617" s="9" t="s">
        <v>1739</v>
      </c>
      <c r="I617" s="10">
        <v>45560</v>
      </c>
    </row>
    <row r="618" spans="1:9" x14ac:dyDescent="0.15">
      <c r="A618" s="9">
        <v>617</v>
      </c>
      <c r="B618" s="9" t="s">
        <v>9</v>
      </c>
      <c r="C618" s="9">
        <v>1917</v>
      </c>
      <c r="D618" s="10">
        <v>45653</v>
      </c>
      <c r="E618" s="9" t="str">
        <f>+HYPERLINK("http://trademark.i-assist.jp/data/china/image_1917th/81103965.pdf","81103965")</f>
        <v>81103965</v>
      </c>
      <c r="F618" s="9" t="s">
        <v>1740</v>
      </c>
      <c r="G618" s="12" t="s">
        <v>1300</v>
      </c>
      <c r="H618" s="9" t="s">
        <v>1741</v>
      </c>
      <c r="I618" s="10">
        <v>45560</v>
      </c>
    </row>
    <row r="619" spans="1:9" x14ac:dyDescent="0.15">
      <c r="A619" s="9">
        <v>618</v>
      </c>
      <c r="B619" s="9" t="s">
        <v>9</v>
      </c>
      <c r="C619" s="9">
        <v>1917</v>
      </c>
      <c r="D619" s="10">
        <v>45653</v>
      </c>
      <c r="E619" s="9" t="str">
        <f>+HYPERLINK("http://trademark.i-assist.jp/data/china/image_1917th/81104224.pdf","81104224")</f>
        <v>81104224</v>
      </c>
      <c r="F619" s="9" t="s">
        <v>1742</v>
      </c>
      <c r="G619" s="12" t="s">
        <v>1727</v>
      </c>
      <c r="H619" s="9" t="s">
        <v>1743</v>
      </c>
      <c r="I619" s="10">
        <v>45560</v>
      </c>
    </row>
    <row r="620" spans="1:9" x14ac:dyDescent="0.15">
      <c r="A620" s="9">
        <v>619</v>
      </c>
      <c r="B620" s="9" t="s">
        <v>9</v>
      </c>
      <c r="C620" s="9">
        <v>1917</v>
      </c>
      <c r="D620" s="10">
        <v>45653</v>
      </c>
      <c r="E620" s="9" t="str">
        <f>+HYPERLINK("http://trademark.i-assist.jp/data/china/image_1917th/81104310.pdf","81104310")</f>
        <v>81104310</v>
      </c>
      <c r="F620" s="9" t="s">
        <v>1744</v>
      </c>
      <c r="G620" s="9" t="s">
        <v>1745</v>
      </c>
      <c r="H620" s="9" t="s">
        <v>1746</v>
      </c>
      <c r="I620" s="10">
        <v>45560</v>
      </c>
    </row>
    <row r="621" spans="1:9" x14ac:dyDescent="0.15">
      <c r="A621" s="9">
        <v>620</v>
      </c>
      <c r="B621" s="9" t="s">
        <v>9</v>
      </c>
      <c r="C621" s="9">
        <v>1917</v>
      </c>
      <c r="D621" s="10">
        <v>45653</v>
      </c>
      <c r="E621" s="9" t="str">
        <f>+HYPERLINK("http://trademark.i-assist.jp/data/china/image_1917th/81104748.pdf","81104748")</f>
        <v>81104748</v>
      </c>
      <c r="F621" s="9" t="s">
        <v>1747</v>
      </c>
      <c r="G621" s="9" t="s">
        <v>1748</v>
      </c>
      <c r="H621" s="9" t="s">
        <v>1749</v>
      </c>
      <c r="I621" s="10">
        <v>45560</v>
      </c>
    </row>
    <row r="622" spans="1:9" x14ac:dyDescent="0.15">
      <c r="A622" s="9">
        <v>621</v>
      </c>
      <c r="B622" s="9" t="s">
        <v>9</v>
      </c>
      <c r="C622" s="9">
        <v>1917</v>
      </c>
      <c r="D622" s="10">
        <v>45653</v>
      </c>
      <c r="E622" s="9" t="str">
        <f>+HYPERLINK("http://trademark.i-assist.jp/data/china/image_1917th/81105006.pdf","81105006")</f>
        <v>81105006</v>
      </c>
      <c r="F622" s="12" t="s">
        <v>1682</v>
      </c>
      <c r="G622" s="12" t="s">
        <v>1683</v>
      </c>
      <c r="H622" s="12" t="s">
        <v>1750</v>
      </c>
      <c r="I622" s="10">
        <v>45560</v>
      </c>
    </row>
    <row r="623" spans="1:9" x14ac:dyDescent="0.15">
      <c r="A623" s="9">
        <v>622</v>
      </c>
      <c r="B623" s="9" t="s">
        <v>9</v>
      </c>
      <c r="C623" s="9">
        <v>1917</v>
      </c>
      <c r="D623" s="10">
        <v>45653</v>
      </c>
      <c r="E623" s="9" t="str">
        <f>+HYPERLINK("http://trademark.i-assist.jp/data/china/image_1917th/81105157.pdf","81105157")</f>
        <v>81105157</v>
      </c>
      <c r="F623" s="9" t="s">
        <v>1751</v>
      </c>
      <c r="G623" s="12" t="s">
        <v>1752</v>
      </c>
      <c r="H623" s="9" t="s">
        <v>1753</v>
      </c>
      <c r="I623" s="10">
        <v>45560</v>
      </c>
    </row>
    <row r="624" spans="1:9" x14ac:dyDescent="0.15">
      <c r="A624" s="9">
        <v>623</v>
      </c>
      <c r="B624" s="9" t="s">
        <v>9</v>
      </c>
      <c r="C624" s="9">
        <v>1917</v>
      </c>
      <c r="D624" s="10">
        <v>45653</v>
      </c>
      <c r="E624" s="9" t="str">
        <f>+HYPERLINK("http://trademark.i-assist.jp/data/china/image_1917th/81105200.pdf","81105200")</f>
        <v>81105200</v>
      </c>
      <c r="F624" s="9" t="s">
        <v>1754</v>
      </c>
      <c r="G624" s="12" t="s">
        <v>1755</v>
      </c>
      <c r="H624" s="9" t="s">
        <v>1756</v>
      </c>
      <c r="I624" s="10">
        <v>45560</v>
      </c>
    </row>
    <row r="625" spans="1:9" x14ac:dyDescent="0.15">
      <c r="A625" s="9">
        <v>624</v>
      </c>
      <c r="B625" s="9" t="s">
        <v>9</v>
      </c>
      <c r="C625" s="9">
        <v>1917</v>
      </c>
      <c r="D625" s="10">
        <v>45653</v>
      </c>
      <c r="E625" s="9" t="str">
        <f>+HYPERLINK("http://trademark.i-assist.jp/data/china/image_1917th/81105459.pdf","81105459")</f>
        <v>81105459</v>
      </c>
      <c r="F625" s="9" t="s">
        <v>1757</v>
      </c>
      <c r="G625" s="9" t="s">
        <v>1758</v>
      </c>
      <c r="H625" s="9" t="s">
        <v>1759</v>
      </c>
      <c r="I625" s="10">
        <v>45560</v>
      </c>
    </row>
    <row r="626" spans="1:9" x14ac:dyDescent="0.15">
      <c r="A626" s="9">
        <v>625</v>
      </c>
      <c r="B626" s="9" t="s">
        <v>9</v>
      </c>
      <c r="C626" s="9">
        <v>1917</v>
      </c>
      <c r="D626" s="10">
        <v>45653</v>
      </c>
      <c r="E626" s="9" t="str">
        <f>+HYPERLINK("http://trademark.i-assist.jp/data/china/image_1917th/81105744.pdf","81105744")</f>
        <v>81105744</v>
      </c>
      <c r="F626" s="9" t="s">
        <v>1760</v>
      </c>
      <c r="G626" s="9" t="s">
        <v>1761</v>
      </c>
      <c r="H626" s="9" t="s">
        <v>1762</v>
      </c>
      <c r="I626" s="10">
        <v>45560</v>
      </c>
    </row>
    <row r="627" spans="1:9" x14ac:dyDescent="0.15">
      <c r="A627" s="9">
        <v>626</v>
      </c>
      <c r="B627" s="9" t="s">
        <v>9</v>
      </c>
      <c r="C627" s="9">
        <v>1917</v>
      </c>
      <c r="D627" s="10">
        <v>45653</v>
      </c>
      <c r="E627" s="9" t="str">
        <f>+HYPERLINK("http://trademark.i-assist.jp/data/china/image_1917th/81105761.pdf","81105761")</f>
        <v>81105761</v>
      </c>
      <c r="F627" s="9" t="s">
        <v>1763</v>
      </c>
      <c r="G627" s="9" t="s">
        <v>1724</v>
      </c>
      <c r="H627" s="9" t="s">
        <v>1764</v>
      </c>
      <c r="I627" s="10">
        <v>45560</v>
      </c>
    </row>
    <row r="628" spans="1:9" x14ac:dyDescent="0.15">
      <c r="A628" s="9">
        <v>627</v>
      </c>
      <c r="B628" s="9" t="s">
        <v>9</v>
      </c>
      <c r="C628" s="9">
        <v>1917</v>
      </c>
      <c r="D628" s="10">
        <v>45653</v>
      </c>
      <c r="E628" s="9" t="str">
        <f>+HYPERLINK("http://trademark.i-assist.jp/data/china/image_1917th/81107320.pdf","81107320")</f>
        <v>81107320</v>
      </c>
      <c r="F628" s="9" t="s">
        <v>1765</v>
      </c>
      <c r="G628" s="9" t="s">
        <v>1766</v>
      </c>
      <c r="H628" s="12" t="s">
        <v>1767</v>
      </c>
      <c r="I628" s="10">
        <v>45560</v>
      </c>
    </row>
    <row r="629" spans="1:9" x14ac:dyDescent="0.15">
      <c r="A629" s="9">
        <v>628</v>
      </c>
      <c r="B629" s="9" t="s">
        <v>9</v>
      </c>
      <c r="C629" s="9">
        <v>1917</v>
      </c>
      <c r="D629" s="10">
        <v>45653</v>
      </c>
      <c r="E629" s="9" t="str">
        <f>+HYPERLINK("http://trademark.i-assist.jp/data/china/image_1917th/81107621.pdf","81107621")</f>
        <v>81107621</v>
      </c>
      <c r="F629" s="9" t="s">
        <v>1768</v>
      </c>
      <c r="G629" s="9" t="s">
        <v>1769</v>
      </c>
      <c r="H629" s="9" t="s">
        <v>1770</v>
      </c>
      <c r="I629" s="10">
        <v>45560</v>
      </c>
    </row>
    <row r="630" spans="1:9" x14ac:dyDescent="0.15">
      <c r="A630" s="9">
        <v>629</v>
      </c>
      <c r="B630" s="9" t="s">
        <v>9</v>
      </c>
      <c r="C630" s="9">
        <v>1917</v>
      </c>
      <c r="D630" s="10">
        <v>45653</v>
      </c>
      <c r="E630" s="9" t="str">
        <f>+HYPERLINK("http://trademark.i-assist.jp/data/china/image_1917th/81107715.pdf","81107715")</f>
        <v>81107715</v>
      </c>
      <c r="F630" s="9" t="s">
        <v>1771</v>
      </c>
      <c r="G630" s="9" t="s">
        <v>1772</v>
      </c>
      <c r="H630" s="9" t="s">
        <v>1773</v>
      </c>
      <c r="I630" s="10">
        <v>45560</v>
      </c>
    </row>
    <row r="631" spans="1:9" x14ac:dyDescent="0.15">
      <c r="A631" s="9">
        <v>630</v>
      </c>
      <c r="B631" s="9" t="s">
        <v>9</v>
      </c>
      <c r="C631" s="9">
        <v>1917</v>
      </c>
      <c r="D631" s="10">
        <v>45653</v>
      </c>
      <c r="E631" s="9" t="str">
        <f>+HYPERLINK("http://trademark.i-assist.jp/data/china/image_1917th/81109219.pdf","81109219")</f>
        <v>81109219</v>
      </c>
      <c r="F631" s="9" t="s">
        <v>1774</v>
      </c>
      <c r="G631" s="9" t="s">
        <v>1775</v>
      </c>
      <c r="H631" s="9" t="s">
        <v>1776</v>
      </c>
      <c r="I631" s="10">
        <v>45560</v>
      </c>
    </row>
    <row r="632" spans="1:9" x14ac:dyDescent="0.15">
      <c r="A632" s="9">
        <v>631</v>
      </c>
      <c r="B632" s="9" t="s">
        <v>9</v>
      </c>
      <c r="C632" s="9">
        <v>1917</v>
      </c>
      <c r="D632" s="10">
        <v>45653</v>
      </c>
      <c r="E632" s="9" t="str">
        <f>+HYPERLINK("http://trademark.i-assist.jp/data/china/image_1917th/81109259.pdf","81109259")</f>
        <v>81109259</v>
      </c>
      <c r="F632" s="9" t="s">
        <v>1777</v>
      </c>
      <c r="G632" s="9" t="s">
        <v>1778</v>
      </c>
      <c r="H632" s="9" t="s">
        <v>1779</v>
      </c>
      <c r="I632" s="10">
        <v>45560</v>
      </c>
    </row>
    <row r="633" spans="1:9" x14ac:dyDescent="0.15">
      <c r="A633" s="9">
        <v>632</v>
      </c>
      <c r="B633" s="9" t="s">
        <v>9</v>
      </c>
      <c r="C633" s="9">
        <v>1917</v>
      </c>
      <c r="D633" s="10">
        <v>45653</v>
      </c>
      <c r="E633" s="9" t="str">
        <f>+HYPERLINK("http://trademark.i-assist.jp/data/china/image_1917th/81110592.pdf","81110592")</f>
        <v>81110592</v>
      </c>
      <c r="F633" s="9" t="s">
        <v>1780</v>
      </c>
      <c r="G633" s="12" t="s">
        <v>38</v>
      </c>
      <c r="H633" s="9" t="s">
        <v>1781</v>
      </c>
      <c r="I633" s="10">
        <v>45560</v>
      </c>
    </row>
    <row r="634" spans="1:9" x14ac:dyDescent="0.15">
      <c r="A634" s="9">
        <v>633</v>
      </c>
      <c r="B634" s="9" t="s">
        <v>9</v>
      </c>
      <c r="C634" s="9">
        <v>1917</v>
      </c>
      <c r="D634" s="10">
        <v>45653</v>
      </c>
      <c r="E634" s="9" t="str">
        <f>+HYPERLINK("http://trademark.i-assist.jp/data/china/image_1917th/81110814.pdf","81110814")</f>
        <v>81110814</v>
      </c>
      <c r="F634" s="12" t="s">
        <v>1782</v>
      </c>
      <c r="G634" s="12" t="s">
        <v>1300</v>
      </c>
      <c r="H634" s="9" t="s">
        <v>1783</v>
      </c>
      <c r="I634" s="10">
        <v>45560</v>
      </c>
    </row>
    <row r="635" spans="1:9" x14ac:dyDescent="0.15">
      <c r="A635" s="9">
        <v>634</v>
      </c>
      <c r="B635" s="9" t="s">
        <v>9</v>
      </c>
      <c r="C635" s="9">
        <v>1917</v>
      </c>
      <c r="D635" s="10">
        <v>45653</v>
      </c>
      <c r="E635" s="9" t="str">
        <f>+HYPERLINK("http://trademark.i-assist.jp/data/china/image_1917th/81111190.pdf","81111190")</f>
        <v>81111190</v>
      </c>
      <c r="F635" s="12" t="s">
        <v>1784</v>
      </c>
      <c r="G635" s="9" t="s">
        <v>1785</v>
      </c>
      <c r="H635" s="9" t="s">
        <v>1786</v>
      </c>
      <c r="I635" s="10">
        <v>45560</v>
      </c>
    </row>
    <row r="636" spans="1:9" x14ac:dyDescent="0.15">
      <c r="A636" s="9">
        <v>635</v>
      </c>
      <c r="B636" s="9" t="s">
        <v>9</v>
      </c>
      <c r="C636" s="9">
        <v>1917</v>
      </c>
      <c r="D636" s="10">
        <v>45653</v>
      </c>
      <c r="E636" s="9" t="str">
        <f>+HYPERLINK("http://trademark.i-assist.jp/data/china/image_1917th/81112017.pdf","81112017")</f>
        <v>81112017</v>
      </c>
      <c r="F636" s="12" t="s">
        <v>1787</v>
      </c>
      <c r="G636" s="12" t="s">
        <v>1788</v>
      </c>
      <c r="H636" s="9" t="s">
        <v>1789</v>
      </c>
      <c r="I636" s="10">
        <v>45560</v>
      </c>
    </row>
    <row r="637" spans="1:9" x14ac:dyDescent="0.15">
      <c r="A637" s="9">
        <v>636</v>
      </c>
      <c r="B637" s="9" t="s">
        <v>9</v>
      </c>
      <c r="C637" s="9">
        <v>1917</v>
      </c>
      <c r="D637" s="10">
        <v>45653</v>
      </c>
      <c r="E637" s="9" t="str">
        <f>+HYPERLINK("http://trademark.i-assist.jp/data/china/image_1917th/81114151.pdf","81114151")</f>
        <v>81114151</v>
      </c>
      <c r="F637" s="9" t="s">
        <v>1790</v>
      </c>
      <c r="G637" s="9" t="s">
        <v>1791</v>
      </c>
      <c r="H637" s="9" t="s">
        <v>1792</v>
      </c>
      <c r="I637" s="10">
        <v>45560</v>
      </c>
    </row>
    <row r="638" spans="1:9" x14ac:dyDescent="0.15">
      <c r="A638" s="9">
        <v>637</v>
      </c>
      <c r="B638" s="9" t="s">
        <v>9</v>
      </c>
      <c r="C638" s="9">
        <v>1917</v>
      </c>
      <c r="D638" s="10">
        <v>45653</v>
      </c>
      <c r="E638" s="9" t="str">
        <f>+HYPERLINK("http://trademark.i-assist.jp/data/china/image_1917th/81115125.pdf","81115125")</f>
        <v>81115125</v>
      </c>
      <c r="F638" s="9" t="s">
        <v>1793</v>
      </c>
      <c r="G638" s="9" t="s">
        <v>1794</v>
      </c>
      <c r="H638" s="9" t="s">
        <v>1795</v>
      </c>
      <c r="I638" s="10">
        <v>45560</v>
      </c>
    </row>
    <row r="639" spans="1:9" x14ac:dyDescent="0.15">
      <c r="A639" s="9">
        <v>638</v>
      </c>
      <c r="B639" s="9" t="s">
        <v>9</v>
      </c>
      <c r="C639" s="9">
        <v>1917</v>
      </c>
      <c r="D639" s="10">
        <v>45653</v>
      </c>
      <c r="E639" s="9" t="str">
        <f>+HYPERLINK("http://trademark.i-assist.jp/data/china/image_1917th/81115968.pdf","81115968")</f>
        <v>81115968</v>
      </c>
      <c r="F639" s="9" t="s">
        <v>1796</v>
      </c>
      <c r="G639" s="9" t="s">
        <v>1797</v>
      </c>
      <c r="H639" s="9" t="s">
        <v>1798</v>
      </c>
      <c r="I639" s="10">
        <v>45560</v>
      </c>
    </row>
    <row r="640" spans="1:9" x14ac:dyDescent="0.15">
      <c r="A640" s="9">
        <v>639</v>
      </c>
      <c r="B640" s="9" t="s">
        <v>9</v>
      </c>
      <c r="C640" s="9">
        <v>1917</v>
      </c>
      <c r="D640" s="10">
        <v>45653</v>
      </c>
      <c r="E640" s="9" t="str">
        <f>+HYPERLINK("http://trademark.i-assist.jp/data/china/image_1917th/81116227.pdf","81116227")</f>
        <v>81116227</v>
      </c>
      <c r="F640" s="9" t="s">
        <v>1799</v>
      </c>
      <c r="G640" s="9" t="s">
        <v>1800</v>
      </c>
      <c r="H640" s="9" t="s">
        <v>1801</v>
      </c>
      <c r="I640" s="10">
        <v>45560</v>
      </c>
    </row>
    <row r="641" spans="1:9" x14ac:dyDescent="0.15">
      <c r="A641" s="9">
        <v>640</v>
      </c>
      <c r="B641" s="9" t="s">
        <v>9</v>
      </c>
      <c r="C641" s="9">
        <v>1917</v>
      </c>
      <c r="D641" s="10">
        <v>45653</v>
      </c>
      <c r="E641" s="9" t="str">
        <f>+HYPERLINK("http://trademark.i-assist.jp/data/china/image_1917th/81116307.pdf","81116307")</f>
        <v>81116307</v>
      </c>
      <c r="F641" s="9" t="s">
        <v>1802</v>
      </c>
      <c r="G641" s="9" t="s">
        <v>1803</v>
      </c>
      <c r="H641" s="9" t="s">
        <v>1804</v>
      </c>
      <c r="I641" s="10">
        <v>45560</v>
      </c>
    </row>
    <row r="642" spans="1:9" x14ac:dyDescent="0.15">
      <c r="A642" s="9">
        <v>641</v>
      </c>
      <c r="B642" s="9" t="s">
        <v>9</v>
      </c>
      <c r="C642" s="9">
        <v>1917</v>
      </c>
      <c r="D642" s="10">
        <v>45653</v>
      </c>
      <c r="E642" s="9" t="str">
        <f>+HYPERLINK("http://trademark.i-assist.jp/data/china/image_1917th/81117720.pdf","81117720")</f>
        <v>81117720</v>
      </c>
      <c r="F642" s="9" t="s">
        <v>1805</v>
      </c>
      <c r="G642" s="9" t="s">
        <v>1806</v>
      </c>
      <c r="H642" s="9" t="s">
        <v>1807</v>
      </c>
      <c r="I642" s="10">
        <v>45560</v>
      </c>
    </row>
    <row r="643" spans="1:9" x14ac:dyDescent="0.15">
      <c r="A643" s="9">
        <v>642</v>
      </c>
      <c r="B643" s="9" t="s">
        <v>9</v>
      </c>
      <c r="C643" s="9">
        <v>1917</v>
      </c>
      <c r="D643" s="10">
        <v>45653</v>
      </c>
      <c r="E643" s="9" t="str">
        <f>+HYPERLINK("http://trademark.i-assist.jp/data/china/image_1917th/81118180.pdf","81118180")</f>
        <v>81118180</v>
      </c>
      <c r="F643" s="9" t="s">
        <v>1808</v>
      </c>
      <c r="G643" s="9" t="s">
        <v>1809</v>
      </c>
      <c r="H643" s="9" t="s">
        <v>1810</v>
      </c>
      <c r="I643" s="10">
        <v>45560</v>
      </c>
    </row>
    <row r="644" spans="1:9" x14ac:dyDescent="0.15">
      <c r="A644" s="9">
        <v>643</v>
      </c>
      <c r="B644" s="9" t="s">
        <v>9</v>
      </c>
      <c r="C644" s="9">
        <v>1917</v>
      </c>
      <c r="D644" s="10">
        <v>45653</v>
      </c>
      <c r="E644" s="9" t="str">
        <f>+HYPERLINK("http://trademark.i-assist.jp/data/china/image_1917th/81118495.pdf","81118495")</f>
        <v>81118495</v>
      </c>
      <c r="F644" s="9" t="s">
        <v>1811</v>
      </c>
      <c r="G644" s="9" t="s">
        <v>1812</v>
      </c>
      <c r="H644" s="9" t="s">
        <v>1813</v>
      </c>
      <c r="I644" s="10">
        <v>45560</v>
      </c>
    </row>
    <row r="645" spans="1:9" x14ac:dyDescent="0.15">
      <c r="A645" s="9">
        <v>644</v>
      </c>
      <c r="B645" s="9" t="s">
        <v>9</v>
      </c>
      <c r="C645" s="9">
        <v>1917</v>
      </c>
      <c r="D645" s="10">
        <v>45653</v>
      </c>
      <c r="E645" s="9" t="str">
        <f>+HYPERLINK("http://trademark.i-assist.jp/data/china/image_1917th/81118641.pdf","81118641")</f>
        <v>81118641</v>
      </c>
      <c r="F645" s="12" t="s">
        <v>1814</v>
      </c>
      <c r="G645" s="9" t="s">
        <v>1815</v>
      </c>
      <c r="H645" s="12" t="s">
        <v>1816</v>
      </c>
      <c r="I645" s="10">
        <v>45560</v>
      </c>
    </row>
    <row r="646" spans="1:9" x14ac:dyDescent="0.15">
      <c r="A646" s="9">
        <v>645</v>
      </c>
      <c r="B646" s="9" t="s">
        <v>9</v>
      </c>
      <c r="C646" s="9">
        <v>1917</v>
      </c>
      <c r="D646" s="10">
        <v>45653</v>
      </c>
      <c r="E646" s="9" t="str">
        <f>+HYPERLINK("http://trademark.i-assist.jp/data/china/image_1917th/81119276.pdf","81119276")</f>
        <v>81119276</v>
      </c>
      <c r="F646" s="12" t="s">
        <v>12</v>
      </c>
      <c r="G646" s="9" t="s">
        <v>1817</v>
      </c>
      <c r="H646" s="9" t="s">
        <v>1818</v>
      </c>
      <c r="I646" s="10">
        <v>45561</v>
      </c>
    </row>
    <row r="647" spans="1:9" x14ac:dyDescent="0.15">
      <c r="A647" s="9">
        <v>646</v>
      </c>
      <c r="B647" s="9" t="s">
        <v>9</v>
      </c>
      <c r="C647" s="9">
        <v>1917</v>
      </c>
      <c r="D647" s="10">
        <v>45653</v>
      </c>
      <c r="E647" s="9" t="str">
        <f>+HYPERLINK("http://trademark.i-assist.jp/data/china/image_1917th/81119361.pdf","81119361")</f>
        <v>81119361</v>
      </c>
      <c r="F647" s="9" t="s">
        <v>1819</v>
      </c>
      <c r="G647" s="9" t="s">
        <v>1820</v>
      </c>
      <c r="H647" s="9" t="s">
        <v>1821</v>
      </c>
      <c r="I647" s="10">
        <v>45561</v>
      </c>
    </row>
    <row r="648" spans="1:9" x14ac:dyDescent="0.15">
      <c r="A648" s="9">
        <v>647</v>
      </c>
      <c r="B648" s="9" t="s">
        <v>9</v>
      </c>
      <c r="C648" s="9">
        <v>1917</v>
      </c>
      <c r="D648" s="10">
        <v>45653</v>
      </c>
      <c r="E648" s="9" t="str">
        <f>+HYPERLINK("http://trademark.i-assist.jp/data/china/image_1917th/81119428.pdf","81119428")</f>
        <v>81119428</v>
      </c>
      <c r="F648" s="12" t="s">
        <v>1822</v>
      </c>
      <c r="G648" s="9" t="s">
        <v>1823</v>
      </c>
      <c r="H648" s="12" t="s">
        <v>1824</v>
      </c>
      <c r="I648" s="10">
        <v>45561</v>
      </c>
    </row>
    <row r="649" spans="1:9" x14ac:dyDescent="0.15">
      <c r="A649" s="9">
        <v>648</v>
      </c>
      <c r="B649" s="9" t="s">
        <v>9</v>
      </c>
      <c r="C649" s="9">
        <v>1917</v>
      </c>
      <c r="D649" s="10">
        <v>45653</v>
      </c>
      <c r="E649" s="9" t="str">
        <f>+HYPERLINK("http://trademark.i-assist.jp/data/china/image_1917th/81119459.pdf","81119459")</f>
        <v>81119459</v>
      </c>
      <c r="F649" s="9" t="s">
        <v>1825</v>
      </c>
      <c r="G649" s="12" t="s">
        <v>1826</v>
      </c>
      <c r="H649" s="9" t="s">
        <v>1827</v>
      </c>
      <c r="I649" s="10">
        <v>45561</v>
      </c>
    </row>
    <row r="650" spans="1:9" x14ac:dyDescent="0.15">
      <c r="A650" s="9">
        <v>649</v>
      </c>
      <c r="B650" s="9" t="s">
        <v>9</v>
      </c>
      <c r="C650" s="9">
        <v>1917</v>
      </c>
      <c r="D650" s="10">
        <v>45653</v>
      </c>
      <c r="E650" s="9" t="str">
        <f>+HYPERLINK("http://trademark.i-assist.jp/data/china/image_1917th/81119491.pdf","81119491")</f>
        <v>81119491</v>
      </c>
      <c r="F650" s="9" t="s">
        <v>1828</v>
      </c>
      <c r="G650" s="12" t="s">
        <v>1829</v>
      </c>
      <c r="H650" s="9" t="s">
        <v>1830</v>
      </c>
      <c r="I650" s="10">
        <v>45561</v>
      </c>
    </row>
    <row r="651" spans="1:9" x14ac:dyDescent="0.15">
      <c r="A651" s="9">
        <v>650</v>
      </c>
      <c r="B651" s="9" t="s">
        <v>9</v>
      </c>
      <c r="C651" s="9">
        <v>1917</v>
      </c>
      <c r="D651" s="10">
        <v>45653</v>
      </c>
      <c r="E651" s="9" t="str">
        <f>+HYPERLINK("http://trademark.i-assist.jp/data/china/image_1917th/81119976.pdf","81119976")</f>
        <v>81119976</v>
      </c>
      <c r="F651" s="12" t="s">
        <v>1831</v>
      </c>
      <c r="G651" s="9" t="s">
        <v>1832</v>
      </c>
      <c r="H651" s="9" t="s">
        <v>1833</v>
      </c>
      <c r="I651" s="10">
        <v>45561</v>
      </c>
    </row>
    <row r="652" spans="1:9" x14ac:dyDescent="0.15">
      <c r="A652" s="9">
        <v>651</v>
      </c>
      <c r="B652" s="9" t="s">
        <v>9</v>
      </c>
      <c r="C652" s="9">
        <v>1917</v>
      </c>
      <c r="D652" s="10">
        <v>45653</v>
      </c>
      <c r="E652" s="9" t="str">
        <f>+HYPERLINK("http://trademark.i-assist.jp/data/china/image_1917th/81120740.pdf","81120740")</f>
        <v>81120740</v>
      </c>
      <c r="F652" s="9" t="s">
        <v>1834</v>
      </c>
      <c r="G652" s="9" t="s">
        <v>1835</v>
      </c>
      <c r="H652" s="9" t="s">
        <v>1836</v>
      </c>
      <c r="I652" s="10">
        <v>45561</v>
      </c>
    </row>
    <row r="653" spans="1:9" x14ac:dyDescent="0.15">
      <c r="A653" s="9">
        <v>652</v>
      </c>
      <c r="B653" s="9" t="s">
        <v>9</v>
      </c>
      <c r="C653" s="9">
        <v>1917</v>
      </c>
      <c r="D653" s="10">
        <v>45653</v>
      </c>
      <c r="E653" s="9" t="str">
        <f>+HYPERLINK("http://trademark.i-assist.jp/data/china/image_1917th/81120840.pdf","81120840")</f>
        <v>81120840</v>
      </c>
      <c r="F653" s="9" t="s">
        <v>1837</v>
      </c>
      <c r="G653" s="9" t="s">
        <v>1838</v>
      </c>
      <c r="H653" s="12" t="s">
        <v>1839</v>
      </c>
      <c r="I653" s="10">
        <v>45561</v>
      </c>
    </row>
    <row r="654" spans="1:9" x14ac:dyDescent="0.15">
      <c r="A654" s="9">
        <v>653</v>
      </c>
      <c r="B654" s="9" t="s">
        <v>9</v>
      </c>
      <c r="C654" s="9">
        <v>1917</v>
      </c>
      <c r="D654" s="10">
        <v>45653</v>
      </c>
      <c r="E654" s="9" t="str">
        <f>+HYPERLINK("http://trademark.i-assist.jp/data/china/image_1917th/81121020.pdf","81121020")</f>
        <v>81121020</v>
      </c>
      <c r="F654" s="12" t="s">
        <v>1840</v>
      </c>
      <c r="G654" s="9" t="s">
        <v>1841</v>
      </c>
      <c r="H654" s="12" t="s">
        <v>1842</v>
      </c>
      <c r="I654" s="10">
        <v>45561</v>
      </c>
    </row>
    <row r="655" spans="1:9" x14ac:dyDescent="0.15">
      <c r="A655" s="9">
        <v>654</v>
      </c>
      <c r="B655" s="9" t="s">
        <v>9</v>
      </c>
      <c r="C655" s="9">
        <v>1917</v>
      </c>
      <c r="D655" s="10">
        <v>45653</v>
      </c>
      <c r="E655" s="9" t="str">
        <f>+HYPERLINK("http://trademark.i-assist.jp/data/china/image_1917th/81121498.pdf","81121498")</f>
        <v>81121498</v>
      </c>
      <c r="F655" s="9" t="s">
        <v>1843</v>
      </c>
      <c r="G655" s="12" t="s">
        <v>46</v>
      </c>
      <c r="H655" s="9" t="s">
        <v>1844</v>
      </c>
      <c r="I655" s="10">
        <v>45561</v>
      </c>
    </row>
    <row r="656" spans="1:9" x14ac:dyDescent="0.15">
      <c r="A656" s="9">
        <v>655</v>
      </c>
      <c r="B656" s="9" t="s">
        <v>9</v>
      </c>
      <c r="C656" s="9">
        <v>1917</v>
      </c>
      <c r="D656" s="10">
        <v>45653</v>
      </c>
      <c r="E656" s="9" t="str">
        <f>+HYPERLINK("http://trademark.i-assist.jp/data/china/image_1917th/81122269.pdf","81122269")</f>
        <v>81122269</v>
      </c>
      <c r="F656" s="9" t="s">
        <v>1845</v>
      </c>
      <c r="G656" s="9" t="s">
        <v>1846</v>
      </c>
      <c r="H656" s="9" t="s">
        <v>1847</v>
      </c>
      <c r="I656" s="10">
        <v>45561</v>
      </c>
    </row>
    <row r="657" spans="1:9" x14ac:dyDescent="0.15">
      <c r="A657" s="9">
        <v>656</v>
      </c>
      <c r="B657" s="9" t="s">
        <v>9</v>
      </c>
      <c r="C657" s="9">
        <v>1917</v>
      </c>
      <c r="D657" s="10">
        <v>45653</v>
      </c>
      <c r="E657" s="9" t="str">
        <f>+HYPERLINK("http://trademark.i-assist.jp/data/china/image_1917th/81122333.pdf","81122333")</f>
        <v>81122333</v>
      </c>
      <c r="F657" s="12" t="s">
        <v>1848</v>
      </c>
      <c r="G657" s="9" t="s">
        <v>1849</v>
      </c>
      <c r="H657" s="9" t="s">
        <v>1850</v>
      </c>
      <c r="I657" s="10">
        <v>45561</v>
      </c>
    </row>
    <row r="658" spans="1:9" x14ac:dyDescent="0.15">
      <c r="A658" s="9">
        <v>657</v>
      </c>
      <c r="B658" s="9" t="s">
        <v>9</v>
      </c>
      <c r="C658" s="9">
        <v>1917</v>
      </c>
      <c r="D658" s="10">
        <v>45653</v>
      </c>
      <c r="E658" s="9" t="str">
        <f>+HYPERLINK("http://trademark.i-assist.jp/data/china/image_1917th/81122769.pdf","81122769")</f>
        <v>81122769</v>
      </c>
      <c r="F658" s="9" t="s">
        <v>1851</v>
      </c>
      <c r="G658" s="9" t="s">
        <v>1852</v>
      </c>
      <c r="H658" s="9" t="s">
        <v>1853</v>
      </c>
      <c r="I658" s="10">
        <v>45561</v>
      </c>
    </row>
    <row r="659" spans="1:9" x14ac:dyDescent="0.15">
      <c r="A659" s="9">
        <v>658</v>
      </c>
      <c r="B659" s="9" t="s">
        <v>9</v>
      </c>
      <c r="C659" s="9">
        <v>1917</v>
      </c>
      <c r="D659" s="10">
        <v>45653</v>
      </c>
      <c r="E659" s="9" t="str">
        <f>+HYPERLINK("http://trademark.i-assist.jp/data/china/image_1917th/81124036.pdf","81124036")</f>
        <v>81124036</v>
      </c>
      <c r="F659" s="12" t="s">
        <v>1854</v>
      </c>
      <c r="G659" s="12" t="s">
        <v>1855</v>
      </c>
      <c r="H659" s="9" t="s">
        <v>1856</v>
      </c>
      <c r="I659" s="10">
        <v>45561</v>
      </c>
    </row>
    <row r="660" spans="1:9" x14ac:dyDescent="0.15">
      <c r="A660" s="9">
        <v>659</v>
      </c>
      <c r="B660" s="9" t="s">
        <v>9</v>
      </c>
      <c r="C660" s="9">
        <v>1917</v>
      </c>
      <c r="D660" s="10">
        <v>45653</v>
      </c>
      <c r="E660" s="9" t="str">
        <f>+HYPERLINK("http://trademark.i-assist.jp/data/china/image_1917th/81124192.pdf","81124192")</f>
        <v>81124192</v>
      </c>
      <c r="F660" s="9" t="s">
        <v>1857</v>
      </c>
      <c r="G660" s="9" t="s">
        <v>1858</v>
      </c>
      <c r="H660" s="9" t="s">
        <v>1859</v>
      </c>
      <c r="I660" s="10">
        <v>45561</v>
      </c>
    </row>
    <row r="661" spans="1:9" x14ac:dyDescent="0.15">
      <c r="A661" s="9">
        <v>660</v>
      </c>
      <c r="B661" s="9" t="s">
        <v>9</v>
      </c>
      <c r="C661" s="9">
        <v>1917</v>
      </c>
      <c r="D661" s="10">
        <v>45653</v>
      </c>
      <c r="E661" s="9" t="str">
        <f>+HYPERLINK("http://trademark.i-assist.jp/data/china/image_1917th/81125194.pdf","81125194")</f>
        <v>81125194</v>
      </c>
      <c r="F661" s="9" t="s">
        <v>1860</v>
      </c>
      <c r="G661" s="12" t="s">
        <v>1861</v>
      </c>
      <c r="H661" s="9" t="s">
        <v>1862</v>
      </c>
      <c r="I661" s="10">
        <v>45561</v>
      </c>
    </row>
    <row r="662" spans="1:9" x14ac:dyDescent="0.15">
      <c r="A662" s="9">
        <v>661</v>
      </c>
      <c r="B662" s="9" t="s">
        <v>9</v>
      </c>
      <c r="C662" s="9">
        <v>1917</v>
      </c>
      <c r="D662" s="10">
        <v>45653</v>
      </c>
      <c r="E662" s="9" t="str">
        <f>+HYPERLINK("http://trademark.i-assist.jp/data/china/image_1917th/81125846.pdf","81125846")</f>
        <v>81125846</v>
      </c>
      <c r="F662" s="12" t="s">
        <v>12</v>
      </c>
      <c r="G662" s="9" t="s">
        <v>1863</v>
      </c>
      <c r="H662" s="9" t="s">
        <v>1864</v>
      </c>
      <c r="I662" s="10">
        <v>45561</v>
      </c>
    </row>
    <row r="663" spans="1:9" x14ac:dyDescent="0.15">
      <c r="A663" s="9">
        <v>662</v>
      </c>
      <c r="B663" s="9" t="s">
        <v>9</v>
      </c>
      <c r="C663" s="9">
        <v>1917</v>
      </c>
      <c r="D663" s="10">
        <v>45653</v>
      </c>
      <c r="E663" s="9" t="str">
        <f>+HYPERLINK("http://trademark.i-assist.jp/data/china/image_1917th/81125979.pdf","81125979")</f>
        <v>81125979</v>
      </c>
      <c r="F663" s="12" t="s">
        <v>1865</v>
      </c>
      <c r="G663" s="9" t="s">
        <v>1866</v>
      </c>
      <c r="H663" s="9" t="s">
        <v>1867</v>
      </c>
      <c r="I663" s="10">
        <v>45561</v>
      </c>
    </row>
    <row r="664" spans="1:9" x14ac:dyDescent="0.15">
      <c r="A664" s="9">
        <v>663</v>
      </c>
      <c r="B664" s="9" t="s">
        <v>9</v>
      </c>
      <c r="C664" s="9">
        <v>1917</v>
      </c>
      <c r="D664" s="10">
        <v>45653</v>
      </c>
      <c r="E664" s="9" t="str">
        <f>+HYPERLINK("http://trademark.i-assist.jp/data/china/image_1917th/81126062.pdf","81126062")</f>
        <v>81126062</v>
      </c>
      <c r="F664" s="12" t="s">
        <v>1868</v>
      </c>
      <c r="G664" s="9" t="s">
        <v>1869</v>
      </c>
      <c r="H664" s="9" t="s">
        <v>1870</v>
      </c>
      <c r="I664" s="10">
        <v>45561</v>
      </c>
    </row>
    <row r="665" spans="1:9" x14ac:dyDescent="0.15">
      <c r="A665" s="9">
        <v>664</v>
      </c>
      <c r="B665" s="9" t="s">
        <v>9</v>
      </c>
      <c r="C665" s="9">
        <v>1917</v>
      </c>
      <c r="D665" s="10">
        <v>45653</v>
      </c>
      <c r="E665" s="9" t="str">
        <f>+HYPERLINK("http://trademark.i-assist.jp/data/china/image_1917th/81126348.pdf","81126348")</f>
        <v>81126348</v>
      </c>
      <c r="F665" s="9" t="s">
        <v>1871</v>
      </c>
      <c r="G665" s="9" t="s">
        <v>1872</v>
      </c>
      <c r="H665" s="9" t="s">
        <v>1873</v>
      </c>
      <c r="I665" s="10">
        <v>45561</v>
      </c>
    </row>
    <row r="666" spans="1:9" x14ac:dyDescent="0.15">
      <c r="A666" s="9">
        <v>665</v>
      </c>
      <c r="B666" s="9" t="s">
        <v>9</v>
      </c>
      <c r="C666" s="9">
        <v>1917</v>
      </c>
      <c r="D666" s="10">
        <v>45653</v>
      </c>
      <c r="E666" s="9" t="str">
        <f>+HYPERLINK("http://trademark.i-assist.jp/data/china/image_1917th/81126921.pdf","81126921")</f>
        <v>81126921</v>
      </c>
      <c r="F666" s="12" t="s">
        <v>1874</v>
      </c>
      <c r="G666" s="9" t="s">
        <v>1846</v>
      </c>
      <c r="H666" s="9" t="s">
        <v>1875</v>
      </c>
      <c r="I666" s="10">
        <v>45561</v>
      </c>
    </row>
    <row r="667" spans="1:9" x14ac:dyDescent="0.15">
      <c r="A667" s="9">
        <v>666</v>
      </c>
      <c r="B667" s="9" t="s">
        <v>9</v>
      </c>
      <c r="C667" s="9">
        <v>1917</v>
      </c>
      <c r="D667" s="10">
        <v>45653</v>
      </c>
      <c r="E667" s="9" t="str">
        <f>+HYPERLINK("http://trademark.i-assist.jp/data/china/image_1917th/81126969.pdf","81126969")</f>
        <v>81126969</v>
      </c>
      <c r="F667" s="12" t="s">
        <v>12</v>
      </c>
      <c r="G667" s="9" t="s">
        <v>1876</v>
      </c>
      <c r="H667" s="9" t="s">
        <v>1877</v>
      </c>
      <c r="I667" s="10">
        <v>45561</v>
      </c>
    </row>
    <row r="668" spans="1:9" x14ac:dyDescent="0.15">
      <c r="A668" s="9">
        <v>667</v>
      </c>
      <c r="B668" s="9" t="s">
        <v>9</v>
      </c>
      <c r="C668" s="9">
        <v>1917</v>
      </c>
      <c r="D668" s="10">
        <v>45653</v>
      </c>
      <c r="E668" s="9" t="str">
        <f>+HYPERLINK("http://trademark.i-assist.jp/data/china/image_1917th/81127263.pdf","81127263")</f>
        <v>81127263</v>
      </c>
      <c r="F668" s="9" t="s">
        <v>1878</v>
      </c>
      <c r="G668" s="9" t="s">
        <v>1879</v>
      </c>
      <c r="H668" s="9" t="s">
        <v>1880</v>
      </c>
      <c r="I668" s="10">
        <v>45561</v>
      </c>
    </row>
    <row r="669" spans="1:9" x14ac:dyDescent="0.15">
      <c r="A669" s="9">
        <v>668</v>
      </c>
      <c r="B669" s="9" t="s">
        <v>9</v>
      </c>
      <c r="C669" s="9">
        <v>1917</v>
      </c>
      <c r="D669" s="10">
        <v>45653</v>
      </c>
      <c r="E669" s="9" t="str">
        <f>+HYPERLINK("http://trademark.i-assist.jp/data/china/image_1917th/81128421.pdf","81128421")</f>
        <v>81128421</v>
      </c>
      <c r="F669" s="9" t="s">
        <v>1881</v>
      </c>
      <c r="G669" s="9" t="s">
        <v>1846</v>
      </c>
      <c r="H669" s="9" t="s">
        <v>1882</v>
      </c>
      <c r="I669" s="10">
        <v>45561</v>
      </c>
    </row>
    <row r="670" spans="1:9" x14ac:dyDescent="0.15">
      <c r="A670" s="9">
        <v>669</v>
      </c>
      <c r="B670" s="9" t="s">
        <v>9</v>
      </c>
      <c r="C670" s="9">
        <v>1917</v>
      </c>
      <c r="D670" s="10">
        <v>45653</v>
      </c>
      <c r="E670" s="9" t="str">
        <f>+HYPERLINK("http://trademark.i-assist.jp/data/china/image_1917th/81128642.pdf","81128642")</f>
        <v>81128642</v>
      </c>
      <c r="F670" s="9" t="s">
        <v>1883</v>
      </c>
      <c r="G670" s="9" t="s">
        <v>1884</v>
      </c>
      <c r="H670" s="9" t="s">
        <v>1885</v>
      </c>
      <c r="I670" s="10">
        <v>45561</v>
      </c>
    </row>
    <row r="671" spans="1:9" x14ac:dyDescent="0.15">
      <c r="A671" s="9">
        <v>670</v>
      </c>
      <c r="B671" s="9" t="s">
        <v>9</v>
      </c>
      <c r="C671" s="9">
        <v>1917</v>
      </c>
      <c r="D671" s="10">
        <v>45653</v>
      </c>
      <c r="E671" s="9" t="str">
        <f>+HYPERLINK("http://trademark.i-assist.jp/data/china/image_1917th/81128754.pdf","81128754")</f>
        <v>81128754</v>
      </c>
      <c r="F671" s="9" t="s">
        <v>1886</v>
      </c>
      <c r="G671" s="9" t="s">
        <v>1887</v>
      </c>
      <c r="H671" s="9" t="s">
        <v>1888</v>
      </c>
      <c r="I671" s="10">
        <v>45561</v>
      </c>
    </row>
    <row r="672" spans="1:9" x14ac:dyDescent="0.15">
      <c r="A672" s="9">
        <v>671</v>
      </c>
      <c r="B672" s="9" t="s">
        <v>9</v>
      </c>
      <c r="C672" s="9">
        <v>1917</v>
      </c>
      <c r="D672" s="10">
        <v>45653</v>
      </c>
      <c r="E672" s="9" t="str">
        <f>+HYPERLINK("http://trademark.i-assist.jp/data/china/image_1917th/81129573.pdf","81129573")</f>
        <v>81129573</v>
      </c>
      <c r="F672" s="9" t="s">
        <v>1889</v>
      </c>
      <c r="G672" s="12" t="s">
        <v>1890</v>
      </c>
      <c r="H672" s="9" t="s">
        <v>1891</v>
      </c>
      <c r="I672" s="10">
        <v>45561</v>
      </c>
    </row>
    <row r="673" spans="1:9" x14ac:dyDescent="0.15">
      <c r="A673" s="9">
        <v>672</v>
      </c>
      <c r="B673" s="9" t="s">
        <v>9</v>
      </c>
      <c r="C673" s="9">
        <v>1917</v>
      </c>
      <c r="D673" s="10">
        <v>45653</v>
      </c>
      <c r="E673" s="9" t="str">
        <f>+HYPERLINK("http://trademark.i-assist.jp/data/china/image_1917th/81132350.pdf","81132350")</f>
        <v>81132350</v>
      </c>
      <c r="F673" s="12" t="s">
        <v>1831</v>
      </c>
      <c r="G673" s="9" t="s">
        <v>1832</v>
      </c>
      <c r="H673" s="9" t="s">
        <v>1892</v>
      </c>
      <c r="I673" s="10">
        <v>45561</v>
      </c>
    </row>
    <row r="674" spans="1:9" x14ac:dyDescent="0.15">
      <c r="A674" s="9">
        <v>673</v>
      </c>
      <c r="B674" s="9" t="s">
        <v>9</v>
      </c>
      <c r="C674" s="9">
        <v>1917</v>
      </c>
      <c r="D674" s="10">
        <v>45653</v>
      </c>
      <c r="E674" s="9" t="str">
        <f>+HYPERLINK("http://trademark.i-assist.jp/data/china/image_1917th/81132436.pdf","81132436")</f>
        <v>81132436</v>
      </c>
      <c r="F674" s="9" t="s">
        <v>1893</v>
      </c>
      <c r="G674" s="9" t="s">
        <v>1894</v>
      </c>
      <c r="H674" s="9" t="s">
        <v>1895</v>
      </c>
      <c r="I674" s="10">
        <v>45561</v>
      </c>
    </row>
    <row r="675" spans="1:9" x14ac:dyDescent="0.15">
      <c r="A675" s="9">
        <v>674</v>
      </c>
      <c r="B675" s="9" t="s">
        <v>9</v>
      </c>
      <c r="C675" s="9">
        <v>1917</v>
      </c>
      <c r="D675" s="10">
        <v>45653</v>
      </c>
      <c r="E675" s="9" t="str">
        <f>+HYPERLINK("http://trademark.i-assist.jp/data/china/image_1917th/81133370.pdf","81133370")</f>
        <v>81133370</v>
      </c>
      <c r="F675" s="9" t="s">
        <v>1896</v>
      </c>
      <c r="G675" s="9" t="s">
        <v>1897</v>
      </c>
      <c r="H675" s="9" t="s">
        <v>1898</v>
      </c>
      <c r="I675" s="10">
        <v>45561</v>
      </c>
    </row>
    <row r="676" spans="1:9" x14ac:dyDescent="0.15">
      <c r="A676" s="9">
        <v>675</v>
      </c>
      <c r="B676" s="9" t="s">
        <v>9</v>
      </c>
      <c r="C676" s="9">
        <v>1917</v>
      </c>
      <c r="D676" s="10">
        <v>45653</v>
      </c>
      <c r="E676" s="9" t="str">
        <f>+HYPERLINK("http://trademark.i-assist.jp/data/china/image_1917th/81134033.pdf","81134033")</f>
        <v>81134033</v>
      </c>
      <c r="F676" s="9" t="s">
        <v>1899</v>
      </c>
      <c r="G676" s="9" t="s">
        <v>1900</v>
      </c>
      <c r="H676" s="9" t="s">
        <v>1901</v>
      </c>
      <c r="I676" s="10">
        <v>45561</v>
      </c>
    </row>
    <row r="677" spans="1:9" x14ac:dyDescent="0.15">
      <c r="A677" s="9">
        <v>676</v>
      </c>
      <c r="B677" s="9" t="s">
        <v>9</v>
      </c>
      <c r="C677" s="9">
        <v>1917</v>
      </c>
      <c r="D677" s="10">
        <v>45653</v>
      </c>
      <c r="E677" s="9" t="str">
        <f>+HYPERLINK("http://trademark.i-assist.jp/data/china/image_1917th/81134210.pdf","81134210")</f>
        <v>81134210</v>
      </c>
      <c r="F677" s="12" t="s">
        <v>1902</v>
      </c>
      <c r="G677" s="9" t="s">
        <v>1903</v>
      </c>
      <c r="H677" s="9" t="s">
        <v>1904</v>
      </c>
      <c r="I677" s="10">
        <v>45561</v>
      </c>
    </row>
    <row r="678" spans="1:9" x14ac:dyDescent="0.15">
      <c r="A678" s="9">
        <v>677</v>
      </c>
      <c r="B678" s="9" t="s">
        <v>9</v>
      </c>
      <c r="C678" s="9">
        <v>1917</v>
      </c>
      <c r="D678" s="10">
        <v>45653</v>
      </c>
      <c r="E678" s="9" t="str">
        <f>+HYPERLINK("http://trademark.i-assist.jp/data/china/image_1917th/81134254.pdf","81134254")</f>
        <v>81134254</v>
      </c>
      <c r="F678" s="9" t="s">
        <v>1905</v>
      </c>
      <c r="G678" s="9" t="s">
        <v>1906</v>
      </c>
      <c r="H678" s="9" t="s">
        <v>1907</v>
      </c>
      <c r="I678" s="10">
        <v>45561</v>
      </c>
    </row>
    <row r="679" spans="1:9" x14ac:dyDescent="0.15">
      <c r="A679" s="9">
        <v>678</v>
      </c>
      <c r="B679" s="9" t="s">
        <v>9</v>
      </c>
      <c r="C679" s="9">
        <v>1917</v>
      </c>
      <c r="D679" s="10">
        <v>45653</v>
      </c>
      <c r="E679" s="9" t="str">
        <f>+HYPERLINK("http://trademark.i-assist.jp/data/china/image_1917th/81134263.pdf","81134263")</f>
        <v>81134263</v>
      </c>
      <c r="F679" s="9" t="s">
        <v>1908</v>
      </c>
      <c r="G679" s="9" t="s">
        <v>1909</v>
      </c>
      <c r="H679" s="9" t="s">
        <v>1910</v>
      </c>
      <c r="I679" s="10">
        <v>45561</v>
      </c>
    </row>
    <row r="680" spans="1:9" x14ac:dyDescent="0.15">
      <c r="A680" s="9">
        <v>679</v>
      </c>
      <c r="B680" s="9" t="s">
        <v>9</v>
      </c>
      <c r="C680" s="9">
        <v>1917</v>
      </c>
      <c r="D680" s="10">
        <v>45653</v>
      </c>
      <c r="E680" s="9" t="str">
        <f>+HYPERLINK("http://trademark.i-assist.jp/data/china/image_1917th/81135148.pdf","81135148")</f>
        <v>81135148</v>
      </c>
      <c r="F680" s="9" t="s">
        <v>1911</v>
      </c>
      <c r="G680" s="12" t="s">
        <v>1912</v>
      </c>
      <c r="H680" s="9" t="s">
        <v>1913</v>
      </c>
      <c r="I680" s="10">
        <v>45561</v>
      </c>
    </row>
    <row r="681" spans="1:9" x14ac:dyDescent="0.15">
      <c r="A681" s="9">
        <v>680</v>
      </c>
      <c r="B681" s="9" t="s">
        <v>9</v>
      </c>
      <c r="C681" s="9">
        <v>1917</v>
      </c>
      <c r="D681" s="10">
        <v>45653</v>
      </c>
      <c r="E681" s="9" t="str">
        <f>+HYPERLINK("http://trademark.i-assist.jp/data/china/image_1917th/81135454.pdf","81135454")</f>
        <v>81135454</v>
      </c>
      <c r="F681" s="9" t="s">
        <v>1914</v>
      </c>
      <c r="G681" s="12" t="s">
        <v>48</v>
      </c>
      <c r="H681" s="9" t="s">
        <v>1915</v>
      </c>
      <c r="I681" s="10">
        <v>45561</v>
      </c>
    </row>
    <row r="682" spans="1:9" x14ac:dyDescent="0.15">
      <c r="A682" s="9">
        <v>681</v>
      </c>
      <c r="B682" s="9" t="s">
        <v>9</v>
      </c>
      <c r="C682" s="9">
        <v>1917</v>
      </c>
      <c r="D682" s="10">
        <v>45653</v>
      </c>
      <c r="E682" s="9" t="str">
        <f>+HYPERLINK("http://trademark.i-assist.jp/data/china/image_1917th/81135747.pdf","81135747")</f>
        <v>81135747</v>
      </c>
      <c r="F682" s="9" t="s">
        <v>1916</v>
      </c>
      <c r="G682" s="9" t="s">
        <v>1917</v>
      </c>
      <c r="H682" s="9" t="s">
        <v>1918</v>
      </c>
      <c r="I682" s="10">
        <v>45561</v>
      </c>
    </row>
    <row r="683" spans="1:9" x14ac:dyDescent="0.15">
      <c r="A683" s="9">
        <v>682</v>
      </c>
      <c r="B683" s="9" t="s">
        <v>9</v>
      </c>
      <c r="C683" s="9">
        <v>1917</v>
      </c>
      <c r="D683" s="10">
        <v>45653</v>
      </c>
      <c r="E683" s="9" t="str">
        <f>+HYPERLINK("http://trademark.i-assist.jp/data/china/image_1917th/81135777.pdf","81135777")</f>
        <v>81135777</v>
      </c>
      <c r="F683" s="12" t="s">
        <v>1919</v>
      </c>
      <c r="G683" s="9" t="s">
        <v>1846</v>
      </c>
      <c r="H683" s="9" t="s">
        <v>1920</v>
      </c>
      <c r="I683" s="10">
        <v>45561</v>
      </c>
    </row>
    <row r="684" spans="1:9" x14ac:dyDescent="0.15">
      <c r="A684" s="9">
        <v>683</v>
      </c>
      <c r="B684" s="9" t="s">
        <v>9</v>
      </c>
      <c r="C684" s="9">
        <v>1917</v>
      </c>
      <c r="D684" s="10">
        <v>45653</v>
      </c>
      <c r="E684" s="9" t="str">
        <f>+HYPERLINK("http://trademark.i-assist.jp/data/china/image_1917th/81135861.pdf","81135861")</f>
        <v>81135861</v>
      </c>
      <c r="F684" s="9" t="s">
        <v>1921</v>
      </c>
      <c r="G684" s="9" t="s">
        <v>1922</v>
      </c>
      <c r="H684" s="9" t="s">
        <v>1923</v>
      </c>
      <c r="I684" s="10">
        <v>45561</v>
      </c>
    </row>
    <row r="685" spans="1:9" x14ac:dyDescent="0.15">
      <c r="A685" s="9">
        <v>684</v>
      </c>
      <c r="B685" s="9" t="s">
        <v>9</v>
      </c>
      <c r="C685" s="9">
        <v>1917</v>
      </c>
      <c r="D685" s="10">
        <v>45653</v>
      </c>
      <c r="E685" s="9" t="str">
        <f>+HYPERLINK("http://trademark.i-assist.jp/data/china/image_1917th/81137102.pdf","81137102")</f>
        <v>81137102</v>
      </c>
      <c r="F685" s="9" t="s">
        <v>1924</v>
      </c>
      <c r="G685" s="12" t="s">
        <v>46</v>
      </c>
      <c r="H685" s="9" t="s">
        <v>1925</v>
      </c>
      <c r="I685" s="10">
        <v>45561</v>
      </c>
    </row>
    <row r="686" spans="1:9" x14ac:dyDescent="0.15">
      <c r="A686" s="9">
        <v>685</v>
      </c>
      <c r="B686" s="9" t="s">
        <v>9</v>
      </c>
      <c r="C686" s="9">
        <v>1917</v>
      </c>
      <c r="D686" s="10">
        <v>45653</v>
      </c>
      <c r="E686" s="9" t="str">
        <f>+HYPERLINK("http://trademark.i-assist.jp/data/china/image_1917th/81137910.pdf","81137910")</f>
        <v>81137910</v>
      </c>
      <c r="F686" s="9" t="s">
        <v>1926</v>
      </c>
      <c r="G686" s="9" t="s">
        <v>1927</v>
      </c>
      <c r="H686" s="9" t="s">
        <v>1928</v>
      </c>
      <c r="I686" s="10">
        <v>45561</v>
      </c>
    </row>
    <row r="687" spans="1:9" x14ac:dyDescent="0.15">
      <c r="A687" s="9">
        <v>686</v>
      </c>
      <c r="B687" s="9" t="s">
        <v>9</v>
      </c>
      <c r="C687" s="9">
        <v>1917</v>
      </c>
      <c r="D687" s="10">
        <v>45653</v>
      </c>
      <c r="E687" s="9" t="str">
        <f>+HYPERLINK("http://trademark.i-assist.jp/data/china/image_1917th/81138025.pdf","81138025")</f>
        <v>81138025</v>
      </c>
      <c r="F687" s="9" t="s">
        <v>1929</v>
      </c>
      <c r="G687" s="9" t="s">
        <v>1930</v>
      </c>
      <c r="H687" s="9" t="s">
        <v>1931</v>
      </c>
      <c r="I687" s="10">
        <v>45561</v>
      </c>
    </row>
    <row r="688" spans="1:9" x14ac:dyDescent="0.15">
      <c r="A688" s="9">
        <v>687</v>
      </c>
      <c r="B688" s="9" t="s">
        <v>9</v>
      </c>
      <c r="C688" s="9">
        <v>1917</v>
      </c>
      <c r="D688" s="10">
        <v>45653</v>
      </c>
      <c r="E688" s="9" t="str">
        <f>+HYPERLINK("http://trademark.i-assist.jp/data/china/image_1917th/81138398.pdf","81138398")</f>
        <v>81138398</v>
      </c>
      <c r="F688" s="12" t="s">
        <v>1932</v>
      </c>
      <c r="G688" s="12" t="s">
        <v>1933</v>
      </c>
      <c r="H688" s="9" t="s">
        <v>1934</v>
      </c>
      <c r="I688" s="10">
        <v>45561</v>
      </c>
    </row>
    <row r="689" spans="1:9" x14ac:dyDescent="0.15">
      <c r="A689" s="9">
        <v>688</v>
      </c>
      <c r="B689" s="9" t="s">
        <v>9</v>
      </c>
      <c r="C689" s="9">
        <v>1917</v>
      </c>
      <c r="D689" s="10">
        <v>45653</v>
      </c>
      <c r="E689" s="9" t="str">
        <f>+HYPERLINK("http://trademark.i-assist.jp/data/china/image_1917th/81138785.pdf","81138785")</f>
        <v>81138785</v>
      </c>
      <c r="F689" s="9" t="s">
        <v>1935</v>
      </c>
      <c r="G689" s="9" t="s">
        <v>1936</v>
      </c>
      <c r="H689" s="9" t="s">
        <v>1937</v>
      </c>
      <c r="I689" s="10">
        <v>45561</v>
      </c>
    </row>
    <row r="690" spans="1:9" x14ac:dyDescent="0.15">
      <c r="A690" s="9">
        <v>689</v>
      </c>
      <c r="B690" s="9" t="s">
        <v>9</v>
      </c>
      <c r="C690" s="9">
        <v>1917</v>
      </c>
      <c r="D690" s="10">
        <v>45653</v>
      </c>
      <c r="E690" s="9" t="str">
        <f>+HYPERLINK("http://trademark.i-assist.jp/data/china/image_1917th/81138960.pdf","81138960")</f>
        <v>81138960</v>
      </c>
      <c r="F690" s="9" t="s">
        <v>1938</v>
      </c>
      <c r="G690" s="9" t="s">
        <v>1939</v>
      </c>
      <c r="H690" s="9" t="s">
        <v>1940</v>
      </c>
      <c r="I690" s="10">
        <v>45561</v>
      </c>
    </row>
    <row r="691" spans="1:9" x14ac:dyDescent="0.15">
      <c r="A691" s="9">
        <v>690</v>
      </c>
      <c r="B691" s="9" t="s">
        <v>9</v>
      </c>
      <c r="C691" s="9">
        <v>1917</v>
      </c>
      <c r="D691" s="10">
        <v>45653</v>
      </c>
      <c r="E691" s="9" t="str">
        <f>+HYPERLINK("http://trademark.i-assist.jp/data/china/image_1917th/81140088.pdf","81140088")</f>
        <v>81140088</v>
      </c>
      <c r="F691" s="12" t="s">
        <v>1941</v>
      </c>
      <c r="G691" s="9" t="s">
        <v>1942</v>
      </c>
      <c r="H691" s="9" t="s">
        <v>1943</v>
      </c>
      <c r="I691" s="10">
        <v>45561</v>
      </c>
    </row>
    <row r="692" spans="1:9" x14ac:dyDescent="0.15">
      <c r="A692" s="9">
        <v>691</v>
      </c>
      <c r="B692" s="9" t="s">
        <v>9</v>
      </c>
      <c r="C692" s="9">
        <v>1917</v>
      </c>
      <c r="D692" s="10">
        <v>45653</v>
      </c>
      <c r="E692" s="9" t="str">
        <f>+HYPERLINK("http://trademark.i-assist.jp/data/china/image_1917th/81140362.pdf","81140362")</f>
        <v>81140362</v>
      </c>
      <c r="F692" s="12" t="s">
        <v>12</v>
      </c>
      <c r="G692" s="9" t="s">
        <v>1944</v>
      </c>
      <c r="H692" s="9" t="s">
        <v>1945</v>
      </c>
      <c r="I692" s="10">
        <v>45561</v>
      </c>
    </row>
    <row r="693" spans="1:9" x14ac:dyDescent="0.15">
      <c r="A693" s="9">
        <v>692</v>
      </c>
      <c r="B693" s="9" t="s">
        <v>9</v>
      </c>
      <c r="C693" s="9">
        <v>1917</v>
      </c>
      <c r="D693" s="10">
        <v>45653</v>
      </c>
      <c r="E693" s="9" t="str">
        <f>+HYPERLINK("http://trademark.i-assist.jp/data/china/image_1917th/81140807.pdf","81140807")</f>
        <v>81140807</v>
      </c>
      <c r="F693" s="9" t="s">
        <v>1946</v>
      </c>
      <c r="G693" s="9" t="s">
        <v>1906</v>
      </c>
      <c r="H693" s="9" t="s">
        <v>1947</v>
      </c>
      <c r="I693" s="10">
        <v>45561</v>
      </c>
    </row>
    <row r="694" spans="1:9" x14ac:dyDescent="0.15">
      <c r="A694" s="9">
        <v>693</v>
      </c>
      <c r="B694" s="9" t="s">
        <v>9</v>
      </c>
      <c r="C694" s="9">
        <v>1917</v>
      </c>
      <c r="D694" s="10">
        <v>45653</v>
      </c>
      <c r="E694" s="9" t="str">
        <f>+HYPERLINK("http://trademark.i-assist.jp/data/china/image_1917th/81142453.pdf","81142453")</f>
        <v>81142453</v>
      </c>
      <c r="F694" s="12" t="s">
        <v>1948</v>
      </c>
      <c r="G694" s="9" t="s">
        <v>1949</v>
      </c>
      <c r="H694" s="9" t="s">
        <v>1950</v>
      </c>
      <c r="I694" s="10">
        <v>45561</v>
      </c>
    </row>
    <row r="695" spans="1:9" x14ac:dyDescent="0.15">
      <c r="A695" s="9">
        <v>694</v>
      </c>
      <c r="B695" s="9" t="s">
        <v>9</v>
      </c>
      <c r="C695" s="9">
        <v>1917</v>
      </c>
      <c r="D695" s="10">
        <v>45653</v>
      </c>
      <c r="E695" s="9" t="str">
        <f>+HYPERLINK("http://trademark.i-assist.jp/data/china/image_1917th/81142559.pdf","81142559")</f>
        <v>81142559</v>
      </c>
      <c r="F695" s="9" t="s">
        <v>1951</v>
      </c>
      <c r="G695" s="12" t="s">
        <v>1952</v>
      </c>
      <c r="H695" s="9" t="s">
        <v>1953</v>
      </c>
      <c r="I695" s="10">
        <v>45561</v>
      </c>
    </row>
    <row r="696" spans="1:9" x14ac:dyDescent="0.15">
      <c r="A696" s="9">
        <v>695</v>
      </c>
      <c r="B696" s="9" t="s">
        <v>9</v>
      </c>
      <c r="C696" s="9">
        <v>1917</v>
      </c>
      <c r="D696" s="10">
        <v>45653</v>
      </c>
      <c r="E696" s="9" t="str">
        <f>+HYPERLINK("http://trademark.i-assist.jp/data/china/image_1917th/81142850.pdf","81142850")</f>
        <v>81142850</v>
      </c>
      <c r="F696" s="9" t="s">
        <v>1954</v>
      </c>
      <c r="G696" s="9" t="s">
        <v>1858</v>
      </c>
      <c r="H696" s="9" t="s">
        <v>1955</v>
      </c>
      <c r="I696" s="10">
        <v>45561</v>
      </c>
    </row>
    <row r="697" spans="1:9" x14ac:dyDescent="0.15">
      <c r="A697" s="9">
        <v>696</v>
      </c>
      <c r="B697" s="9" t="s">
        <v>9</v>
      </c>
      <c r="C697" s="9">
        <v>1917</v>
      </c>
      <c r="D697" s="10">
        <v>45653</v>
      </c>
      <c r="E697" s="9" t="str">
        <f>+HYPERLINK("http://trademark.i-assist.jp/data/china/image_1917th/81143423.pdf","81143423")</f>
        <v>81143423</v>
      </c>
      <c r="F697" s="9" t="s">
        <v>1956</v>
      </c>
      <c r="G697" s="9" t="s">
        <v>1957</v>
      </c>
      <c r="H697" s="9" t="s">
        <v>1958</v>
      </c>
      <c r="I697" s="10">
        <v>45562</v>
      </c>
    </row>
    <row r="698" spans="1:9" x14ac:dyDescent="0.15">
      <c r="A698" s="9">
        <v>697</v>
      </c>
      <c r="B698" s="9" t="s">
        <v>9</v>
      </c>
      <c r="C698" s="9">
        <v>1917</v>
      </c>
      <c r="D698" s="10">
        <v>45653</v>
      </c>
      <c r="E698" s="9" t="str">
        <f>+HYPERLINK("http://trademark.i-assist.jp/data/china/image_1917th/81143427.pdf","81143427")</f>
        <v>81143427</v>
      </c>
      <c r="F698" s="9" t="s">
        <v>1959</v>
      </c>
      <c r="G698" s="9" t="s">
        <v>1960</v>
      </c>
      <c r="H698" s="9" t="s">
        <v>1961</v>
      </c>
      <c r="I698" s="10">
        <v>45562</v>
      </c>
    </row>
    <row r="699" spans="1:9" x14ac:dyDescent="0.15">
      <c r="A699" s="9">
        <v>698</v>
      </c>
      <c r="B699" s="9" t="s">
        <v>9</v>
      </c>
      <c r="C699" s="9">
        <v>1917</v>
      </c>
      <c r="D699" s="10">
        <v>45653</v>
      </c>
      <c r="E699" s="9" t="str">
        <f>+HYPERLINK("http://trademark.i-assist.jp/data/china/image_1917th/81144613.pdf","81144613")</f>
        <v>81144613</v>
      </c>
      <c r="F699" s="9" t="s">
        <v>1962</v>
      </c>
      <c r="G699" s="9" t="s">
        <v>1963</v>
      </c>
      <c r="H699" s="9" t="s">
        <v>1964</v>
      </c>
      <c r="I699" s="10">
        <v>45562</v>
      </c>
    </row>
    <row r="700" spans="1:9" x14ac:dyDescent="0.15">
      <c r="A700" s="9">
        <v>699</v>
      </c>
      <c r="B700" s="9" t="s">
        <v>9</v>
      </c>
      <c r="C700" s="9">
        <v>1917</v>
      </c>
      <c r="D700" s="10">
        <v>45653</v>
      </c>
      <c r="E700" s="9" t="str">
        <f>+HYPERLINK("http://trademark.i-assist.jp/data/china/image_1917th/81145126.pdf","81145126")</f>
        <v>81145126</v>
      </c>
      <c r="F700" s="12" t="s">
        <v>12</v>
      </c>
      <c r="G700" s="9" t="s">
        <v>1965</v>
      </c>
      <c r="H700" s="9" t="s">
        <v>1966</v>
      </c>
      <c r="I700" s="10">
        <v>45562</v>
      </c>
    </row>
    <row r="701" spans="1:9" x14ac:dyDescent="0.15">
      <c r="A701" s="9">
        <v>700</v>
      </c>
      <c r="B701" s="9" t="s">
        <v>9</v>
      </c>
      <c r="C701" s="9">
        <v>1917</v>
      </c>
      <c r="D701" s="10">
        <v>45653</v>
      </c>
      <c r="E701" s="9" t="str">
        <f>+HYPERLINK("http://trademark.i-assist.jp/data/china/image_1917th/81145252.pdf","81145252")</f>
        <v>81145252</v>
      </c>
      <c r="F701" s="9" t="s">
        <v>1967</v>
      </c>
      <c r="G701" s="12" t="s">
        <v>1968</v>
      </c>
      <c r="H701" s="9" t="s">
        <v>1969</v>
      </c>
      <c r="I701" s="10">
        <v>45562</v>
      </c>
    </row>
    <row r="702" spans="1:9" x14ac:dyDescent="0.15">
      <c r="A702" s="9">
        <v>701</v>
      </c>
      <c r="B702" s="9" t="s">
        <v>9</v>
      </c>
      <c r="C702" s="9">
        <v>1917</v>
      </c>
      <c r="D702" s="10">
        <v>45653</v>
      </c>
      <c r="E702" s="9" t="str">
        <f>+HYPERLINK("http://trademark.i-assist.jp/data/china/image_1917th/81145755.pdf","81145755")</f>
        <v>81145755</v>
      </c>
      <c r="F702" s="9" t="s">
        <v>1970</v>
      </c>
      <c r="G702" s="9" t="s">
        <v>1971</v>
      </c>
      <c r="H702" s="9" t="s">
        <v>1972</v>
      </c>
      <c r="I702" s="10">
        <v>45562</v>
      </c>
    </row>
    <row r="703" spans="1:9" x14ac:dyDescent="0.15">
      <c r="A703" s="9">
        <v>702</v>
      </c>
      <c r="B703" s="9" t="s">
        <v>9</v>
      </c>
      <c r="C703" s="9">
        <v>1917</v>
      </c>
      <c r="D703" s="10">
        <v>45653</v>
      </c>
      <c r="E703" s="9" t="str">
        <f>+HYPERLINK("http://trademark.i-assist.jp/data/china/image_1917th/81146199.pdf","81146199")</f>
        <v>81146199</v>
      </c>
      <c r="F703" s="12" t="s">
        <v>1973</v>
      </c>
      <c r="G703" s="9" t="s">
        <v>1974</v>
      </c>
      <c r="H703" s="9" t="s">
        <v>1975</v>
      </c>
      <c r="I703" s="10">
        <v>45562</v>
      </c>
    </row>
    <row r="704" spans="1:9" x14ac:dyDescent="0.15">
      <c r="A704" s="9">
        <v>703</v>
      </c>
      <c r="B704" s="9" t="s">
        <v>9</v>
      </c>
      <c r="C704" s="9">
        <v>1917</v>
      </c>
      <c r="D704" s="10">
        <v>45653</v>
      </c>
      <c r="E704" s="9" t="str">
        <f>+HYPERLINK("http://trademark.i-assist.jp/data/china/image_1917th/81146300.pdf","81146300")</f>
        <v>81146300</v>
      </c>
      <c r="F704" s="12" t="s">
        <v>1976</v>
      </c>
      <c r="G704" s="9" t="s">
        <v>1977</v>
      </c>
      <c r="H704" s="9" t="s">
        <v>1978</v>
      </c>
      <c r="I704" s="10">
        <v>45562</v>
      </c>
    </row>
    <row r="705" spans="1:9" x14ac:dyDescent="0.15">
      <c r="A705" s="9">
        <v>704</v>
      </c>
      <c r="B705" s="9" t="s">
        <v>9</v>
      </c>
      <c r="C705" s="9">
        <v>1917</v>
      </c>
      <c r="D705" s="10">
        <v>45653</v>
      </c>
      <c r="E705" s="9" t="str">
        <f>+HYPERLINK("http://trademark.i-assist.jp/data/china/image_1917th/81146398.pdf","81146398")</f>
        <v>81146398</v>
      </c>
      <c r="F705" s="9" t="s">
        <v>1979</v>
      </c>
      <c r="G705" s="12" t="s">
        <v>1980</v>
      </c>
      <c r="H705" s="9" t="s">
        <v>1981</v>
      </c>
      <c r="I705" s="10">
        <v>45562</v>
      </c>
    </row>
    <row r="706" spans="1:9" x14ac:dyDescent="0.15">
      <c r="A706" s="9">
        <v>705</v>
      </c>
      <c r="B706" s="9" t="s">
        <v>9</v>
      </c>
      <c r="C706" s="9">
        <v>1917</v>
      </c>
      <c r="D706" s="10">
        <v>45653</v>
      </c>
      <c r="E706" s="9" t="str">
        <f>+HYPERLINK("http://trademark.i-assist.jp/data/china/image_1917th/81146666.pdf","81146666")</f>
        <v>81146666</v>
      </c>
      <c r="F706" s="9" t="s">
        <v>1982</v>
      </c>
      <c r="G706" s="9" t="s">
        <v>1983</v>
      </c>
      <c r="H706" s="9" t="s">
        <v>1984</v>
      </c>
      <c r="I706" s="10">
        <v>45562</v>
      </c>
    </row>
    <row r="707" spans="1:9" x14ac:dyDescent="0.15">
      <c r="A707" s="9">
        <v>706</v>
      </c>
      <c r="B707" s="9" t="s">
        <v>9</v>
      </c>
      <c r="C707" s="9">
        <v>1917</v>
      </c>
      <c r="D707" s="10">
        <v>45653</v>
      </c>
      <c r="E707" s="9" t="str">
        <f>+HYPERLINK("http://trademark.i-assist.jp/data/china/image_1917th/81146798.pdf","81146798")</f>
        <v>81146798</v>
      </c>
      <c r="F707" s="12" t="s">
        <v>1985</v>
      </c>
      <c r="G707" s="12" t="s">
        <v>1986</v>
      </c>
      <c r="H707" s="9" t="s">
        <v>1987</v>
      </c>
      <c r="I707" s="10">
        <v>45562</v>
      </c>
    </row>
    <row r="708" spans="1:9" x14ac:dyDescent="0.15">
      <c r="A708" s="9">
        <v>707</v>
      </c>
      <c r="B708" s="9" t="s">
        <v>9</v>
      </c>
      <c r="C708" s="9">
        <v>1917</v>
      </c>
      <c r="D708" s="10">
        <v>45653</v>
      </c>
      <c r="E708" s="9" t="str">
        <f>+HYPERLINK("http://trademark.i-assist.jp/data/china/image_1917th/81147342.pdf","81147342")</f>
        <v>81147342</v>
      </c>
      <c r="F708" s="9" t="s">
        <v>1988</v>
      </c>
      <c r="G708" s="12" t="s">
        <v>1989</v>
      </c>
      <c r="H708" s="9" t="s">
        <v>1990</v>
      </c>
      <c r="I708" s="10">
        <v>45562</v>
      </c>
    </row>
    <row r="709" spans="1:9" x14ac:dyDescent="0.15">
      <c r="A709" s="9">
        <v>708</v>
      </c>
      <c r="B709" s="9" t="s">
        <v>9</v>
      </c>
      <c r="C709" s="9">
        <v>1917</v>
      </c>
      <c r="D709" s="10">
        <v>45653</v>
      </c>
      <c r="E709" s="9" t="str">
        <f>+HYPERLINK("http://trademark.i-assist.jp/data/china/image_1917th/81148245.pdf","81148245")</f>
        <v>81148245</v>
      </c>
      <c r="F709" s="9" t="s">
        <v>1991</v>
      </c>
      <c r="G709" s="9" t="s">
        <v>1992</v>
      </c>
      <c r="H709" s="9" t="s">
        <v>1993</v>
      </c>
      <c r="I709" s="10">
        <v>45562</v>
      </c>
    </row>
    <row r="710" spans="1:9" x14ac:dyDescent="0.15">
      <c r="A710" s="9">
        <v>709</v>
      </c>
      <c r="B710" s="9" t="s">
        <v>9</v>
      </c>
      <c r="C710" s="9">
        <v>1917</v>
      </c>
      <c r="D710" s="10">
        <v>45653</v>
      </c>
      <c r="E710" s="9" t="str">
        <f>+HYPERLINK("http://trademark.i-assist.jp/data/china/image_1917th/81148424.pdf","81148424")</f>
        <v>81148424</v>
      </c>
      <c r="F710" s="9" t="s">
        <v>1994</v>
      </c>
      <c r="G710" s="9" t="s">
        <v>1995</v>
      </c>
      <c r="H710" s="9" t="s">
        <v>1996</v>
      </c>
      <c r="I710" s="10">
        <v>45562</v>
      </c>
    </row>
    <row r="711" spans="1:9" x14ac:dyDescent="0.15">
      <c r="A711" s="9">
        <v>710</v>
      </c>
      <c r="B711" s="9" t="s">
        <v>9</v>
      </c>
      <c r="C711" s="9">
        <v>1917</v>
      </c>
      <c r="D711" s="10">
        <v>45653</v>
      </c>
      <c r="E711" s="9" t="str">
        <f>+HYPERLINK("http://trademark.i-assist.jp/data/china/image_1917th/81148568.pdf","81148568")</f>
        <v>81148568</v>
      </c>
      <c r="F711" s="9" t="s">
        <v>1997</v>
      </c>
      <c r="G711" s="9" t="s">
        <v>1998</v>
      </c>
      <c r="H711" s="12" t="s">
        <v>1999</v>
      </c>
      <c r="I711" s="10">
        <v>45562</v>
      </c>
    </row>
    <row r="712" spans="1:9" x14ac:dyDescent="0.15">
      <c r="A712" s="9">
        <v>711</v>
      </c>
      <c r="B712" s="9" t="s">
        <v>9</v>
      </c>
      <c r="C712" s="9">
        <v>1917</v>
      </c>
      <c r="D712" s="10">
        <v>45653</v>
      </c>
      <c r="E712" s="9" t="str">
        <f>+HYPERLINK("http://trademark.i-assist.jp/data/china/image_1917th/81148989.pdf","81148989")</f>
        <v>81148989</v>
      </c>
      <c r="F712" s="9" t="s">
        <v>2000</v>
      </c>
      <c r="G712" s="9" t="s">
        <v>2001</v>
      </c>
      <c r="H712" s="12" t="s">
        <v>2002</v>
      </c>
      <c r="I712" s="10">
        <v>45562</v>
      </c>
    </row>
    <row r="713" spans="1:9" x14ac:dyDescent="0.15">
      <c r="A713" s="9">
        <v>712</v>
      </c>
      <c r="B713" s="9" t="s">
        <v>9</v>
      </c>
      <c r="C713" s="9">
        <v>1917</v>
      </c>
      <c r="D713" s="10">
        <v>45653</v>
      </c>
      <c r="E713" s="9" t="str">
        <f>+HYPERLINK("http://trademark.i-assist.jp/data/china/image_1917th/81149001.pdf","81149001")</f>
        <v>81149001</v>
      </c>
      <c r="F713" s="9" t="s">
        <v>2003</v>
      </c>
      <c r="G713" s="12" t="s">
        <v>2004</v>
      </c>
      <c r="H713" s="9" t="s">
        <v>2005</v>
      </c>
      <c r="I713" s="10">
        <v>45562</v>
      </c>
    </row>
    <row r="714" spans="1:9" x14ac:dyDescent="0.15">
      <c r="A714" s="9">
        <v>713</v>
      </c>
      <c r="B714" s="9" t="s">
        <v>9</v>
      </c>
      <c r="C714" s="9">
        <v>1917</v>
      </c>
      <c r="D714" s="10">
        <v>45653</v>
      </c>
      <c r="E714" s="9" t="str">
        <f>+HYPERLINK("http://trademark.i-assist.jp/data/china/image_1917th/81149893.pdf","81149893")</f>
        <v>81149893</v>
      </c>
      <c r="F714" s="9" t="s">
        <v>2006</v>
      </c>
      <c r="G714" s="9" t="s">
        <v>2007</v>
      </c>
      <c r="H714" s="9" t="s">
        <v>2008</v>
      </c>
      <c r="I714" s="10">
        <v>45562</v>
      </c>
    </row>
    <row r="715" spans="1:9" x14ac:dyDescent="0.15">
      <c r="A715" s="9">
        <v>714</v>
      </c>
      <c r="B715" s="9" t="s">
        <v>9</v>
      </c>
      <c r="C715" s="9">
        <v>1917</v>
      </c>
      <c r="D715" s="10">
        <v>45653</v>
      </c>
      <c r="E715" s="9" t="str">
        <f>+HYPERLINK("http://trademark.i-assist.jp/data/china/image_1917th/81150005.pdf","81150005")</f>
        <v>81150005</v>
      </c>
      <c r="F715" s="9" t="s">
        <v>2009</v>
      </c>
      <c r="G715" s="9" t="s">
        <v>2010</v>
      </c>
      <c r="H715" s="9" t="s">
        <v>2011</v>
      </c>
      <c r="I715" s="10">
        <v>45562</v>
      </c>
    </row>
    <row r="716" spans="1:9" x14ac:dyDescent="0.15">
      <c r="A716" s="9">
        <v>715</v>
      </c>
      <c r="B716" s="9" t="s">
        <v>9</v>
      </c>
      <c r="C716" s="9">
        <v>1917</v>
      </c>
      <c r="D716" s="10">
        <v>45653</v>
      </c>
      <c r="E716" s="9" t="str">
        <f>+HYPERLINK("http://trademark.i-assist.jp/data/china/image_1917th/81150784.pdf","81150784")</f>
        <v>81150784</v>
      </c>
      <c r="F716" s="9" t="s">
        <v>2012</v>
      </c>
      <c r="G716" s="9" t="s">
        <v>2013</v>
      </c>
      <c r="H716" s="9" t="s">
        <v>2014</v>
      </c>
      <c r="I716" s="10">
        <v>45562</v>
      </c>
    </row>
    <row r="717" spans="1:9" x14ac:dyDescent="0.15">
      <c r="A717" s="9">
        <v>716</v>
      </c>
      <c r="B717" s="9" t="s">
        <v>9</v>
      </c>
      <c r="C717" s="9">
        <v>1917</v>
      </c>
      <c r="D717" s="10">
        <v>45653</v>
      </c>
      <c r="E717" s="9" t="str">
        <f>+HYPERLINK("http://trademark.i-assist.jp/data/china/image_1917th/81150833.pdf","81150833")</f>
        <v>81150833</v>
      </c>
      <c r="F717" s="9" t="s">
        <v>2015</v>
      </c>
      <c r="G717" s="9" t="s">
        <v>2016</v>
      </c>
      <c r="H717" s="9" t="s">
        <v>2017</v>
      </c>
      <c r="I717" s="10">
        <v>45562</v>
      </c>
    </row>
    <row r="718" spans="1:9" x14ac:dyDescent="0.15">
      <c r="A718" s="9">
        <v>717</v>
      </c>
      <c r="B718" s="9" t="s">
        <v>9</v>
      </c>
      <c r="C718" s="9">
        <v>1917</v>
      </c>
      <c r="D718" s="10">
        <v>45653</v>
      </c>
      <c r="E718" s="9" t="str">
        <f>+HYPERLINK("http://trademark.i-assist.jp/data/china/image_1917th/81150996.pdf","81150996")</f>
        <v>81150996</v>
      </c>
      <c r="F718" s="9" t="s">
        <v>2018</v>
      </c>
      <c r="G718" s="12" t="s">
        <v>2004</v>
      </c>
      <c r="H718" s="9" t="s">
        <v>2019</v>
      </c>
      <c r="I718" s="10">
        <v>45562</v>
      </c>
    </row>
    <row r="719" spans="1:9" x14ac:dyDescent="0.15">
      <c r="A719" s="9">
        <v>718</v>
      </c>
      <c r="B719" s="9" t="s">
        <v>9</v>
      </c>
      <c r="C719" s="9">
        <v>1917</v>
      </c>
      <c r="D719" s="10">
        <v>45653</v>
      </c>
      <c r="E719" s="9" t="str">
        <f>+HYPERLINK("http://trademark.i-assist.jp/data/china/image_1917th/81151577.pdf","81151577")</f>
        <v>81151577</v>
      </c>
      <c r="F719" s="9" t="s">
        <v>2020</v>
      </c>
      <c r="G719" s="12" t="s">
        <v>2021</v>
      </c>
      <c r="H719" s="9" t="s">
        <v>2022</v>
      </c>
      <c r="I719" s="10">
        <v>45562</v>
      </c>
    </row>
    <row r="720" spans="1:9" x14ac:dyDescent="0.15">
      <c r="A720" s="9">
        <v>719</v>
      </c>
      <c r="B720" s="9" t="s">
        <v>9</v>
      </c>
      <c r="C720" s="9">
        <v>1917</v>
      </c>
      <c r="D720" s="10">
        <v>45653</v>
      </c>
      <c r="E720" s="9" t="str">
        <f>+HYPERLINK("http://trademark.i-assist.jp/data/china/image_1917th/81151702.pdf","81151702")</f>
        <v>81151702</v>
      </c>
      <c r="F720" s="9" t="s">
        <v>2023</v>
      </c>
      <c r="G720" s="12" t="s">
        <v>2024</v>
      </c>
      <c r="H720" s="9" t="s">
        <v>2025</v>
      </c>
      <c r="I720" s="10">
        <v>45562</v>
      </c>
    </row>
    <row r="721" spans="1:9" x14ac:dyDescent="0.15">
      <c r="A721" s="9">
        <v>720</v>
      </c>
      <c r="B721" s="9" t="s">
        <v>9</v>
      </c>
      <c r="C721" s="9">
        <v>1917</v>
      </c>
      <c r="D721" s="10">
        <v>45653</v>
      </c>
      <c r="E721" s="9" t="str">
        <f>+HYPERLINK("http://trademark.i-assist.jp/data/china/image_1917th/81151730.pdf","81151730")</f>
        <v>81151730</v>
      </c>
      <c r="F721" s="9" t="s">
        <v>2026</v>
      </c>
      <c r="G721" s="12" t="s">
        <v>2027</v>
      </c>
      <c r="H721" s="9" t="s">
        <v>2028</v>
      </c>
      <c r="I721" s="10">
        <v>45562</v>
      </c>
    </row>
    <row r="722" spans="1:9" x14ac:dyDescent="0.15">
      <c r="A722" s="9">
        <v>721</v>
      </c>
      <c r="B722" s="9" t="s">
        <v>9</v>
      </c>
      <c r="C722" s="9">
        <v>1917</v>
      </c>
      <c r="D722" s="10">
        <v>45653</v>
      </c>
      <c r="E722" s="9" t="str">
        <f>+HYPERLINK("http://trademark.i-assist.jp/data/china/image_1917th/81151740.pdf","81151740")</f>
        <v>81151740</v>
      </c>
      <c r="F722" s="9" t="s">
        <v>2029</v>
      </c>
      <c r="G722" s="9" t="s">
        <v>2030</v>
      </c>
      <c r="H722" s="12" t="s">
        <v>2031</v>
      </c>
      <c r="I722" s="10">
        <v>45562</v>
      </c>
    </row>
    <row r="723" spans="1:9" x14ac:dyDescent="0.15">
      <c r="A723" s="9">
        <v>722</v>
      </c>
      <c r="B723" s="9" t="s">
        <v>9</v>
      </c>
      <c r="C723" s="9">
        <v>1917</v>
      </c>
      <c r="D723" s="10">
        <v>45653</v>
      </c>
      <c r="E723" s="9" t="str">
        <f>+HYPERLINK("http://trademark.i-assist.jp/data/china/image_1917th/81152707.pdf","81152707")</f>
        <v>81152707</v>
      </c>
      <c r="F723" s="9" t="s">
        <v>2032</v>
      </c>
      <c r="G723" s="9" t="s">
        <v>2033</v>
      </c>
      <c r="H723" s="12" t="s">
        <v>2034</v>
      </c>
      <c r="I723" s="10">
        <v>45562</v>
      </c>
    </row>
    <row r="724" spans="1:9" x14ac:dyDescent="0.15">
      <c r="A724" s="9">
        <v>723</v>
      </c>
      <c r="B724" s="9" t="s">
        <v>9</v>
      </c>
      <c r="C724" s="9">
        <v>1917</v>
      </c>
      <c r="D724" s="10">
        <v>45653</v>
      </c>
      <c r="E724" s="9" t="str">
        <f>+HYPERLINK("http://trademark.i-assist.jp/data/china/image_1917th/81153139.pdf","81153139")</f>
        <v>81153139</v>
      </c>
      <c r="F724" s="9" t="s">
        <v>2035</v>
      </c>
      <c r="G724" s="12" t="s">
        <v>2036</v>
      </c>
      <c r="H724" s="9" t="s">
        <v>2037</v>
      </c>
      <c r="I724" s="10">
        <v>45562</v>
      </c>
    </row>
    <row r="725" spans="1:9" x14ac:dyDescent="0.15">
      <c r="A725" s="9">
        <v>724</v>
      </c>
      <c r="B725" s="9" t="s">
        <v>9</v>
      </c>
      <c r="C725" s="9">
        <v>1917</v>
      </c>
      <c r="D725" s="10">
        <v>45653</v>
      </c>
      <c r="E725" s="9" t="str">
        <f>+HYPERLINK("http://trademark.i-assist.jp/data/china/image_1917th/81153797.pdf","81153797")</f>
        <v>81153797</v>
      </c>
      <c r="F725" s="9" t="s">
        <v>2038</v>
      </c>
      <c r="G725" s="9" t="s">
        <v>2039</v>
      </c>
      <c r="H725" s="9" t="s">
        <v>2040</v>
      </c>
      <c r="I725" s="10">
        <v>45562</v>
      </c>
    </row>
    <row r="726" spans="1:9" x14ac:dyDescent="0.15">
      <c r="A726" s="9">
        <v>725</v>
      </c>
      <c r="B726" s="9" t="s">
        <v>9</v>
      </c>
      <c r="C726" s="9">
        <v>1917</v>
      </c>
      <c r="D726" s="10">
        <v>45653</v>
      </c>
      <c r="E726" s="9" t="str">
        <f>+HYPERLINK("http://trademark.i-assist.jp/data/china/image_1917th/81154226.pdf","81154226")</f>
        <v>81154226</v>
      </c>
      <c r="F726" s="9" t="s">
        <v>2041</v>
      </c>
      <c r="G726" s="9" t="s">
        <v>2042</v>
      </c>
      <c r="H726" s="9" t="s">
        <v>2043</v>
      </c>
      <c r="I726" s="10">
        <v>45562</v>
      </c>
    </row>
    <row r="727" spans="1:9" x14ac:dyDescent="0.15">
      <c r="A727" s="9">
        <v>726</v>
      </c>
      <c r="B727" s="9" t="s">
        <v>9</v>
      </c>
      <c r="C727" s="9">
        <v>1917</v>
      </c>
      <c r="D727" s="10">
        <v>45653</v>
      </c>
      <c r="E727" s="9" t="str">
        <f>+HYPERLINK("http://trademark.i-assist.jp/data/china/image_1917th/81154524.pdf","81154524")</f>
        <v>81154524</v>
      </c>
      <c r="F727" s="9" t="s">
        <v>2044</v>
      </c>
      <c r="G727" s="9" t="s">
        <v>2045</v>
      </c>
      <c r="H727" s="9" t="s">
        <v>2046</v>
      </c>
      <c r="I727" s="10">
        <v>45562</v>
      </c>
    </row>
    <row r="728" spans="1:9" x14ac:dyDescent="0.15">
      <c r="A728" s="9">
        <v>727</v>
      </c>
      <c r="B728" s="9" t="s">
        <v>9</v>
      </c>
      <c r="C728" s="9">
        <v>1917</v>
      </c>
      <c r="D728" s="10">
        <v>45653</v>
      </c>
      <c r="E728" s="9" t="str">
        <f>+HYPERLINK("http://trademark.i-assist.jp/data/china/image_1917th/81154669.pdf","81154669")</f>
        <v>81154669</v>
      </c>
      <c r="F728" s="12" t="s">
        <v>2047</v>
      </c>
      <c r="G728" s="12" t="s">
        <v>1986</v>
      </c>
      <c r="H728" s="9" t="s">
        <v>2048</v>
      </c>
      <c r="I728" s="10">
        <v>45562</v>
      </c>
    </row>
    <row r="729" spans="1:9" x14ac:dyDescent="0.15">
      <c r="A729" s="9">
        <v>728</v>
      </c>
      <c r="B729" s="9" t="s">
        <v>9</v>
      </c>
      <c r="C729" s="9">
        <v>1917</v>
      </c>
      <c r="D729" s="10">
        <v>45653</v>
      </c>
      <c r="E729" s="9" t="str">
        <f>+HYPERLINK("http://trademark.i-assist.jp/data/china/image_1917th/81156887.pdf","81156887")</f>
        <v>81156887</v>
      </c>
      <c r="F729" s="9" t="s">
        <v>2049</v>
      </c>
      <c r="G729" s="9" t="s">
        <v>2050</v>
      </c>
      <c r="H729" s="9" t="s">
        <v>2051</v>
      </c>
      <c r="I729" s="10">
        <v>45562</v>
      </c>
    </row>
    <row r="730" spans="1:9" x14ac:dyDescent="0.15">
      <c r="A730" s="9">
        <v>729</v>
      </c>
      <c r="B730" s="9" t="s">
        <v>9</v>
      </c>
      <c r="C730" s="9">
        <v>1917</v>
      </c>
      <c r="D730" s="10">
        <v>45653</v>
      </c>
      <c r="E730" s="9" t="str">
        <f>+HYPERLINK("http://trademark.i-assist.jp/data/china/image_1917th/81157086.pdf","81157086")</f>
        <v>81157086</v>
      </c>
      <c r="F730" s="9" t="s">
        <v>2052</v>
      </c>
      <c r="G730" s="9" t="s">
        <v>2053</v>
      </c>
      <c r="H730" s="9" t="s">
        <v>2054</v>
      </c>
      <c r="I730" s="10">
        <v>45562</v>
      </c>
    </row>
    <row r="731" spans="1:9" x14ac:dyDescent="0.15">
      <c r="A731" s="9">
        <v>730</v>
      </c>
      <c r="B731" s="9" t="s">
        <v>9</v>
      </c>
      <c r="C731" s="9">
        <v>1917</v>
      </c>
      <c r="D731" s="10">
        <v>45653</v>
      </c>
      <c r="E731" s="9" t="str">
        <f>+HYPERLINK("http://trademark.i-assist.jp/data/china/image_1917th/81157568.pdf","81157568")</f>
        <v>81157568</v>
      </c>
      <c r="F731" s="9" t="s">
        <v>2055</v>
      </c>
      <c r="G731" s="9" t="s">
        <v>60</v>
      </c>
      <c r="H731" s="9" t="s">
        <v>2056</v>
      </c>
      <c r="I731" s="10">
        <v>45562</v>
      </c>
    </row>
    <row r="732" spans="1:9" x14ac:dyDescent="0.15">
      <c r="A732" s="9">
        <v>731</v>
      </c>
      <c r="B732" s="9" t="s">
        <v>9</v>
      </c>
      <c r="C732" s="9">
        <v>1917</v>
      </c>
      <c r="D732" s="10">
        <v>45653</v>
      </c>
      <c r="E732" s="9" t="str">
        <f>+HYPERLINK("http://trademark.i-assist.jp/data/china/image_1917th/81157634.pdf","81157634")</f>
        <v>81157634</v>
      </c>
      <c r="F732" s="9" t="s">
        <v>2057</v>
      </c>
      <c r="G732" s="9" t="s">
        <v>1995</v>
      </c>
      <c r="H732" s="9" t="s">
        <v>2058</v>
      </c>
      <c r="I732" s="10">
        <v>45562</v>
      </c>
    </row>
    <row r="733" spans="1:9" x14ac:dyDescent="0.15">
      <c r="A733" s="9">
        <v>732</v>
      </c>
      <c r="B733" s="9" t="s">
        <v>9</v>
      </c>
      <c r="C733" s="9">
        <v>1917</v>
      </c>
      <c r="D733" s="10">
        <v>45653</v>
      </c>
      <c r="E733" s="9" t="str">
        <f>+HYPERLINK("http://trademark.i-assist.jp/data/china/image_1917th/81157762.pdf","81157762")</f>
        <v>81157762</v>
      </c>
      <c r="F733" s="9" t="s">
        <v>2059</v>
      </c>
      <c r="G733" s="9" t="s">
        <v>1971</v>
      </c>
      <c r="H733" s="12" t="s">
        <v>2060</v>
      </c>
      <c r="I733" s="10">
        <v>45562</v>
      </c>
    </row>
    <row r="734" spans="1:9" x14ac:dyDescent="0.15">
      <c r="A734" s="9">
        <v>733</v>
      </c>
      <c r="B734" s="9" t="s">
        <v>9</v>
      </c>
      <c r="C734" s="9">
        <v>1917</v>
      </c>
      <c r="D734" s="10">
        <v>45653</v>
      </c>
      <c r="E734" s="9" t="str">
        <f>+HYPERLINK("http://trademark.i-assist.jp/data/china/image_1917th/81158648.pdf","81158648")</f>
        <v>81158648</v>
      </c>
      <c r="F734" s="9" t="s">
        <v>2061</v>
      </c>
      <c r="G734" s="9" t="s">
        <v>2062</v>
      </c>
      <c r="H734" s="12" t="s">
        <v>2063</v>
      </c>
      <c r="I734" s="10">
        <v>45562</v>
      </c>
    </row>
    <row r="735" spans="1:9" x14ac:dyDescent="0.15">
      <c r="A735" s="9">
        <v>734</v>
      </c>
      <c r="B735" s="9" t="s">
        <v>9</v>
      </c>
      <c r="C735" s="9">
        <v>1917</v>
      </c>
      <c r="D735" s="10">
        <v>45653</v>
      </c>
      <c r="E735" s="9" t="str">
        <f>+HYPERLINK("http://trademark.i-assist.jp/data/china/image_1917th/81158676.pdf","81158676")</f>
        <v>81158676</v>
      </c>
      <c r="F735" s="12" t="s">
        <v>2064</v>
      </c>
      <c r="G735" s="12" t="s">
        <v>2004</v>
      </c>
      <c r="H735" s="9" t="s">
        <v>2065</v>
      </c>
      <c r="I735" s="10">
        <v>45562</v>
      </c>
    </row>
    <row r="736" spans="1:9" x14ac:dyDescent="0.15">
      <c r="A736" s="9">
        <v>735</v>
      </c>
      <c r="B736" s="9" t="s">
        <v>9</v>
      </c>
      <c r="C736" s="9">
        <v>1917</v>
      </c>
      <c r="D736" s="10">
        <v>45653</v>
      </c>
      <c r="E736" s="9" t="str">
        <f>+HYPERLINK("http://trademark.i-assist.jp/data/china/image_1917th/81158852.pdf","81158852")</f>
        <v>81158852</v>
      </c>
      <c r="F736" s="9" t="s">
        <v>2066</v>
      </c>
      <c r="G736" s="9" t="s">
        <v>2067</v>
      </c>
      <c r="H736" s="9" t="s">
        <v>2068</v>
      </c>
      <c r="I736" s="10">
        <v>45562</v>
      </c>
    </row>
    <row r="737" spans="1:9" x14ac:dyDescent="0.15">
      <c r="A737" s="9">
        <v>736</v>
      </c>
      <c r="B737" s="9" t="s">
        <v>9</v>
      </c>
      <c r="C737" s="9">
        <v>1917</v>
      </c>
      <c r="D737" s="10">
        <v>45653</v>
      </c>
      <c r="E737" s="9" t="str">
        <f>+HYPERLINK("http://trademark.i-assist.jp/data/china/image_1917th/81158890.pdf","81158890")</f>
        <v>81158890</v>
      </c>
      <c r="F737" s="12" t="s">
        <v>2069</v>
      </c>
      <c r="G737" s="12" t="s">
        <v>2070</v>
      </c>
      <c r="H737" s="9" t="s">
        <v>2071</v>
      </c>
      <c r="I737" s="10">
        <v>45562</v>
      </c>
    </row>
    <row r="738" spans="1:9" x14ac:dyDescent="0.15">
      <c r="A738" s="9">
        <v>737</v>
      </c>
      <c r="B738" s="9" t="s">
        <v>9</v>
      </c>
      <c r="C738" s="9">
        <v>1917</v>
      </c>
      <c r="D738" s="10">
        <v>45653</v>
      </c>
      <c r="E738" s="9" t="str">
        <f>+HYPERLINK("http://trademark.i-assist.jp/data/china/image_1917th/81159274.pdf","81159274")</f>
        <v>81159274</v>
      </c>
      <c r="F738" s="9" t="s">
        <v>2072</v>
      </c>
      <c r="G738" s="9" t="s">
        <v>1971</v>
      </c>
      <c r="H738" s="9" t="s">
        <v>2073</v>
      </c>
      <c r="I738" s="10">
        <v>45562</v>
      </c>
    </row>
    <row r="739" spans="1:9" x14ac:dyDescent="0.15">
      <c r="A739" s="9">
        <v>738</v>
      </c>
      <c r="B739" s="9" t="s">
        <v>9</v>
      </c>
      <c r="C739" s="9">
        <v>1917</v>
      </c>
      <c r="D739" s="10">
        <v>45653</v>
      </c>
      <c r="E739" s="9" t="str">
        <f>+HYPERLINK("http://trademark.i-assist.jp/data/china/image_1917th/81159381.pdf","81159381")</f>
        <v>81159381</v>
      </c>
      <c r="F739" s="9" t="s">
        <v>2074</v>
      </c>
      <c r="G739" s="9" t="s">
        <v>2075</v>
      </c>
      <c r="H739" s="9" t="s">
        <v>2076</v>
      </c>
      <c r="I739" s="10">
        <v>45562</v>
      </c>
    </row>
    <row r="740" spans="1:9" x14ac:dyDescent="0.15">
      <c r="A740" s="9">
        <v>739</v>
      </c>
      <c r="B740" s="9" t="s">
        <v>9</v>
      </c>
      <c r="C740" s="9">
        <v>1917</v>
      </c>
      <c r="D740" s="10">
        <v>45653</v>
      </c>
      <c r="E740" s="9" t="str">
        <f>+HYPERLINK("http://trademark.i-assist.jp/data/china/image_1917th/81159843.pdf","81159843")</f>
        <v>81159843</v>
      </c>
      <c r="F740" s="9" t="s">
        <v>2077</v>
      </c>
      <c r="G740" s="12" t="s">
        <v>2078</v>
      </c>
      <c r="H740" s="12" t="s">
        <v>2079</v>
      </c>
      <c r="I740" s="10">
        <v>45562</v>
      </c>
    </row>
    <row r="741" spans="1:9" x14ac:dyDescent="0.15">
      <c r="A741" s="9">
        <v>740</v>
      </c>
      <c r="B741" s="9" t="s">
        <v>9</v>
      </c>
      <c r="C741" s="9">
        <v>1917</v>
      </c>
      <c r="D741" s="10">
        <v>45653</v>
      </c>
      <c r="E741" s="9" t="str">
        <f>+HYPERLINK("http://trademark.i-assist.jp/data/china/image_1917th/81160061.pdf","81160061")</f>
        <v>81160061</v>
      </c>
      <c r="F741" s="12" t="s">
        <v>2080</v>
      </c>
      <c r="G741" s="12" t="s">
        <v>2080</v>
      </c>
      <c r="H741" s="9" t="s">
        <v>2081</v>
      </c>
      <c r="I741" s="10">
        <v>45562</v>
      </c>
    </row>
    <row r="742" spans="1:9" x14ac:dyDescent="0.15">
      <c r="A742" s="9">
        <v>741</v>
      </c>
      <c r="B742" s="9" t="s">
        <v>9</v>
      </c>
      <c r="C742" s="9">
        <v>1917</v>
      </c>
      <c r="D742" s="10">
        <v>45653</v>
      </c>
      <c r="E742" s="9" t="str">
        <f>+HYPERLINK("http://trademark.i-assist.jp/data/china/image_1917th/81160718.pdf","81160718")</f>
        <v>81160718</v>
      </c>
      <c r="F742" s="9" t="s">
        <v>2082</v>
      </c>
      <c r="G742" s="12" t="s">
        <v>2083</v>
      </c>
      <c r="H742" s="9" t="s">
        <v>2084</v>
      </c>
      <c r="I742" s="10">
        <v>45562</v>
      </c>
    </row>
    <row r="743" spans="1:9" x14ac:dyDescent="0.15">
      <c r="A743" s="9">
        <v>742</v>
      </c>
      <c r="B743" s="9" t="s">
        <v>9</v>
      </c>
      <c r="C743" s="9">
        <v>1917</v>
      </c>
      <c r="D743" s="10">
        <v>45653</v>
      </c>
      <c r="E743" s="9" t="str">
        <f>+HYPERLINK("http://trademark.i-assist.jp/data/china/image_1917th/81161023.pdf","81161023")</f>
        <v>81161023</v>
      </c>
      <c r="F743" s="9" t="s">
        <v>2085</v>
      </c>
      <c r="G743" s="12" t="s">
        <v>2004</v>
      </c>
      <c r="H743" s="9" t="s">
        <v>2086</v>
      </c>
      <c r="I743" s="10">
        <v>45562</v>
      </c>
    </row>
    <row r="744" spans="1:9" x14ac:dyDescent="0.15">
      <c r="A744" s="9">
        <v>743</v>
      </c>
      <c r="B744" s="9" t="s">
        <v>9</v>
      </c>
      <c r="C744" s="9">
        <v>1917</v>
      </c>
      <c r="D744" s="10">
        <v>45653</v>
      </c>
      <c r="E744" s="9" t="str">
        <f>+HYPERLINK("http://trademark.i-assist.jp/data/china/image_1917th/81161143.pdf","81161143")</f>
        <v>81161143</v>
      </c>
      <c r="F744" s="12" t="s">
        <v>2087</v>
      </c>
      <c r="G744" s="9" t="s">
        <v>2088</v>
      </c>
      <c r="H744" s="9" t="s">
        <v>2089</v>
      </c>
      <c r="I744" s="10">
        <v>45562</v>
      </c>
    </row>
    <row r="745" spans="1:9" x14ac:dyDescent="0.15">
      <c r="A745" s="9">
        <v>744</v>
      </c>
      <c r="B745" s="9" t="s">
        <v>9</v>
      </c>
      <c r="C745" s="9">
        <v>1917</v>
      </c>
      <c r="D745" s="10">
        <v>45653</v>
      </c>
      <c r="E745" s="9" t="str">
        <f>+HYPERLINK("http://trademark.i-assist.jp/data/china/image_1917th/81161339.pdf","81161339")</f>
        <v>81161339</v>
      </c>
      <c r="F745" s="9" t="s">
        <v>2090</v>
      </c>
      <c r="G745" s="9" t="s">
        <v>2091</v>
      </c>
      <c r="H745" s="9" t="s">
        <v>2092</v>
      </c>
      <c r="I745" s="10">
        <v>45562</v>
      </c>
    </row>
    <row r="746" spans="1:9" x14ac:dyDescent="0.15">
      <c r="A746" s="9">
        <v>745</v>
      </c>
      <c r="B746" s="9" t="s">
        <v>9</v>
      </c>
      <c r="C746" s="9">
        <v>1917</v>
      </c>
      <c r="D746" s="10">
        <v>45653</v>
      </c>
      <c r="E746" s="9" t="str">
        <f>+HYPERLINK("http://trademark.i-assist.jp/data/china/image_1917th/81161864.pdf","81161864")</f>
        <v>81161864</v>
      </c>
      <c r="F746" s="9" t="s">
        <v>2093</v>
      </c>
      <c r="G746" s="12" t="s">
        <v>2094</v>
      </c>
      <c r="H746" s="12" t="s">
        <v>2095</v>
      </c>
      <c r="I746" s="10">
        <v>45562</v>
      </c>
    </row>
    <row r="747" spans="1:9" x14ac:dyDescent="0.15">
      <c r="A747" s="9">
        <v>746</v>
      </c>
      <c r="B747" s="9" t="s">
        <v>9</v>
      </c>
      <c r="C747" s="9">
        <v>1917</v>
      </c>
      <c r="D747" s="10">
        <v>45653</v>
      </c>
      <c r="E747" s="9" t="str">
        <f>+HYPERLINK("http://trademark.i-assist.jp/data/china/image_1917th/81163019.pdf","81163019")</f>
        <v>81163019</v>
      </c>
      <c r="F747" s="9" t="s">
        <v>2096</v>
      </c>
      <c r="G747" s="12" t="s">
        <v>2004</v>
      </c>
      <c r="H747" s="9" t="s">
        <v>2097</v>
      </c>
      <c r="I747" s="10">
        <v>45562</v>
      </c>
    </row>
    <row r="748" spans="1:9" x14ac:dyDescent="0.15">
      <c r="A748" s="9">
        <v>747</v>
      </c>
      <c r="B748" s="9" t="s">
        <v>9</v>
      </c>
      <c r="C748" s="9">
        <v>1917</v>
      </c>
      <c r="D748" s="10">
        <v>45653</v>
      </c>
      <c r="E748" s="9" t="str">
        <f>+HYPERLINK("http://trademark.i-assist.jp/data/china/image_1917th/81163104.pdf","81163104")</f>
        <v>81163104</v>
      </c>
      <c r="F748" s="12" t="s">
        <v>2098</v>
      </c>
      <c r="G748" s="12" t="s">
        <v>2099</v>
      </c>
      <c r="H748" s="9" t="s">
        <v>2100</v>
      </c>
      <c r="I748" s="10">
        <v>45562</v>
      </c>
    </row>
    <row r="749" spans="1:9" x14ac:dyDescent="0.15">
      <c r="A749" s="9">
        <v>748</v>
      </c>
      <c r="B749" s="9" t="s">
        <v>9</v>
      </c>
      <c r="C749" s="9">
        <v>1917</v>
      </c>
      <c r="D749" s="10">
        <v>45653</v>
      </c>
      <c r="E749" s="9" t="str">
        <f>+HYPERLINK("http://trademark.i-assist.jp/data/china/image_1917th/81163182.pdf","81163182")</f>
        <v>81163182</v>
      </c>
      <c r="F749" s="12" t="s">
        <v>2101</v>
      </c>
      <c r="G749" s="12" t="s">
        <v>2102</v>
      </c>
      <c r="H749" s="9" t="s">
        <v>2103</v>
      </c>
      <c r="I749" s="10">
        <v>45562</v>
      </c>
    </row>
    <row r="750" spans="1:9" x14ac:dyDescent="0.15">
      <c r="A750" s="9">
        <v>749</v>
      </c>
      <c r="B750" s="9" t="s">
        <v>9</v>
      </c>
      <c r="C750" s="9">
        <v>1917</v>
      </c>
      <c r="D750" s="10">
        <v>45653</v>
      </c>
      <c r="E750" s="9" t="str">
        <f>+HYPERLINK("http://trademark.i-assist.jp/data/china/image_1917th/81163514.pdf","81163514")</f>
        <v>81163514</v>
      </c>
      <c r="F750" s="9" t="s">
        <v>2104</v>
      </c>
      <c r="G750" s="9" t="s">
        <v>43</v>
      </c>
      <c r="H750" s="9" t="s">
        <v>2105</v>
      </c>
      <c r="I750" s="10">
        <v>45563</v>
      </c>
    </row>
    <row r="751" spans="1:9" x14ac:dyDescent="0.15">
      <c r="A751" s="9">
        <v>750</v>
      </c>
      <c r="B751" s="9" t="s">
        <v>9</v>
      </c>
      <c r="C751" s="9">
        <v>1917</v>
      </c>
      <c r="D751" s="10">
        <v>45653</v>
      </c>
      <c r="E751" s="9" t="str">
        <f>+HYPERLINK("http://trademark.i-assist.jp/data/china/image_1917th/81163924.pdf","81163924")</f>
        <v>81163924</v>
      </c>
      <c r="F751" s="9" t="s">
        <v>2106</v>
      </c>
      <c r="G751" s="9" t="s">
        <v>2107</v>
      </c>
      <c r="H751" s="9" t="s">
        <v>2108</v>
      </c>
      <c r="I751" s="10">
        <v>45563</v>
      </c>
    </row>
    <row r="752" spans="1:9" x14ac:dyDescent="0.15">
      <c r="A752" s="9">
        <v>751</v>
      </c>
      <c r="B752" s="9" t="s">
        <v>9</v>
      </c>
      <c r="C752" s="9">
        <v>1917</v>
      </c>
      <c r="D752" s="10">
        <v>45653</v>
      </c>
      <c r="E752" s="9" t="str">
        <f>+HYPERLINK("http://trademark.i-assist.jp/data/china/image_1917th/81164624.pdf","81164624")</f>
        <v>81164624</v>
      </c>
      <c r="F752" s="9" t="s">
        <v>2109</v>
      </c>
      <c r="G752" s="9" t="s">
        <v>2110</v>
      </c>
      <c r="H752" s="12" t="s">
        <v>2111</v>
      </c>
      <c r="I752" s="10">
        <v>45563</v>
      </c>
    </row>
    <row r="753" spans="1:9" x14ac:dyDescent="0.15">
      <c r="A753" s="9">
        <v>752</v>
      </c>
      <c r="B753" s="9" t="s">
        <v>9</v>
      </c>
      <c r="C753" s="9">
        <v>1917</v>
      </c>
      <c r="D753" s="10">
        <v>45653</v>
      </c>
      <c r="E753" s="9" t="str">
        <f>+HYPERLINK("http://trademark.i-assist.jp/data/china/image_1917th/81164670.pdf","81164670")</f>
        <v>81164670</v>
      </c>
      <c r="F753" s="9" t="s">
        <v>2112</v>
      </c>
      <c r="G753" s="9" t="s">
        <v>59</v>
      </c>
      <c r="H753" s="9" t="s">
        <v>2113</v>
      </c>
      <c r="I753" s="10">
        <v>45563</v>
      </c>
    </row>
    <row r="754" spans="1:9" x14ac:dyDescent="0.15">
      <c r="A754" s="9">
        <v>753</v>
      </c>
      <c r="B754" s="9" t="s">
        <v>9</v>
      </c>
      <c r="C754" s="9">
        <v>1917</v>
      </c>
      <c r="D754" s="10">
        <v>45653</v>
      </c>
      <c r="E754" s="9" t="str">
        <f>+HYPERLINK("http://trademark.i-assist.jp/data/china/image_1917th/81165042.pdf","81165042")</f>
        <v>81165042</v>
      </c>
      <c r="F754" s="12" t="s">
        <v>2114</v>
      </c>
      <c r="G754" s="9" t="s">
        <v>2115</v>
      </c>
      <c r="H754" s="9" t="s">
        <v>2116</v>
      </c>
      <c r="I754" s="10">
        <v>45563</v>
      </c>
    </row>
    <row r="755" spans="1:9" x14ac:dyDescent="0.15">
      <c r="A755" s="9">
        <v>754</v>
      </c>
      <c r="B755" s="9" t="s">
        <v>9</v>
      </c>
      <c r="C755" s="9">
        <v>1917</v>
      </c>
      <c r="D755" s="10">
        <v>45653</v>
      </c>
      <c r="E755" s="9" t="str">
        <f>+HYPERLINK("http://trademark.i-assist.jp/data/china/image_1917th/81165391.pdf","81165391")</f>
        <v>81165391</v>
      </c>
      <c r="F755" s="9" t="s">
        <v>2117</v>
      </c>
      <c r="G755" s="9" t="s">
        <v>59</v>
      </c>
      <c r="H755" s="9" t="s">
        <v>2118</v>
      </c>
      <c r="I755" s="10">
        <v>45563</v>
      </c>
    </row>
    <row r="756" spans="1:9" x14ac:dyDescent="0.15">
      <c r="A756" s="9">
        <v>755</v>
      </c>
      <c r="B756" s="9" t="s">
        <v>9</v>
      </c>
      <c r="C756" s="9">
        <v>1917</v>
      </c>
      <c r="D756" s="10">
        <v>45653</v>
      </c>
      <c r="E756" s="9" t="str">
        <f>+HYPERLINK("http://trademark.i-assist.jp/data/china/image_1917th/81165404.pdf","81165404")</f>
        <v>81165404</v>
      </c>
      <c r="F756" s="9" t="s">
        <v>2119</v>
      </c>
      <c r="G756" s="9" t="s">
        <v>2119</v>
      </c>
      <c r="H756" s="9" t="s">
        <v>2120</v>
      </c>
      <c r="I756" s="10">
        <v>45563</v>
      </c>
    </row>
    <row r="757" spans="1:9" x14ac:dyDescent="0.15">
      <c r="A757" s="9">
        <v>756</v>
      </c>
      <c r="B757" s="9" t="s">
        <v>9</v>
      </c>
      <c r="C757" s="9">
        <v>1917</v>
      </c>
      <c r="D757" s="10">
        <v>45653</v>
      </c>
      <c r="E757" s="9" t="str">
        <f>+HYPERLINK("http://trademark.i-assist.jp/data/china/image_1917th/81165460.pdf","81165460")</f>
        <v>81165460</v>
      </c>
      <c r="F757" s="9" t="s">
        <v>2121</v>
      </c>
      <c r="G757" s="9" t="s">
        <v>2122</v>
      </c>
      <c r="H757" s="9" t="s">
        <v>2123</v>
      </c>
      <c r="I757" s="10">
        <v>45563</v>
      </c>
    </row>
    <row r="758" spans="1:9" x14ac:dyDescent="0.15">
      <c r="A758" s="9">
        <v>757</v>
      </c>
      <c r="B758" s="9" t="s">
        <v>9</v>
      </c>
      <c r="C758" s="9">
        <v>1917</v>
      </c>
      <c r="D758" s="10">
        <v>45653</v>
      </c>
      <c r="E758" s="9" t="str">
        <f>+HYPERLINK("http://trademark.i-assist.jp/data/china/image_1917th/81165483.pdf","81165483")</f>
        <v>81165483</v>
      </c>
      <c r="F758" s="9" t="s">
        <v>2124</v>
      </c>
      <c r="G758" s="9" t="s">
        <v>2125</v>
      </c>
      <c r="H758" s="9" t="s">
        <v>2126</v>
      </c>
      <c r="I758" s="10">
        <v>45563</v>
      </c>
    </row>
    <row r="759" spans="1:9" x14ac:dyDescent="0.15">
      <c r="A759" s="9">
        <v>758</v>
      </c>
      <c r="B759" s="9" t="s">
        <v>9</v>
      </c>
      <c r="C759" s="9">
        <v>1917</v>
      </c>
      <c r="D759" s="10">
        <v>45653</v>
      </c>
      <c r="E759" s="9" t="str">
        <f>+HYPERLINK("http://trademark.i-assist.jp/data/china/image_1917th/81165484.pdf","81165484")</f>
        <v>81165484</v>
      </c>
      <c r="F759" s="9" t="s">
        <v>2127</v>
      </c>
      <c r="G759" s="9" t="s">
        <v>2125</v>
      </c>
      <c r="H759" s="9" t="s">
        <v>2128</v>
      </c>
      <c r="I759" s="10">
        <v>45563</v>
      </c>
    </row>
    <row r="760" spans="1:9" x14ac:dyDescent="0.15">
      <c r="A760" s="9">
        <v>759</v>
      </c>
      <c r="B760" s="9" t="s">
        <v>9</v>
      </c>
      <c r="C760" s="9">
        <v>1917</v>
      </c>
      <c r="D760" s="10">
        <v>45653</v>
      </c>
      <c r="E760" s="9" t="str">
        <f>+HYPERLINK("http://trademark.i-assist.jp/data/china/image_1917th/81165507.pdf","81165507")</f>
        <v>81165507</v>
      </c>
      <c r="F760" s="12" t="s">
        <v>2129</v>
      </c>
      <c r="G760" s="9" t="s">
        <v>2130</v>
      </c>
      <c r="H760" s="9" t="s">
        <v>2131</v>
      </c>
      <c r="I760" s="10">
        <v>45563</v>
      </c>
    </row>
    <row r="761" spans="1:9" x14ac:dyDescent="0.15">
      <c r="A761" s="9">
        <v>760</v>
      </c>
      <c r="B761" s="9" t="s">
        <v>9</v>
      </c>
      <c r="C761" s="9">
        <v>1917</v>
      </c>
      <c r="D761" s="10">
        <v>45653</v>
      </c>
      <c r="E761" s="9" t="str">
        <f>+HYPERLINK("http://trademark.i-assist.jp/data/china/image_1917th/81165530.pdf","81165530")</f>
        <v>81165530</v>
      </c>
      <c r="F761" s="12" t="s">
        <v>2132</v>
      </c>
      <c r="G761" s="9" t="s">
        <v>2133</v>
      </c>
      <c r="H761" s="9" t="s">
        <v>2134</v>
      </c>
      <c r="I761" s="10">
        <v>45563</v>
      </c>
    </row>
    <row r="762" spans="1:9" x14ac:dyDescent="0.15">
      <c r="A762" s="9">
        <v>761</v>
      </c>
      <c r="B762" s="9" t="s">
        <v>9</v>
      </c>
      <c r="C762" s="9">
        <v>1917</v>
      </c>
      <c r="D762" s="10">
        <v>45653</v>
      </c>
      <c r="E762" s="9" t="str">
        <f>+HYPERLINK("http://trademark.i-assist.jp/data/china/image_1917th/81166436.pdf","81166436")</f>
        <v>81166436</v>
      </c>
      <c r="F762" s="9" t="s">
        <v>2135</v>
      </c>
      <c r="G762" s="9" t="s">
        <v>2107</v>
      </c>
      <c r="H762" s="12" t="s">
        <v>2136</v>
      </c>
      <c r="I762" s="10">
        <v>45563</v>
      </c>
    </row>
    <row r="763" spans="1:9" x14ac:dyDescent="0.15">
      <c r="A763" s="9">
        <v>762</v>
      </c>
      <c r="B763" s="9" t="s">
        <v>9</v>
      </c>
      <c r="C763" s="9">
        <v>1917</v>
      </c>
      <c r="D763" s="10">
        <v>45653</v>
      </c>
      <c r="E763" s="9" t="str">
        <f>+HYPERLINK("http://trademark.i-assist.jp/data/china/image_1917th/81166521.pdf","81166521")</f>
        <v>81166521</v>
      </c>
      <c r="F763" s="9" t="s">
        <v>2137</v>
      </c>
      <c r="G763" s="9" t="s">
        <v>2138</v>
      </c>
      <c r="H763" s="12" t="s">
        <v>2139</v>
      </c>
      <c r="I763" s="10">
        <v>45563</v>
      </c>
    </row>
    <row r="764" spans="1:9" x14ac:dyDescent="0.15">
      <c r="A764" s="9">
        <v>763</v>
      </c>
      <c r="B764" s="9" t="s">
        <v>9</v>
      </c>
      <c r="C764" s="9">
        <v>1917</v>
      </c>
      <c r="D764" s="10">
        <v>45653</v>
      </c>
      <c r="E764" s="9" t="str">
        <f>+HYPERLINK("http://trademark.i-assist.jp/data/china/image_1917th/81166830.pdf","81166830")</f>
        <v>81166830</v>
      </c>
      <c r="F764" s="9" t="s">
        <v>2140</v>
      </c>
      <c r="G764" s="9" t="s">
        <v>2141</v>
      </c>
      <c r="H764" s="12" t="s">
        <v>2142</v>
      </c>
      <c r="I764" s="10">
        <v>45563</v>
      </c>
    </row>
    <row r="765" spans="1:9" x14ac:dyDescent="0.15">
      <c r="A765" s="9">
        <v>764</v>
      </c>
      <c r="B765" s="9" t="s">
        <v>9</v>
      </c>
      <c r="C765" s="9">
        <v>1917</v>
      </c>
      <c r="D765" s="10">
        <v>45653</v>
      </c>
      <c r="E765" s="9" t="str">
        <f>+HYPERLINK("http://trademark.i-assist.jp/data/china/image_1917th/81167365.pdf","81167365")</f>
        <v>81167365</v>
      </c>
      <c r="F765" s="9" t="s">
        <v>2143</v>
      </c>
      <c r="G765" s="9" t="s">
        <v>2144</v>
      </c>
      <c r="H765" s="9" t="s">
        <v>2145</v>
      </c>
      <c r="I765" s="10">
        <v>45563</v>
      </c>
    </row>
    <row r="766" spans="1:9" x14ac:dyDescent="0.15">
      <c r="A766" s="9">
        <v>765</v>
      </c>
      <c r="B766" s="9" t="s">
        <v>9</v>
      </c>
      <c r="C766" s="9">
        <v>1917</v>
      </c>
      <c r="D766" s="10">
        <v>45653</v>
      </c>
      <c r="E766" s="9" t="str">
        <f>+HYPERLINK("http://trademark.i-assist.jp/data/china/image_1917th/81167428.pdf","81167428")</f>
        <v>81167428</v>
      </c>
      <c r="F766" s="9" t="s">
        <v>2146</v>
      </c>
      <c r="G766" s="9" t="s">
        <v>2147</v>
      </c>
      <c r="H766" s="9" t="s">
        <v>2148</v>
      </c>
      <c r="I766" s="10">
        <v>45563</v>
      </c>
    </row>
    <row r="767" spans="1:9" x14ac:dyDescent="0.15">
      <c r="A767" s="9">
        <v>766</v>
      </c>
      <c r="B767" s="9" t="s">
        <v>9</v>
      </c>
      <c r="C767" s="9">
        <v>1917</v>
      </c>
      <c r="D767" s="10">
        <v>45653</v>
      </c>
      <c r="E767" s="9" t="str">
        <f>+HYPERLINK("http://trademark.i-assist.jp/data/china/image_1917th/81168003.pdf","81168003")</f>
        <v>81168003</v>
      </c>
      <c r="F767" s="9" t="s">
        <v>2149</v>
      </c>
      <c r="G767" s="9" t="s">
        <v>2107</v>
      </c>
      <c r="H767" s="9" t="s">
        <v>2150</v>
      </c>
      <c r="I767" s="10">
        <v>45563</v>
      </c>
    </row>
    <row r="768" spans="1:9" x14ac:dyDescent="0.15">
      <c r="A768" s="9">
        <v>767</v>
      </c>
      <c r="B768" s="9" t="s">
        <v>9</v>
      </c>
      <c r="C768" s="9">
        <v>1917</v>
      </c>
      <c r="D768" s="10">
        <v>45653</v>
      </c>
      <c r="E768" s="9" t="str">
        <f>+HYPERLINK("http://trademark.i-assist.jp/data/china/image_1917th/81168250.pdf","81168250")</f>
        <v>81168250</v>
      </c>
      <c r="F768" s="12" t="s">
        <v>2151</v>
      </c>
      <c r="G768" s="9" t="s">
        <v>2152</v>
      </c>
      <c r="H768" s="9" t="s">
        <v>2153</v>
      </c>
      <c r="I768" s="10">
        <v>45563</v>
      </c>
    </row>
    <row r="769" spans="1:9" x14ac:dyDescent="0.15">
      <c r="A769" s="9">
        <v>768</v>
      </c>
      <c r="B769" s="9" t="s">
        <v>9</v>
      </c>
      <c r="C769" s="9">
        <v>1917</v>
      </c>
      <c r="D769" s="10">
        <v>45653</v>
      </c>
      <c r="E769" s="9" t="str">
        <f>+HYPERLINK("http://trademark.i-assist.jp/data/china/image_1917th/81168587.pdf","81168587")</f>
        <v>81168587</v>
      </c>
      <c r="F769" s="9" t="s">
        <v>2154</v>
      </c>
      <c r="G769" s="12" t="s">
        <v>2155</v>
      </c>
      <c r="H769" s="9" t="s">
        <v>2156</v>
      </c>
      <c r="I769" s="10">
        <v>45563</v>
      </c>
    </row>
    <row r="770" spans="1:9" x14ac:dyDescent="0.15">
      <c r="A770" s="9">
        <v>769</v>
      </c>
      <c r="B770" s="9" t="s">
        <v>9</v>
      </c>
      <c r="C770" s="9">
        <v>1917</v>
      </c>
      <c r="D770" s="10">
        <v>45653</v>
      </c>
      <c r="E770" s="9" t="str">
        <f>+HYPERLINK("http://trademark.i-assist.jp/data/china/image_1917th/81168620.pdf","81168620")</f>
        <v>81168620</v>
      </c>
      <c r="F770" s="9" t="s">
        <v>2157</v>
      </c>
      <c r="G770" s="9" t="s">
        <v>2158</v>
      </c>
      <c r="H770" s="12" t="s">
        <v>2159</v>
      </c>
      <c r="I770" s="10">
        <v>45563</v>
      </c>
    </row>
    <row r="771" spans="1:9" x14ac:dyDescent="0.15">
      <c r="A771" s="9">
        <v>770</v>
      </c>
      <c r="B771" s="9" t="s">
        <v>9</v>
      </c>
      <c r="C771" s="9">
        <v>1917</v>
      </c>
      <c r="D771" s="10">
        <v>45653</v>
      </c>
      <c r="E771" s="9" t="str">
        <f>+HYPERLINK("http://trademark.i-assist.jp/data/china/image_1917th/81168705.pdf","81168705")</f>
        <v>81168705</v>
      </c>
      <c r="F771" s="9" t="s">
        <v>2160</v>
      </c>
      <c r="G771" s="9" t="s">
        <v>2107</v>
      </c>
      <c r="H771" s="12" t="s">
        <v>2161</v>
      </c>
      <c r="I771" s="10">
        <v>45563</v>
      </c>
    </row>
    <row r="772" spans="1:9" x14ac:dyDescent="0.15">
      <c r="A772" s="9">
        <v>771</v>
      </c>
      <c r="B772" s="9" t="s">
        <v>9</v>
      </c>
      <c r="C772" s="9">
        <v>1917</v>
      </c>
      <c r="D772" s="10">
        <v>45653</v>
      </c>
      <c r="E772" s="9" t="str">
        <f>+HYPERLINK("http://trademark.i-assist.jp/data/china/image_1917th/81168719.pdf","81168719")</f>
        <v>81168719</v>
      </c>
      <c r="F772" s="9" t="s">
        <v>2162</v>
      </c>
      <c r="G772" s="9" t="s">
        <v>2107</v>
      </c>
      <c r="H772" s="9" t="s">
        <v>2163</v>
      </c>
      <c r="I772" s="10">
        <v>45563</v>
      </c>
    </row>
    <row r="773" spans="1:9" x14ac:dyDescent="0.15">
      <c r="A773" s="9">
        <v>772</v>
      </c>
      <c r="B773" s="9" t="s">
        <v>9</v>
      </c>
      <c r="C773" s="9">
        <v>1917</v>
      </c>
      <c r="D773" s="10">
        <v>45653</v>
      </c>
      <c r="E773" s="9" t="str">
        <f>+HYPERLINK("http://trademark.i-assist.jp/data/china/image_1917th/81168727.pdf","81168727")</f>
        <v>81168727</v>
      </c>
      <c r="F773" s="9" t="s">
        <v>2164</v>
      </c>
      <c r="G773" s="9" t="s">
        <v>2107</v>
      </c>
      <c r="H773" s="9" t="s">
        <v>2165</v>
      </c>
      <c r="I773" s="10">
        <v>45563</v>
      </c>
    </row>
    <row r="774" spans="1:9" x14ac:dyDescent="0.15">
      <c r="A774" s="9">
        <v>773</v>
      </c>
      <c r="B774" s="9" t="s">
        <v>9</v>
      </c>
      <c r="C774" s="9">
        <v>1917</v>
      </c>
      <c r="D774" s="10">
        <v>45653</v>
      </c>
      <c r="E774" s="9" t="str">
        <f>+HYPERLINK("http://trademark.i-assist.jp/data/china/image_1917th/81168767.pdf","81168767")</f>
        <v>81168767</v>
      </c>
      <c r="F774" s="9" t="s">
        <v>2166</v>
      </c>
      <c r="G774" s="9" t="s">
        <v>2125</v>
      </c>
      <c r="H774" s="9" t="s">
        <v>2167</v>
      </c>
      <c r="I774" s="10">
        <v>45563</v>
      </c>
    </row>
    <row r="775" spans="1:9" x14ac:dyDescent="0.15">
      <c r="A775" s="9">
        <v>774</v>
      </c>
      <c r="B775" s="9" t="s">
        <v>9</v>
      </c>
      <c r="C775" s="9">
        <v>1917</v>
      </c>
      <c r="D775" s="10">
        <v>45653</v>
      </c>
      <c r="E775" s="9" t="str">
        <f>+HYPERLINK("http://trademark.i-assist.jp/data/china/image_1917th/81169294.pdf","81169294")</f>
        <v>81169294</v>
      </c>
      <c r="F775" s="9" t="s">
        <v>2168</v>
      </c>
      <c r="G775" s="9" t="s">
        <v>2169</v>
      </c>
      <c r="H775" s="9" t="s">
        <v>2170</v>
      </c>
      <c r="I775" s="10">
        <v>45563</v>
      </c>
    </row>
    <row r="776" spans="1:9" x14ac:dyDescent="0.15">
      <c r="A776" s="9">
        <v>775</v>
      </c>
      <c r="B776" s="9" t="s">
        <v>9</v>
      </c>
      <c r="C776" s="9">
        <v>1917</v>
      </c>
      <c r="D776" s="10">
        <v>45653</v>
      </c>
      <c r="E776" s="9" t="str">
        <f>+HYPERLINK("http://trademark.i-assist.jp/data/china/image_1917th/81169377.pdf","81169377")</f>
        <v>81169377</v>
      </c>
      <c r="F776" s="9" t="s">
        <v>2171</v>
      </c>
      <c r="G776" s="12" t="s">
        <v>2172</v>
      </c>
      <c r="H776" s="9" t="s">
        <v>2173</v>
      </c>
      <c r="I776" s="10">
        <v>45563</v>
      </c>
    </row>
    <row r="777" spans="1:9" x14ac:dyDescent="0.15">
      <c r="A777" s="9">
        <v>776</v>
      </c>
      <c r="B777" s="9" t="s">
        <v>9</v>
      </c>
      <c r="C777" s="9">
        <v>1917</v>
      </c>
      <c r="D777" s="10">
        <v>45653</v>
      </c>
      <c r="E777" s="9" t="str">
        <f>+HYPERLINK("http://trademark.i-assist.jp/data/china/image_1917th/81169654.pdf","81169654")</f>
        <v>81169654</v>
      </c>
      <c r="F777" s="9" t="s">
        <v>2174</v>
      </c>
      <c r="G777" s="9" t="s">
        <v>2107</v>
      </c>
      <c r="H777" s="9" t="s">
        <v>2175</v>
      </c>
      <c r="I777" s="10">
        <v>45563</v>
      </c>
    </row>
    <row r="778" spans="1:9" x14ac:dyDescent="0.15">
      <c r="A778" s="9">
        <v>777</v>
      </c>
      <c r="B778" s="9" t="s">
        <v>9</v>
      </c>
      <c r="C778" s="9">
        <v>1917</v>
      </c>
      <c r="D778" s="10">
        <v>45653</v>
      </c>
      <c r="E778" s="9" t="str">
        <f>+HYPERLINK("http://trademark.i-assist.jp/data/china/image_1917th/81170494.pdf","81170494")</f>
        <v>81170494</v>
      </c>
      <c r="F778" s="9" t="s">
        <v>2176</v>
      </c>
      <c r="G778" s="9" t="s">
        <v>2177</v>
      </c>
      <c r="H778" s="9" t="s">
        <v>2178</v>
      </c>
      <c r="I778" s="10">
        <v>45563</v>
      </c>
    </row>
    <row r="779" spans="1:9" x14ac:dyDescent="0.15">
      <c r="A779" s="9">
        <v>778</v>
      </c>
      <c r="B779" s="9" t="s">
        <v>9</v>
      </c>
      <c r="C779" s="9">
        <v>1917</v>
      </c>
      <c r="D779" s="10">
        <v>45653</v>
      </c>
      <c r="E779" s="9" t="str">
        <f>+HYPERLINK("http://trademark.i-assist.jp/data/china/image_1917th/81170943.pdf","81170943")</f>
        <v>81170943</v>
      </c>
      <c r="F779" s="9" t="s">
        <v>2179</v>
      </c>
      <c r="G779" s="9" t="s">
        <v>2125</v>
      </c>
      <c r="H779" s="12" t="s">
        <v>2180</v>
      </c>
      <c r="I779" s="10">
        <v>45563</v>
      </c>
    </row>
    <row r="780" spans="1:9" x14ac:dyDescent="0.15">
      <c r="A780" s="9">
        <v>779</v>
      </c>
      <c r="B780" s="9" t="s">
        <v>9</v>
      </c>
      <c r="C780" s="9">
        <v>1917</v>
      </c>
      <c r="D780" s="10">
        <v>45653</v>
      </c>
      <c r="E780" s="9" t="str">
        <f>+HYPERLINK("http://trademark.i-assist.jp/data/china/image_1917th/81170985.pdf","81170985")</f>
        <v>81170985</v>
      </c>
      <c r="F780" s="12" t="s">
        <v>2181</v>
      </c>
      <c r="G780" s="9" t="s">
        <v>2133</v>
      </c>
      <c r="H780" s="9" t="s">
        <v>2182</v>
      </c>
      <c r="I780" s="10">
        <v>45563</v>
      </c>
    </row>
    <row r="781" spans="1:9" x14ac:dyDescent="0.15">
      <c r="A781" s="9">
        <v>780</v>
      </c>
      <c r="B781" s="9" t="s">
        <v>9</v>
      </c>
      <c r="C781" s="9">
        <v>1917</v>
      </c>
      <c r="D781" s="10">
        <v>45653</v>
      </c>
      <c r="E781" s="9" t="str">
        <f>+HYPERLINK("http://trademark.i-assist.jp/data/china/image_1917th/81170994.pdf","81170994")</f>
        <v>81170994</v>
      </c>
      <c r="F781" s="12" t="s">
        <v>2183</v>
      </c>
      <c r="G781" s="9" t="s">
        <v>2184</v>
      </c>
      <c r="H781" s="12" t="s">
        <v>2185</v>
      </c>
      <c r="I781" s="10">
        <v>45563</v>
      </c>
    </row>
    <row r="782" spans="1:9" x14ac:dyDescent="0.15">
      <c r="A782" s="9">
        <v>781</v>
      </c>
      <c r="B782" s="9" t="s">
        <v>9</v>
      </c>
      <c r="C782" s="9">
        <v>1917</v>
      </c>
      <c r="D782" s="10">
        <v>45653</v>
      </c>
      <c r="E782" s="9" t="str">
        <f>+HYPERLINK("http://trademark.i-assist.jp/data/china/image_1917th/81171048.pdf","81171048")</f>
        <v>81171048</v>
      </c>
      <c r="F782" s="9" t="s">
        <v>2186</v>
      </c>
      <c r="G782" s="9" t="s">
        <v>2107</v>
      </c>
      <c r="H782" s="9" t="s">
        <v>2187</v>
      </c>
      <c r="I782" s="10">
        <v>45563</v>
      </c>
    </row>
    <row r="783" spans="1:9" x14ac:dyDescent="0.15">
      <c r="A783" s="9">
        <v>782</v>
      </c>
      <c r="B783" s="9" t="s">
        <v>9</v>
      </c>
      <c r="C783" s="9">
        <v>1917</v>
      </c>
      <c r="D783" s="10">
        <v>45653</v>
      </c>
      <c r="E783" s="9" t="str">
        <f>+HYPERLINK("http://trademark.i-assist.jp/data/china/image_1917th/81171703.pdf","81171703")</f>
        <v>81171703</v>
      </c>
      <c r="F783" s="9" t="s">
        <v>2188</v>
      </c>
      <c r="G783" s="12" t="s">
        <v>2189</v>
      </c>
      <c r="H783" s="9" t="s">
        <v>2190</v>
      </c>
      <c r="I783" s="10">
        <v>45563</v>
      </c>
    </row>
    <row r="784" spans="1:9" x14ac:dyDescent="0.15">
      <c r="A784" s="9">
        <v>783</v>
      </c>
      <c r="B784" s="9" t="s">
        <v>9</v>
      </c>
      <c r="C784" s="9">
        <v>1917</v>
      </c>
      <c r="D784" s="10">
        <v>45653</v>
      </c>
      <c r="E784" s="9" t="str">
        <f>+HYPERLINK("http://trademark.i-assist.jp/data/china/image_1917th/81172141.pdf","81172141")</f>
        <v>81172141</v>
      </c>
      <c r="F784" s="9" t="s">
        <v>2191</v>
      </c>
      <c r="G784" s="9" t="s">
        <v>2107</v>
      </c>
      <c r="H784" s="9" t="s">
        <v>2192</v>
      </c>
      <c r="I784" s="10">
        <v>45563</v>
      </c>
    </row>
    <row r="785" spans="1:9" x14ac:dyDescent="0.15">
      <c r="A785" s="9">
        <v>784</v>
      </c>
      <c r="B785" s="9" t="s">
        <v>9</v>
      </c>
      <c r="C785" s="9">
        <v>1917</v>
      </c>
      <c r="D785" s="10">
        <v>45653</v>
      </c>
      <c r="E785" s="9" t="str">
        <f>+HYPERLINK("http://trademark.i-assist.jp/data/china/image_1917th/81172525.pdf","81172525")</f>
        <v>81172525</v>
      </c>
      <c r="F785" s="9" t="s">
        <v>2193</v>
      </c>
      <c r="G785" s="9" t="s">
        <v>2107</v>
      </c>
      <c r="H785" s="12" t="s">
        <v>2194</v>
      </c>
      <c r="I785" s="10">
        <v>45563</v>
      </c>
    </row>
    <row r="786" spans="1:9" x14ac:dyDescent="0.15">
      <c r="A786" s="9">
        <v>785</v>
      </c>
      <c r="B786" s="9" t="s">
        <v>9</v>
      </c>
      <c r="C786" s="9">
        <v>1917</v>
      </c>
      <c r="D786" s="10">
        <v>45653</v>
      </c>
      <c r="E786" s="9" t="str">
        <f>+HYPERLINK("http://trademark.i-assist.jp/data/china/image_1917th/81173276.pdf","81173276")</f>
        <v>81173276</v>
      </c>
      <c r="F786" s="9" t="s">
        <v>2195</v>
      </c>
      <c r="G786" s="9" t="s">
        <v>2196</v>
      </c>
      <c r="H786" s="12" t="s">
        <v>2197</v>
      </c>
      <c r="I786" s="10">
        <v>45563</v>
      </c>
    </row>
    <row r="787" spans="1:9" x14ac:dyDescent="0.15">
      <c r="A787" s="9">
        <v>786</v>
      </c>
      <c r="B787" s="9" t="s">
        <v>9</v>
      </c>
      <c r="C787" s="9">
        <v>1917</v>
      </c>
      <c r="D787" s="10">
        <v>45653</v>
      </c>
      <c r="E787" s="9" t="str">
        <f>+HYPERLINK("http://trademark.i-assist.jp/data/china/image_1917th/81173420.pdf","81173420")</f>
        <v>81173420</v>
      </c>
      <c r="F787" s="12" t="s">
        <v>2198</v>
      </c>
      <c r="G787" s="12" t="s">
        <v>2199</v>
      </c>
      <c r="H787" s="9" t="s">
        <v>2200</v>
      </c>
      <c r="I787" s="10">
        <v>45563</v>
      </c>
    </row>
    <row r="788" spans="1:9" x14ac:dyDescent="0.15">
      <c r="A788" s="9">
        <v>787</v>
      </c>
      <c r="B788" s="9" t="s">
        <v>9</v>
      </c>
      <c r="C788" s="9">
        <v>1917</v>
      </c>
      <c r="D788" s="10">
        <v>45653</v>
      </c>
      <c r="E788" s="9" t="str">
        <f>+HYPERLINK("http://trademark.i-assist.jp/data/china/image_1917th/81173611.pdf","81173611")</f>
        <v>81173611</v>
      </c>
      <c r="F788" s="12" t="s">
        <v>2201</v>
      </c>
      <c r="G788" s="12" t="s">
        <v>2202</v>
      </c>
      <c r="H788" s="9" t="s">
        <v>2203</v>
      </c>
      <c r="I788" s="10">
        <v>45564</v>
      </c>
    </row>
    <row r="789" spans="1:9" x14ac:dyDescent="0.15">
      <c r="A789" s="9">
        <v>788</v>
      </c>
      <c r="B789" s="9" t="s">
        <v>9</v>
      </c>
      <c r="C789" s="9">
        <v>1917</v>
      </c>
      <c r="D789" s="10">
        <v>45653</v>
      </c>
      <c r="E789" s="9" t="str">
        <f>+HYPERLINK("http://trademark.i-assist.jp/data/china/image_1917th/81173872.pdf","81173872")</f>
        <v>81173872</v>
      </c>
      <c r="F789" s="9" t="s">
        <v>2204</v>
      </c>
      <c r="G789" s="9" t="s">
        <v>2205</v>
      </c>
      <c r="H789" s="12" t="s">
        <v>2206</v>
      </c>
      <c r="I789" s="10">
        <v>45564</v>
      </c>
    </row>
    <row r="790" spans="1:9" x14ac:dyDescent="0.15">
      <c r="A790" s="9">
        <v>789</v>
      </c>
      <c r="B790" s="9" t="s">
        <v>9</v>
      </c>
      <c r="C790" s="9">
        <v>1917</v>
      </c>
      <c r="D790" s="10">
        <v>45653</v>
      </c>
      <c r="E790" s="9" t="str">
        <f>+HYPERLINK("http://trademark.i-assist.jp/data/china/image_1917th/81174866.pdf","81174866")</f>
        <v>81174866</v>
      </c>
      <c r="F790" s="12" t="s">
        <v>2207</v>
      </c>
      <c r="G790" s="12" t="s">
        <v>2208</v>
      </c>
      <c r="H790" s="9" t="s">
        <v>2209</v>
      </c>
      <c r="I790" s="10">
        <v>45564</v>
      </c>
    </row>
    <row r="791" spans="1:9" x14ac:dyDescent="0.15">
      <c r="A791" s="9">
        <v>790</v>
      </c>
      <c r="B791" s="9" t="s">
        <v>9</v>
      </c>
      <c r="C791" s="9">
        <v>1917</v>
      </c>
      <c r="D791" s="10">
        <v>45653</v>
      </c>
      <c r="E791" s="9" t="str">
        <f>+HYPERLINK("http://trademark.i-assist.jp/data/china/image_1917th/81175359.pdf","81175359")</f>
        <v>81175359</v>
      </c>
      <c r="F791" s="9" t="s">
        <v>2210</v>
      </c>
      <c r="G791" s="12" t="s">
        <v>2211</v>
      </c>
      <c r="H791" s="9" t="s">
        <v>2212</v>
      </c>
      <c r="I791" s="10">
        <v>45564</v>
      </c>
    </row>
    <row r="792" spans="1:9" x14ac:dyDescent="0.15">
      <c r="A792" s="9">
        <v>791</v>
      </c>
      <c r="B792" s="9" t="s">
        <v>9</v>
      </c>
      <c r="C792" s="9">
        <v>1917</v>
      </c>
      <c r="D792" s="10">
        <v>45653</v>
      </c>
      <c r="E792" s="9" t="str">
        <f>+HYPERLINK("http://trademark.i-assist.jp/data/china/image_1917th/81176584.pdf","81176584")</f>
        <v>81176584</v>
      </c>
      <c r="F792" s="9" t="s">
        <v>2213</v>
      </c>
      <c r="G792" s="9" t="s">
        <v>2214</v>
      </c>
      <c r="H792" s="9" t="s">
        <v>2215</v>
      </c>
      <c r="I792" s="10">
        <v>45564</v>
      </c>
    </row>
    <row r="793" spans="1:9" x14ac:dyDescent="0.15">
      <c r="A793" s="9">
        <v>792</v>
      </c>
      <c r="B793" s="9" t="s">
        <v>9</v>
      </c>
      <c r="C793" s="9">
        <v>1917</v>
      </c>
      <c r="D793" s="10">
        <v>45653</v>
      </c>
      <c r="E793" s="9" t="str">
        <f>+HYPERLINK("http://trademark.i-assist.jp/data/china/image_1917th/81176758.pdf","81176758")</f>
        <v>81176758</v>
      </c>
      <c r="F793" s="9" t="s">
        <v>2216</v>
      </c>
      <c r="G793" s="12" t="s">
        <v>2217</v>
      </c>
      <c r="H793" s="9" t="s">
        <v>2218</v>
      </c>
      <c r="I793" s="10">
        <v>45564</v>
      </c>
    </row>
    <row r="794" spans="1:9" x14ac:dyDescent="0.15">
      <c r="A794" s="9">
        <v>793</v>
      </c>
      <c r="B794" s="9" t="s">
        <v>9</v>
      </c>
      <c r="C794" s="9">
        <v>1917</v>
      </c>
      <c r="D794" s="10">
        <v>45653</v>
      </c>
      <c r="E794" s="9" t="str">
        <f>+HYPERLINK("http://trademark.i-assist.jp/data/china/image_1917th/81177009.pdf","81177009")</f>
        <v>81177009</v>
      </c>
      <c r="F794" s="9" t="s">
        <v>2219</v>
      </c>
      <c r="G794" s="12" t="s">
        <v>2220</v>
      </c>
      <c r="H794" s="9" t="s">
        <v>2221</v>
      </c>
      <c r="I794" s="10">
        <v>45564</v>
      </c>
    </row>
    <row r="795" spans="1:9" x14ac:dyDescent="0.15">
      <c r="A795" s="9">
        <v>794</v>
      </c>
      <c r="B795" s="9" t="s">
        <v>9</v>
      </c>
      <c r="C795" s="9">
        <v>1917</v>
      </c>
      <c r="D795" s="10">
        <v>45653</v>
      </c>
      <c r="E795" s="9" t="str">
        <f>+HYPERLINK("http://trademark.i-assist.jp/data/china/image_1917th/81177045.pdf","81177045")</f>
        <v>81177045</v>
      </c>
      <c r="F795" s="9" t="s">
        <v>2222</v>
      </c>
      <c r="G795" s="9" t="s">
        <v>2223</v>
      </c>
      <c r="H795" s="9" t="s">
        <v>2224</v>
      </c>
      <c r="I795" s="10">
        <v>45564</v>
      </c>
    </row>
    <row r="796" spans="1:9" x14ac:dyDescent="0.15">
      <c r="A796" s="9">
        <v>795</v>
      </c>
      <c r="B796" s="9" t="s">
        <v>9</v>
      </c>
      <c r="C796" s="9">
        <v>1917</v>
      </c>
      <c r="D796" s="10">
        <v>45653</v>
      </c>
      <c r="E796" s="9" t="str">
        <f>+HYPERLINK("http://trademark.i-assist.jp/data/china/image_1917th/81177287.pdf","81177287")</f>
        <v>81177287</v>
      </c>
      <c r="F796" s="9" t="s">
        <v>2225</v>
      </c>
      <c r="G796" s="12" t="s">
        <v>2226</v>
      </c>
      <c r="H796" s="9" t="s">
        <v>2227</v>
      </c>
      <c r="I796" s="10">
        <v>45564</v>
      </c>
    </row>
    <row r="797" spans="1:9" x14ac:dyDescent="0.15">
      <c r="A797" s="9">
        <v>796</v>
      </c>
      <c r="B797" s="9" t="s">
        <v>9</v>
      </c>
      <c r="C797" s="9">
        <v>1917</v>
      </c>
      <c r="D797" s="10">
        <v>45653</v>
      </c>
      <c r="E797" s="9" t="str">
        <f>+HYPERLINK("http://trademark.i-assist.jp/data/china/image_1917th/81177309.pdf","81177309")</f>
        <v>81177309</v>
      </c>
      <c r="F797" s="9" t="s">
        <v>2228</v>
      </c>
      <c r="G797" s="12" t="s">
        <v>19</v>
      </c>
      <c r="H797" s="9" t="s">
        <v>2229</v>
      </c>
      <c r="I797" s="10">
        <v>45564</v>
      </c>
    </row>
    <row r="798" spans="1:9" x14ac:dyDescent="0.15">
      <c r="A798" s="9">
        <v>797</v>
      </c>
      <c r="B798" s="9" t="s">
        <v>9</v>
      </c>
      <c r="C798" s="9">
        <v>1917</v>
      </c>
      <c r="D798" s="10">
        <v>45653</v>
      </c>
      <c r="E798" s="9" t="str">
        <f>+HYPERLINK("http://trademark.i-assist.jp/data/china/image_1917th/81178019.pdf","81178019")</f>
        <v>81178019</v>
      </c>
      <c r="F798" s="9" t="s">
        <v>2230</v>
      </c>
      <c r="G798" s="9" t="s">
        <v>2205</v>
      </c>
      <c r="H798" s="9" t="s">
        <v>2231</v>
      </c>
      <c r="I798" s="10">
        <v>45564</v>
      </c>
    </row>
    <row r="799" spans="1:9" x14ac:dyDescent="0.15">
      <c r="A799" s="9">
        <v>798</v>
      </c>
      <c r="B799" s="9" t="s">
        <v>9</v>
      </c>
      <c r="C799" s="9">
        <v>1917</v>
      </c>
      <c r="D799" s="10">
        <v>45653</v>
      </c>
      <c r="E799" s="9" t="str">
        <f>+HYPERLINK("http://trademark.i-assist.jp/data/china/image_1917th/81178055.pdf","81178055")</f>
        <v>81178055</v>
      </c>
      <c r="F799" s="12" t="s">
        <v>2232</v>
      </c>
      <c r="G799" s="12" t="s">
        <v>2233</v>
      </c>
      <c r="H799" s="9" t="s">
        <v>2234</v>
      </c>
      <c r="I799" s="10">
        <v>45564</v>
      </c>
    </row>
    <row r="800" spans="1:9" x14ac:dyDescent="0.15">
      <c r="A800" s="9">
        <v>799</v>
      </c>
      <c r="B800" s="9" t="s">
        <v>9</v>
      </c>
      <c r="C800" s="9">
        <v>1917</v>
      </c>
      <c r="D800" s="10">
        <v>45653</v>
      </c>
      <c r="E800" s="9" t="str">
        <f>+HYPERLINK("http://trademark.i-assist.jp/data/china/image_1917th/81178217.pdf","81178217")</f>
        <v>81178217</v>
      </c>
      <c r="F800" s="12" t="s">
        <v>2235</v>
      </c>
      <c r="G800" s="9" t="s">
        <v>28</v>
      </c>
      <c r="H800" s="9" t="s">
        <v>2236</v>
      </c>
      <c r="I800" s="10">
        <v>45564</v>
      </c>
    </row>
    <row r="801" spans="1:9" x14ac:dyDescent="0.15">
      <c r="A801" s="9">
        <v>800</v>
      </c>
      <c r="B801" s="9" t="s">
        <v>9</v>
      </c>
      <c r="C801" s="9">
        <v>1917</v>
      </c>
      <c r="D801" s="10">
        <v>45653</v>
      </c>
      <c r="E801" s="9" t="str">
        <f>+HYPERLINK("http://trademark.i-assist.jp/data/china/image_1917th/81178242.pdf","81178242")</f>
        <v>81178242</v>
      </c>
      <c r="F801" s="9" t="s">
        <v>2237</v>
      </c>
      <c r="G801" s="9" t="s">
        <v>2238</v>
      </c>
      <c r="H801" s="9" t="s">
        <v>2239</v>
      </c>
      <c r="I801" s="10">
        <v>45564</v>
      </c>
    </row>
    <row r="802" spans="1:9" x14ac:dyDescent="0.15">
      <c r="A802" s="9">
        <v>801</v>
      </c>
      <c r="B802" s="9" t="s">
        <v>9</v>
      </c>
      <c r="C802" s="9">
        <v>1917</v>
      </c>
      <c r="D802" s="10">
        <v>45653</v>
      </c>
      <c r="E802" s="9" t="str">
        <f>+HYPERLINK("http://trademark.i-assist.jp/data/china/image_1917th/81178351.pdf","81178351")</f>
        <v>81178351</v>
      </c>
      <c r="F802" s="12" t="s">
        <v>12</v>
      </c>
      <c r="G802" s="9" t="s">
        <v>2240</v>
      </c>
      <c r="H802" s="9" t="s">
        <v>2241</v>
      </c>
      <c r="I802" s="10">
        <v>45564</v>
      </c>
    </row>
    <row r="803" spans="1:9" x14ac:dyDescent="0.15">
      <c r="A803" s="9">
        <v>802</v>
      </c>
      <c r="B803" s="9" t="s">
        <v>9</v>
      </c>
      <c r="C803" s="9">
        <v>1917</v>
      </c>
      <c r="D803" s="10">
        <v>45653</v>
      </c>
      <c r="E803" s="9" t="str">
        <f>+HYPERLINK("http://trademark.i-assist.jp/data/china/image_1917th/81178366.pdf","81178366")</f>
        <v>81178366</v>
      </c>
      <c r="F803" s="9" t="s">
        <v>2242</v>
      </c>
      <c r="G803" s="9" t="s">
        <v>2243</v>
      </c>
      <c r="H803" s="9" t="s">
        <v>2244</v>
      </c>
      <c r="I803" s="10">
        <v>45564</v>
      </c>
    </row>
    <row r="804" spans="1:9" x14ac:dyDescent="0.15">
      <c r="A804" s="9">
        <v>803</v>
      </c>
      <c r="B804" s="9" t="s">
        <v>9</v>
      </c>
      <c r="C804" s="9">
        <v>1917</v>
      </c>
      <c r="D804" s="10">
        <v>45653</v>
      </c>
      <c r="E804" s="9" t="str">
        <f>+HYPERLINK("http://trademark.i-assist.jp/data/china/image_1917th/81178378.pdf","81178378")</f>
        <v>81178378</v>
      </c>
      <c r="F804" s="9" t="s">
        <v>2245</v>
      </c>
      <c r="G804" s="9" t="s">
        <v>2246</v>
      </c>
      <c r="H804" s="9" t="s">
        <v>2247</v>
      </c>
      <c r="I804" s="10">
        <v>45564</v>
      </c>
    </row>
    <row r="805" spans="1:9" x14ac:dyDescent="0.15">
      <c r="A805" s="9">
        <v>804</v>
      </c>
      <c r="B805" s="9" t="s">
        <v>9</v>
      </c>
      <c r="C805" s="9">
        <v>1917</v>
      </c>
      <c r="D805" s="10">
        <v>45653</v>
      </c>
      <c r="E805" s="9" t="str">
        <f>+HYPERLINK("http://trademark.i-assist.jp/data/china/image_1917th/81178645.pdf","81178645")</f>
        <v>81178645</v>
      </c>
      <c r="F805" s="9" t="s">
        <v>2248</v>
      </c>
      <c r="G805" s="9" t="s">
        <v>2249</v>
      </c>
      <c r="H805" s="9" t="s">
        <v>2250</v>
      </c>
      <c r="I805" s="10">
        <v>45564</v>
      </c>
    </row>
    <row r="806" spans="1:9" x14ac:dyDescent="0.15">
      <c r="A806" s="9">
        <v>805</v>
      </c>
      <c r="B806" s="9" t="s">
        <v>9</v>
      </c>
      <c r="C806" s="9">
        <v>1917</v>
      </c>
      <c r="D806" s="10">
        <v>45653</v>
      </c>
      <c r="E806" s="9" t="str">
        <f>+HYPERLINK("http://trademark.i-assist.jp/data/china/image_1917th/81179326.pdf","81179326")</f>
        <v>81179326</v>
      </c>
      <c r="F806" s="9" t="s">
        <v>2251</v>
      </c>
      <c r="G806" s="9" t="s">
        <v>2252</v>
      </c>
      <c r="H806" s="12" t="s">
        <v>2253</v>
      </c>
      <c r="I806" s="10">
        <v>45564</v>
      </c>
    </row>
    <row r="807" spans="1:9" x14ac:dyDescent="0.15">
      <c r="A807" s="9">
        <v>806</v>
      </c>
      <c r="B807" s="9" t="s">
        <v>9</v>
      </c>
      <c r="C807" s="9">
        <v>1917</v>
      </c>
      <c r="D807" s="10">
        <v>45653</v>
      </c>
      <c r="E807" s="9" t="str">
        <f>+HYPERLINK("http://trademark.i-assist.jp/data/china/image_1917th/81180255.pdf","81180255")</f>
        <v>81180255</v>
      </c>
      <c r="F807" s="9" t="s">
        <v>2254</v>
      </c>
      <c r="G807" s="12" t="s">
        <v>14</v>
      </c>
      <c r="H807" s="9" t="s">
        <v>2255</v>
      </c>
      <c r="I807" s="10">
        <v>45564</v>
      </c>
    </row>
    <row r="808" spans="1:9" x14ac:dyDescent="0.15">
      <c r="A808" s="9">
        <v>807</v>
      </c>
      <c r="B808" s="9" t="s">
        <v>9</v>
      </c>
      <c r="C808" s="9">
        <v>1917</v>
      </c>
      <c r="D808" s="10">
        <v>45653</v>
      </c>
      <c r="E808" s="9" t="str">
        <f>+HYPERLINK("http://trademark.i-assist.jp/data/china/image_1917th/81180726.pdf","81180726")</f>
        <v>81180726</v>
      </c>
      <c r="F808" s="9" t="s">
        <v>2256</v>
      </c>
      <c r="G808" s="9" t="s">
        <v>2257</v>
      </c>
      <c r="H808" s="9" t="s">
        <v>2258</v>
      </c>
      <c r="I808" s="10">
        <v>45564</v>
      </c>
    </row>
    <row r="809" spans="1:9" x14ac:dyDescent="0.15">
      <c r="A809" s="9">
        <v>808</v>
      </c>
      <c r="B809" s="9" t="s">
        <v>9</v>
      </c>
      <c r="C809" s="9">
        <v>1917</v>
      </c>
      <c r="D809" s="10">
        <v>45653</v>
      </c>
      <c r="E809" s="9" t="str">
        <f>+HYPERLINK("http://trademark.i-assist.jp/data/china/image_1917th/81181018.pdf","81181018")</f>
        <v>81181018</v>
      </c>
      <c r="F809" s="9" t="s">
        <v>2259</v>
      </c>
      <c r="G809" s="9" t="s">
        <v>2260</v>
      </c>
      <c r="H809" s="9" t="s">
        <v>2261</v>
      </c>
      <c r="I809" s="10">
        <v>45564</v>
      </c>
    </row>
    <row r="810" spans="1:9" x14ac:dyDescent="0.15">
      <c r="A810" s="9">
        <v>809</v>
      </c>
      <c r="B810" s="9" t="s">
        <v>9</v>
      </c>
      <c r="C810" s="9">
        <v>1917</v>
      </c>
      <c r="D810" s="10">
        <v>45653</v>
      </c>
      <c r="E810" s="9" t="str">
        <f>+HYPERLINK("http://trademark.i-assist.jp/data/china/image_1917th/81181634.pdf","81181634")</f>
        <v>81181634</v>
      </c>
      <c r="F810" s="9" t="s">
        <v>2262</v>
      </c>
      <c r="G810" s="12" t="s">
        <v>2226</v>
      </c>
      <c r="H810" s="9" t="s">
        <v>2263</v>
      </c>
      <c r="I810" s="10">
        <v>45564</v>
      </c>
    </row>
    <row r="811" spans="1:9" x14ac:dyDescent="0.15">
      <c r="A811" s="9">
        <v>810</v>
      </c>
      <c r="B811" s="9" t="s">
        <v>9</v>
      </c>
      <c r="C811" s="9">
        <v>1917</v>
      </c>
      <c r="D811" s="10">
        <v>45653</v>
      </c>
      <c r="E811" s="9" t="str">
        <f>+HYPERLINK("http://trademark.i-assist.jp/data/china/image_1917th/81181745.pdf","81181745")</f>
        <v>81181745</v>
      </c>
      <c r="F811" s="12" t="s">
        <v>12</v>
      </c>
      <c r="G811" s="12" t="s">
        <v>2264</v>
      </c>
      <c r="H811" s="9" t="s">
        <v>2265</v>
      </c>
      <c r="I811" s="10">
        <v>45564</v>
      </c>
    </row>
    <row r="812" spans="1:9" x14ac:dyDescent="0.15">
      <c r="A812" s="9">
        <v>811</v>
      </c>
      <c r="B812" s="9" t="s">
        <v>9</v>
      </c>
      <c r="C812" s="9">
        <v>1917</v>
      </c>
      <c r="D812" s="10">
        <v>45653</v>
      </c>
      <c r="E812" s="9" t="str">
        <f>+HYPERLINK("http://trademark.i-assist.jp/data/china/image_1917th/81182069.pdf","81182069")</f>
        <v>81182069</v>
      </c>
      <c r="F812" s="12" t="s">
        <v>2266</v>
      </c>
      <c r="G812" s="9" t="s">
        <v>2267</v>
      </c>
      <c r="H812" s="9" t="s">
        <v>2268</v>
      </c>
      <c r="I812" s="10">
        <v>45564</v>
      </c>
    </row>
    <row r="813" spans="1:9" x14ac:dyDescent="0.15">
      <c r="A813" s="9">
        <v>812</v>
      </c>
      <c r="B813" s="9" t="s">
        <v>9</v>
      </c>
      <c r="C813" s="9">
        <v>1917</v>
      </c>
      <c r="D813" s="10">
        <v>45653</v>
      </c>
      <c r="E813" s="9" t="str">
        <f>+HYPERLINK("http://trademark.i-assist.jp/data/china/image_1917th/81182271.pdf","81182271")</f>
        <v>81182271</v>
      </c>
      <c r="F813" s="12" t="s">
        <v>12</v>
      </c>
      <c r="G813" s="9" t="s">
        <v>2269</v>
      </c>
      <c r="H813" s="9" t="s">
        <v>2270</v>
      </c>
      <c r="I813" s="10">
        <v>45564</v>
      </c>
    </row>
    <row r="814" spans="1:9" x14ac:dyDescent="0.15">
      <c r="A814" s="9">
        <v>813</v>
      </c>
      <c r="B814" s="9" t="s">
        <v>9</v>
      </c>
      <c r="C814" s="9">
        <v>1917</v>
      </c>
      <c r="D814" s="10">
        <v>45653</v>
      </c>
      <c r="E814" s="9" t="str">
        <f>+HYPERLINK("http://trademark.i-assist.jp/data/china/image_1917th/81183066.pdf","81183066")</f>
        <v>81183066</v>
      </c>
      <c r="F814" s="9" t="s">
        <v>2271</v>
      </c>
      <c r="G814" s="9" t="s">
        <v>2272</v>
      </c>
      <c r="H814" s="9" t="s">
        <v>2273</v>
      </c>
      <c r="I814" s="10">
        <v>45564</v>
      </c>
    </row>
    <row r="815" spans="1:9" x14ac:dyDescent="0.15">
      <c r="A815" s="9">
        <v>814</v>
      </c>
      <c r="B815" s="9" t="s">
        <v>9</v>
      </c>
      <c r="C815" s="9">
        <v>1917</v>
      </c>
      <c r="D815" s="10">
        <v>45653</v>
      </c>
      <c r="E815" s="9" t="str">
        <f>+HYPERLINK("http://trademark.i-assist.jp/data/china/image_1917th/81183314.pdf","81183314")</f>
        <v>81183314</v>
      </c>
      <c r="F815" s="9" t="s">
        <v>2274</v>
      </c>
      <c r="G815" s="12" t="s">
        <v>2275</v>
      </c>
      <c r="H815" s="9" t="s">
        <v>2276</v>
      </c>
      <c r="I815" s="10">
        <v>45564</v>
      </c>
    </row>
    <row r="816" spans="1:9" x14ac:dyDescent="0.15">
      <c r="A816" s="9">
        <v>815</v>
      </c>
      <c r="B816" s="9" t="s">
        <v>9</v>
      </c>
      <c r="C816" s="9">
        <v>1917</v>
      </c>
      <c r="D816" s="10">
        <v>45653</v>
      </c>
      <c r="E816" s="9" t="str">
        <f>+HYPERLINK("http://trademark.i-assist.jp/data/china/image_1917th/81184626.pdf","81184626")</f>
        <v>81184626</v>
      </c>
      <c r="F816" s="9" t="s">
        <v>2277</v>
      </c>
      <c r="G816" s="9" t="s">
        <v>2278</v>
      </c>
      <c r="H816" s="9" t="s">
        <v>2279</v>
      </c>
      <c r="I816" s="10">
        <v>45564</v>
      </c>
    </row>
    <row r="817" spans="1:9" x14ac:dyDescent="0.15">
      <c r="A817" s="9">
        <v>816</v>
      </c>
      <c r="B817" s="9" t="s">
        <v>9</v>
      </c>
      <c r="C817" s="9">
        <v>1917</v>
      </c>
      <c r="D817" s="10">
        <v>45653</v>
      </c>
      <c r="E817" s="9" t="str">
        <f>+HYPERLINK("http://trademark.i-assist.jp/data/china/image_1917th/81185146.pdf","81185146")</f>
        <v>81185146</v>
      </c>
      <c r="F817" s="9" t="s">
        <v>2280</v>
      </c>
      <c r="G817" s="9" t="s">
        <v>2281</v>
      </c>
      <c r="H817" s="9" t="s">
        <v>2282</v>
      </c>
      <c r="I817" s="10">
        <v>45564</v>
      </c>
    </row>
    <row r="818" spans="1:9" x14ac:dyDescent="0.15">
      <c r="A818" s="9">
        <v>817</v>
      </c>
      <c r="B818" s="9" t="s">
        <v>9</v>
      </c>
      <c r="C818" s="9">
        <v>1917</v>
      </c>
      <c r="D818" s="10">
        <v>45653</v>
      </c>
      <c r="E818" s="9" t="str">
        <f>+HYPERLINK("http://trademark.i-assist.jp/data/china/image_1917th/81185536.pdf","81185536")</f>
        <v>81185536</v>
      </c>
      <c r="F818" s="9" t="s">
        <v>2283</v>
      </c>
      <c r="G818" s="9" t="s">
        <v>2284</v>
      </c>
      <c r="H818" s="9" t="s">
        <v>2285</v>
      </c>
      <c r="I818" s="10">
        <v>45564</v>
      </c>
    </row>
    <row r="819" spans="1:9" x14ac:dyDescent="0.15">
      <c r="A819" s="9">
        <v>818</v>
      </c>
      <c r="B819" s="9" t="s">
        <v>9</v>
      </c>
      <c r="C819" s="9">
        <v>1917</v>
      </c>
      <c r="D819" s="10">
        <v>45653</v>
      </c>
      <c r="E819" s="9" t="str">
        <f>+HYPERLINK("http://trademark.i-assist.jp/data/china/image_1917th/81185779.pdf","81185779")</f>
        <v>81185779</v>
      </c>
      <c r="F819" s="9" t="s">
        <v>2286</v>
      </c>
      <c r="G819" s="12" t="s">
        <v>2287</v>
      </c>
      <c r="H819" s="9" t="s">
        <v>2288</v>
      </c>
      <c r="I819" s="10">
        <v>45564</v>
      </c>
    </row>
    <row r="820" spans="1:9" x14ac:dyDescent="0.15">
      <c r="A820" s="9">
        <v>819</v>
      </c>
      <c r="B820" s="9" t="s">
        <v>9</v>
      </c>
      <c r="C820" s="9">
        <v>1917</v>
      </c>
      <c r="D820" s="10">
        <v>45653</v>
      </c>
      <c r="E820" s="9" t="str">
        <f>+HYPERLINK("http://trademark.i-assist.jp/data/china/image_1917th/81186361.pdf","81186361")</f>
        <v>81186361</v>
      </c>
      <c r="F820" s="9" t="s">
        <v>2289</v>
      </c>
      <c r="G820" s="12" t="s">
        <v>2290</v>
      </c>
      <c r="H820" s="9" t="s">
        <v>2291</v>
      </c>
      <c r="I820" s="10">
        <v>45564</v>
      </c>
    </row>
    <row r="821" spans="1:9" x14ac:dyDescent="0.15">
      <c r="A821" s="9">
        <v>820</v>
      </c>
      <c r="B821" s="9" t="s">
        <v>9</v>
      </c>
      <c r="C821" s="9">
        <v>1917</v>
      </c>
      <c r="D821" s="10">
        <v>45653</v>
      </c>
      <c r="E821" s="9" t="str">
        <f>+HYPERLINK("http://trademark.i-assist.jp/data/china/image_1917th/81186821.pdf","81186821")</f>
        <v>81186821</v>
      </c>
      <c r="F821" s="9" t="s">
        <v>2292</v>
      </c>
      <c r="G821" s="12" t="s">
        <v>2290</v>
      </c>
      <c r="H821" s="9" t="s">
        <v>2293</v>
      </c>
      <c r="I821" s="10">
        <v>45564</v>
      </c>
    </row>
    <row r="822" spans="1:9" x14ac:dyDescent="0.15">
      <c r="A822" s="9">
        <v>821</v>
      </c>
      <c r="B822" s="9" t="s">
        <v>9</v>
      </c>
      <c r="C822" s="9">
        <v>1917</v>
      </c>
      <c r="D822" s="10">
        <v>45653</v>
      </c>
      <c r="E822" s="9" t="str">
        <f>+HYPERLINK("http://trademark.i-assist.jp/data/china/image_1917th/81186936.pdf","81186936")</f>
        <v>81186936</v>
      </c>
      <c r="F822" s="9" t="s">
        <v>2294</v>
      </c>
      <c r="G822" s="12" t="s">
        <v>2295</v>
      </c>
      <c r="H822" s="9" t="s">
        <v>2296</v>
      </c>
      <c r="I822" s="10">
        <v>45564</v>
      </c>
    </row>
    <row r="823" spans="1:9" x14ac:dyDescent="0.15">
      <c r="A823" s="9">
        <v>822</v>
      </c>
      <c r="B823" s="9" t="s">
        <v>9</v>
      </c>
      <c r="C823" s="9">
        <v>1917</v>
      </c>
      <c r="D823" s="10">
        <v>45653</v>
      </c>
      <c r="E823" s="9" t="str">
        <f>+HYPERLINK("http://trademark.i-assist.jp/data/china/image_1917th/81187396.pdf","81187396")</f>
        <v>81187396</v>
      </c>
      <c r="F823" s="9" t="s">
        <v>2297</v>
      </c>
      <c r="G823" s="9" t="s">
        <v>2298</v>
      </c>
      <c r="H823" s="9" t="s">
        <v>2299</v>
      </c>
      <c r="I823" s="10">
        <v>45564</v>
      </c>
    </row>
    <row r="824" spans="1:9" x14ac:dyDescent="0.15">
      <c r="A824" s="9">
        <v>823</v>
      </c>
      <c r="B824" s="9" t="s">
        <v>9</v>
      </c>
      <c r="C824" s="9">
        <v>1917</v>
      </c>
      <c r="D824" s="10">
        <v>45653</v>
      </c>
      <c r="E824" s="9" t="str">
        <f>+HYPERLINK("http://trademark.i-assist.jp/data/china/image_1917th/81187477.pdf","81187477")</f>
        <v>81187477</v>
      </c>
      <c r="F824" s="9" t="s">
        <v>2300</v>
      </c>
      <c r="G824" s="12" t="s">
        <v>2301</v>
      </c>
      <c r="H824" s="9" t="s">
        <v>2302</v>
      </c>
      <c r="I824" s="10">
        <v>45564</v>
      </c>
    </row>
    <row r="825" spans="1:9" x14ac:dyDescent="0.15">
      <c r="A825" s="9">
        <v>824</v>
      </c>
      <c r="B825" s="9" t="s">
        <v>9</v>
      </c>
      <c r="C825" s="9">
        <v>1917</v>
      </c>
      <c r="D825" s="10">
        <v>45653</v>
      </c>
      <c r="E825" s="9" t="str">
        <f>+HYPERLINK("http://trademark.i-assist.jp/data/china/image_1917th/81188277.pdf","81188277")</f>
        <v>81188277</v>
      </c>
      <c r="F825" s="9" t="s">
        <v>2303</v>
      </c>
      <c r="G825" s="12" t="s">
        <v>2304</v>
      </c>
      <c r="H825" s="9" t="s">
        <v>2305</v>
      </c>
      <c r="I825" s="10">
        <v>45564</v>
      </c>
    </row>
    <row r="826" spans="1:9" x14ac:dyDescent="0.15">
      <c r="A826" s="9">
        <v>825</v>
      </c>
      <c r="B826" s="9" t="s">
        <v>9</v>
      </c>
      <c r="C826" s="9">
        <v>1917</v>
      </c>
      <c r="D826" s="10">
        <v>45653</v>
      </c>
      <c r="E826" s="9" t="str">
        <f>+HYPERLINK("http://trademark.i-assist.jp/data/china/image_1917th/81188393.pdf","81188393")</f>
        <v>81188393</v>
      </c>
      <c r="F826" s="9" t="s">
        <v>2306</v>
      </c>
      <c r="G826" s="9" t="s">
        <v>2307</v>
      </c>
      <c r="H826" s="9" t="s">
        <v>2308</v>
      </c>
      <c r="I826" s="10">
        <v>45564</v>
      </c>
    </row>
    <row r="827" spans="1:9" x14ac:dyDescent="0.15">
      <c r="A827" s="9">
        <v>826</v>
      </c>
      <c r="B827" s="9" t="s">
        <v>9</v>
      </c>
      <c r="C827" s="9">
        <v>1917</v>
      </c>
      <c r="D827" s="10">
        <v>45653</v>
      </c>
      <c r="E827" s="9" t="str">
        <f>+HYPERLINK("http://trademark.i-assist.jp/data/china/image_1917th/81189244.pdf","81189244")</f>
        <v>81189244</v>
      </c>
      <c r="F827" s="9" t="s">
        <v>2309</v>
      </c>
      <c r="G827" s="9" t="s">
        <v>2310</v>
      </c>
      <c r="H827" s="9" t="s">
        <v>2311</v>
      </c>
      <c r="I827" s="10">
        <v>45564</v>
      </c>
    </row>
    <row r="828" spans="1:9" x14ac:dyDescent="0.15">
      <c r="A828" s="9">
        <v>827</v>
      </c>
      <c r="B828" s="9" t="s">
        <v>9</v>
      </c>
      <c r="C828" s="9">
        <v>1917</v>
      </c>
      <c r="D828" s="10">
        <v>45653</v>
      </c>
      <c r="E828" s="9" t="str">
        <f>+HYPERLINK("http://trademark.i-assist.jp/data/china/image_1917th/81189445.pdf","81189445")</f>
        <v>81189445</v>
      </c>
      <c r="F828" s="9" t="s">
        <v>2312</v>
      </c>
      <c r="G828" s="9" t="s">
        <v>2313</v>
      </c>
      <c r="H828" s="12" t="s">
        <v>2314</v>
      </c>
      <c r="I828" s="10">
        <v>45564</v>
      </c>
    </row>
    <row r="829" spans="1:9" x14ac:dyDescent="0.15">
      <c r="A829" s="9">
        <v>828</v>
      </c>
      <c r="B829" s="9" t="s">
        <v>9</v>
      </c>
      <c r="C829" s="9">
        <v>1917</v>
      </c>
      <c r="D829" s="10">
        <v>45653</v>
      </c>
      <c r="E829" s="9" t="str">
        <f>+HYPERLINK("http://trademark.i-assist.jp/data/china/image_1917th/81189937.pdf","81189937")</f>
        <v>81189937</v>
      </c>
      <c r="F829" s="9" t="s">
        <v>2315</v>
      </c>
      <c r="G829" s="12" t="s">
        <v>2316</v>
      </c>
      <c r="H829" s="9" t="s">
        <v>2317</v>
      </c>
      <c r="I829" s="10">
        <v>45564</v>
      </c>
    </row>
    <row r="830" spans="1:9" x14ac:dyDescent="0.15">
      <c r="A830" s="9">
        <v>829</v>
      </c>
      <c r="B830" s="9" t="s">
        <v>9</v>
      </c>
      <c r="C830" s="9">
        <v>1917</v>
      </c>
      <c r="D830" s="10">
        <v>45653</v>
      </c>
      <c r="E830" s="9" t="str">
        <f>+HYPERLINK("http://trademark.i-assist.jp/data/china/image_1917th/81190014.pdf","81190014")</f>
        <v>81190014</v>
      </c>
      <c r="F830" s="9" t="s">
        <v>2318</v>
      </c>
      <c r="G830" s="9" t="s">
        <v>2319</v>
      </c>
      <c r="H830" s="9" t="s">
        <v>2320</v>
      </c>
      <c r="I830" s="10">
        <v>45564</v>
      </c>
    </row>
    <row r="831" spans="1:9" x14ac:dyDescent="0.15">
      <c r="A831" s="9">
        <v>830</v>
      </c>
      <c r="B831" s="9" t="s">
        <v>9</v>
      </c>
      <c r="C831" s="9">
        <v>1917</v>
      </c>
      <c r="D831" s="10">
        <v>45653</v>
      </c>
      <c r="E831" s="9" t="str">
        <f>+HYPERLINK("http://trademark.i-assist.jp/data/china/image_1917th/81190189.pdf","81190189")</f>
        <v>81190189</v>
      </c>
      <c r="F831" s="9" t="s">
        <v>2321</v>
      </c>
      <c r="G831" s="9" t="s">
        <v>2322</v>
      </c>
      <c r="H831" s="9" t="s">
        <v>2323</v>
      </c>
      <c r="I831" s="10">
        <v>45564</v>
      </c>
    </row>
    <row r="832" spans="1:9" x14ac:dyDescent="0.15">
      <c r="A832" s="9">
        <v>831</v>
      </c>
      <c r="B832" s="9" t="s">
        <v>9</v>
      </c>
      <c r="C832" s="9">
        <v>1917</v>
      </c>
      <c r="D832" s="10">
        <v>45653</v>
      </c>
      <c r="E832" s="9" t="str">
        <f>+HYPERLINK("http://trademark.i-assist.jp/data/china/image_1917th/81190531.pdf","81190531")</f>
        <v>81190531</v>
      </c>
      <c r="F832" s="9" t="s">
        <v>2324</v>
      </c>
      <c r="G832" s="9" t="s">
        <v>2325</v>
      </c>
      <c r="H832" s="9" t="s">
        <v>2326</v>
      </c>
      <c r="I832" s="10">
        <v>45564</v>
      </c>
    </row>
    <row r="833" spans="1:9" x14ac:dyDescent="0.15">
      <c r="A833" s="9">
        <v>832</v>
      </c>
      <c r="B833" s="9" t="s">
        <v>9</v>
      </c>
      <c r="C833" s="9">
        <v>1917</v>
      </c>
      <c r="D833" s="10">
        <v>45653</v>
      </c>
      <c r="E833" s="9" t="str">
        <f>+HYPERLINK("http://trademark.i-assist.jp/data/china/image_1917th/81191073.pdf","81191073")</f>
        <v>81191073</v>
      </c>
      <c r="F833" s="12" t="s">
        <v>2327</v>
      </c>
      <c r="G833" s="12" t="s">
        <v>2328</v>
      </c>
      <c r="H833" s="12" t="s">
        <v>2329</v>
      </c>
      <c r="I833" s="10">
        <v>45564</v>
      </c>
    </row>
    <row r="834" spans="1:9" x14ac:dyDescent="0.15">
      <c r="A834" s="9">
        <v>833</v>
      </c>
      <c r="B834" s="9" t="s">
        <v>9</v>
      </c>
      <c r="C834" s="9">
        <v>1917</v>
      </c>
      <c r="D834" s="10">
        <v>45653</v>
      </c>
      <c r="E834" s="9" t="str">
        <f>+HYPERLINK("http://trademark.i-assist.jp/data/china/image_1917th/81191804.pdf","81191804")</f>
        <v>81191804</v>
      </c>
      <c r="F834" s="12" t="s">
        <v>12</v>
      </c>
      <c r="G834" s="9" t="s">
        <v>2330</v>
      </c>
      <c r="H834" s="9" t="s">
        <v>2331</v>
      </c>
      <c r="I834" s="10">
        <v>45564</v>
      </c>
    </row>
    <row r="835" spans="1:9" x14ac:dyDescent="0.15">
      <c r="A835" s="9">
        <v>834</v>
      </c>
      <c r="B835" s="9" t="s">
        <v>9</v>
      </c>
      <c r="C835" s="9">
        <v>1917</v>
      </c>
      <c r="D835" s="10">
        <v>45653</v>
      </c>
      <c r="E835" s="9" t="str">
        <f>+HYPERLINK("http://trademark.i-assist.jp/data/china/image_1917th/81191899.pdf","81191899")</f>
        <v>81191899</v>
      </c>
      <c r="F835" s="9" t="s">
        <v>2332</v>
      </c>
      <c r="G835" s="12" t="s">
        <v>2290</v>
      </c>
      <c r="H835" s="12" t="s">
        <v>2333</v>
      </c>
      <c r="I835" s="10">
        <v>45564</v>
      </c>
    </row>
    <row r="836" spans="1:9" x14ac:dyDescent="0.15">
      <c r="A836" s="9">
        <v>835</v>
      </c>
      <c r="B836" s="9" t="s">
        <v>9</v>
      </c>
      <c r="C836" s="9">
        <v>1917</v>
      </c>
      <c r="D836" s="10">
        <v>45653</v>
      </c>
      <c r="E836" s="9" t="str">
        <f>+HYPERLINK("http://trademark.i-assist.jp/data/china/image_1917th/81192161.pdf","81192161")</f>
        <v>81192161</v>
      </c>
      <c r="F836" s="9" t="s">
        <v>2334</v>
      </c>
      <c r="G836" s="9" t="s">
        <v>2335</v>
      </c>
      <c r="H836" s="12" t="s">
        <v>2336</v>
      </c>
      <c r="I836" s="10">
        <v>45564</v>
      </c>
    </row>
    <row r="837" spans="1:9" x14ac:dyDescent="0.15">
      <c r="A837" s="9">
        <v>836</v>
      </c>
      <c r="B837" s="9" t="s">
        <v>9</v>
      </c>
      <c r="C837" s="9">
        <v>1917</v>
      </c>
      <c r="D837" s="10">
        <v>45653</v>
      </c>
      <c r="E837" s="9" t="str">
        <f>+HYPERLINK("http://trademark.i-assist.jp/data/china/image_1917th/81193188.pdf","81193188")</f>
        <v>81193188</v>
      </c>
      <c r="F837" s="9" t="s">
        <v>2337</v>
      </c>
      <c r="G837" s="9" t="s">
        <v>2338</v>
      </c>
      <c r="H837" s="9" t="s">
        <v>2339</v>
      </c>
      <c r="I837" s="10">
        <v>45564</v>
      </c>
    </row>
    <row r="838" spans="1:9" x14ac:dyDescent="0.15">
      <c r="A838" s="9">
        <v>837</v>
      </c>
      <c r="B838" s="9" t="s">
        <v>9</v>
      </c>
      <c r="C838" s="9">
        <v>1917</v>
      </c>
      <c r="D838" s="10">
        <v>45653</v>
      </c>
      <c r="E838" s="9" t="str">
        <f>+HYPERLINK("http://trademark.i-assist.jp/data/china/image_1917th/81193945.pdf","81193945")</f>
        <v>81193945</v>
      </c>
      <c r="F838" s="12" t="s">
        <v>12</v>
      </c>
      <c r="G838" s="9" t="s">
        <v>2340</v>
      </c>
      <c r="H838" s="12" t="s">
        <v>2341</v>
      </c>
      <c r="I838" s="10">
        <v>45564</v>
      </c>
    </row>
    <row r="839" spans="1:9" x14ac:dyDescent="0.15">
      <c r="A839" s="9">
        <v>838</v>
      </c>
      <c r="B839" s="9" t="s">
        <v>9</v>
      </c>
      <c r="C839" s="9">
        <v>1917</v>
      </c>
      <c r="D839" s="10">
        <v>45653</v>
      </c>
      <c r="E839" s="9" t="str">
        <f>+HYPERLINK("http://trademark.i-assist.jp/data/china/image_1917th/81194553.pdf","81194553")</f>
        <v>81194553</v>
      </c>
      <c r="F839" s="9" t="s">
        <v>2342</v>
      </c>
      <c r="G839" s="9" t="s">
        <v>2342</v>
      </c>
      <c r="H839" s="9" t="s">
        <v>2343</v>
      </c>
      <c r="I839" s="10">
        <v>45564</v>
      </c>
    </row>
    <row r="840" spans="1:9" x14ac:dyDescent="0.15">
      <c r="A840" s="9">
        <v>839</v>
      </c>
      <c r="B840" s="9" t="s">
        <v>9</v>
      </c>
      <c r="C840" s="9">
        <v>1917</v>
      </c>
      <c r="D840" s="10">
        <v>45653</v>
      </c>
      <c r="E840" s="9" t="str">
        <f>+HYPERLINK("http://trademark.i-assist.jp/data/china/image_1917th/81195341.pdf","81195341")</f>
        <v>81195341</v>
      </c>
      <c r="F840" s="9" t="s">
        <v>2344</v>
      </c>
      <c r="G840" s="12" t="s">
        <v>2345</v>
      </c>
      <c r="H840" s="9" t="s">
        <v>2346</v>
      </c>
      <c r="I840" s="10">
        <v>45564</v>
      </c>
    </row>
    <row r="841" spans="1:9" x14ac:dyDescent="0.15">
      <c r="A841" s="9">
        <v>840</v>
      </c>
      <c r="B841" s="9" t="s">
        <v>9</v>
      </c>
      <c r="C841" s="9">
        <v>1917</v>
      </c>
      <c r="D841" s="10">
        <v>45653</v>
      </c>
      <c r="E841" s="9" t="str">
        <f>+HYPERLINK("http://trademark.i-assist.jp/data/china/image_1917th/81195351.pdf","81195351")</f>
        <v>81195351</v>
      </c>
      <c r="F841" s="9" t="s">
        <v>2347</v>
      </c>
      <c r="G841" s="12" t="s">
        <v>2345</v>
      </c>
      <c r="H841" s="9" t="s">
        <v>2348</v>
      </c>
      <c r="I841" s="10">
        <v>45564</v>
      </c>
    </row>
    <row r="842" spans="1:9" x14ac:dyDescent="0.15">
      <c r="A842" s="9">
        <v>841</v>
      </c>
      <c r="B842" s="9" t="s">
        <v>9</v>
      </c>
      <c r="C842" s="9">
        <v>1917</v>
      </c>
      <c r="D842" s="10">
        <v>45653</v>
      </c>
      <c r="E842" s="9" t="str">
        <f>+HYPERLINK("http://trademark.i-assist.jp/data/china/image_1917th/81195385.pdf","81195385")</f>
        <v>81195385</v>
      </c>
      <c r="F842" s="9" t="s">
        <v>2349</v>
      </c>
      <c r="G842" s="12" t="s">
        <v>2350</v>
      </c>
      <c r="H842" s="9" t="s">
        <v>2351</v>
      </c>
      <c r="I842" s="10">
        <v>45564</v>
      </c>
    </row>
    <row r="843" spans="1:9" x14ac:dyDescent="0.15">
      <c r="A843" s="9">
        <v>842</v>
      </c>
      <c r="B843" s="9" t="s">
        <v>9</v>
      </c>
      <c r="C843" s="9">
        <v>1917</v>
      </c>
      <c r="D843" s="10">
        <v>45653</v>
      </c>
      <c r="E843" s="9" t="str">
        <f>+HYPERLINK("http://trademark.i-assist.jp/data/china/image_1917th/81195873.pdf","81195873")</f>
        <v>81195873</v>
      </c>
      <c r="F843" s="12" t="s">
        <v>2352</v>
      </c>
      <c r="G843" s="12" t="s">
        <v>2226</v>
      </c>
      <c r="H843" s="9" t="s">
        <v>2353</v>
      </c>
      <c r="I843" s="10">
        <v>45564</v>
      </c>
    </row>
    <row r="844" spans="1:9" x14ac:dyDescent="0.15">
      <c r="A844" s="9">
        <v>843</v>
      </c>
      <c r="B844" s="9" t="s">
        <v>9</v>
      </c>
      <c r="C844" s="9">
        <v>1917</v>
      </c>
      <c r="D844" s="10">
        <v>45653</v>
      </c>
      <c r="E844" s="9" t="str">
        <f>+HYPERLINK("http://trademark.i-assist.jp/data/china/image_1917th/81195880.pdf","81195880")</f>
        <v>81195880</v>
      </c>
      <c r="F844" s="9" t="s">
        <v>2354</v>
      </c>
      <c r="G844" s="12" t="s">
        <v>2226</v>
      </c>
      <c r="H844" s="9" t="s">
        <v>2355</v>
      </c>
      <c r="I844" s="10">
        <v>45564</v>
      </c>
    </row>
    <row r="845" spans="1:9" x14ac:dyDescent="0.15">
      <c r="A845" s="9">
        <v>844</v>
      </c>
      <c r="B845" s="9" t="s">
        <v>9</v>
      </c>
      <c r="C845" s="9">
        <v>1917</v>
      </c>
      <c r="D845" s="10">
        <v>45653</v>
      </c>
      <c r="E845" s="9" t="str">
        <f>+HYPERLINK("http://trademark.i-assist.jp/data/china/image_1917th/81195952.pdf","81195952")</f>
        <v>81195952</v>
      </c>
      <c r="F845" s="9" t="s">
        <v>2356</v>
      </c>
      <c r="G845" s="9" t="s">
        <v>2357</v>
      </c>
      <c r="H845" s="12" t="s">
        <v>2358</v>
      </c>
      <c r="I845" s="10">
        <v>45564</v>
      </c>
    </row>
    <row r="846" spans="1:9" x14ac:dyDescent="0.15">
      <c r="A846" s="9">
        <v>845</v>
      </c>
      <c r="B846" s="9" t="s">
        <v>9</v>
      </c>
      <c r="C846" s="9">
        <v>1917</v>
      </c>
      <c r="D846" s="10">
        <v>45653</v>
      </c>
      <c r="E846" s="9" t="str">
        <f>+HYPERLINK("http://trademark.i-assist.jp/data/china/image_1917th/81195978.pdf","81195978")</f>
        <v>81195978</v>
      </c>
      <c r="F846" s="9" t="s">
        <v>2359</v>
      </c>
      <c r="G846" s="12" t="s">
        <v>2360</v>
      </c>
      <c r="H846" s="9" t="s">
        <v>2361</v>
      </c>
      <c r="I846" s="10">
        <v>45564</v>
      </c>
    </row>
    <row r="847" spans="1:9" x14ac:dyDescent="0.15">
      <c r="A847" s="9">
        <v>846</v>
      </c>
      <c r="B847" s="9" t="s">
        <v>9</v>
      </c>
      <c r="C847" s="9">
        <v>1917</v>
      </c>
      <c r="D847" s="10">
        <v>45653</v>
      </c>
      <c r="E847" s="9" t="str">
        <f>+HYPERLINK("http://trademark.i-assist.jp/data/china/image_1917th/81196155.pdf","81196155")</f>
        <v>81196155</v>
      </c>
      <c r="F847" s="9" t="s">
        <v>2362</v>
      </c>
      <c r="G847" s="9" t="s">
        <v>2363</v>
      </c>
      <c r="H847" s="9" t="s">
        <v>2364</v>
      </c>
      <c r="I847" s="10">
        <v>45564</v>
      </c>
    </row>
    <row r="848" spans="1:9" x14ac:dyDescent="0.15">
      <c r="A848" s="9">
        <v>847</v>
      </c>
      <c r="B848" s="9" t="s">
        <v>9</v>
      </c>
      <c r="C848" s="9">
        <v>1917</v>
      </c>
      <c r="D848" s="10">
        <v>45653</v>
      </c>
      <c r="E848" s="9" t="str">
        <f>+HYPERLINK("http://trademark.i-assist.jp/data/china/image_1917th/81196238.pdf","81196238")</f>
        <v>81196238</v>
      </c>
      <c r="F848" s="9" t="s">
        <v>2365</v>
      </c>
      <c r="G848" s="9" t="s">
        <v>2366</v>
      </c>
      <c r="H848" s="9" t="s">
        <v>2367</v>
      </c>
      <c r="I848" s="10">
        <v>45564</v>
      </c>
    </row>
    <row r="849" spans="1:9" x14ac:dyDescent="0.15">
      <c r="A849" s="9">
        <v>848</v>
      </c>
      <c r="B849" s="9" t="s">
        <v>9</v>
      </c>
      <c r="C849" s="9">
        <v>1917</v>
      </c>
      <c r="D849" s="10">
        <v>45653</v>
      </c>
      <c r="E849" s="9" t="str">
        <f>+HYPERLINK("http://trademark.i-assist.jp/data/china/image_1917th/81196979.pdf","81196979")</f>
        <v>81196979</v>
      </c>
      <c r="F849" s="9" t="s">
        <v>2368</v>
      </c>
      <c r="G849" s="9" t="s">
        <v>2369</v>
      </c>
      <c r="H849" s="9" t="s">
        <v>2370</v>
      </c>
      <c r="I849" s="10">
        <v>45564</v>
      </c>
    </row>
    <row r="850" spans="1:9" x14ac:dyDescent="0.15">
      <c r="A850" s="9">
        <v>849</v>
      </c>
      <c r="B850" s="9" t="s">
        <v>9</v>
      </c>
      <c r="C850" s="9">
        <v>1917</v>
      </c>
      <c r="D850" s="10">
        <v>45653</v>
      </c>
      <c r="E850" s="9" t="str">
        <f>+HYPERLINK("http://trademark.i-assist.jp/data/china/image_1917th/81197674.pdf","81197674")</f>
        <v>81197674</v>
      </c>
      <c r="F850" s="9" t="s">
        <v>2371</v>
      </c>
      <c r="G850" s="9" t="s">
        <v>2357</v>
      </c>
      <c r="H850" s="9" t="s">
        <v>2372</v>
      </c>
      <c r="I850" s="10">
        <v>45564</v>
      </c>
    </row>
    <row r="851" spans="1:9" x14ac:dyDescent="0.15">
      <c r="A851" s="9">
        <v>850</v>
      </c>
      <c r="B851" s="9" t="s">
        <v>9</v>
      </c>
      <c r="C851" s="9">
        <v>1917</v>
      </c>
      <c r="D851" s="10">
        <v>45653</v>
      </c>
      <c r="E851" s="9" t="str">
        <f>+HYPERLINK("http://trademark.i-assist.jp/data/china/image_1917th/81197739.pdf","81197739")</f>
        <v>81197739</v>
      </c>
      <c r="F851" s="9" t="s">
        <v>2373</v>
      </c>
      <c r="G851" s="9" t="s">
        <v>2374</v>
      </c>
      <c r="H851" s="9" t="s">
        <v>2375</v>
      </c>
      <c r="I851" s="10">
        <v>45564</v>
      </c>
    </row>
    <row r="852" spans="1:9" x14ac:dyDescent="0.15">
      <c r="A852" s="9">
        <v>851</v>
      </c>
      <c r="B852" s="9" t="s">
        <v>9</v>
      </c>
      <c r="C852" s="9">
        <v>1917</v>
      </c>
      <c r="D852" s="10">
        <v>45653</v>
      </c>
      <c r="E852" s="9" t="str">
        <f>+HYPERLINK("http://trademark.i-assist.jp/data/china/image_1917th/81198010.pdf","81198010")</f>
        <v>81198010</v>
      </c>
      <c r="F852" s="12" t="s">
        <v>2376</v>
      </c>
      <c r="G852" s="12" t="s">
        <v>2377</v>
      </c>
      <c r="H852" s="9" t="s">
        <v>2378</v>
      </c>
      <c r="I852" s="10">
        <v>45564</v>
      </c>
    </row>
    <row r="853" spans="1:9" x14ac:dyDescent="0.15">
      <c r="A853" s="9">
        <v>852</v>
      </c>
      <c r="B853" s="9" t="s">
        <v>9</v>
      </c>
      <c r="C853" s="9">
        <v>1917</v>
      </c>
      <c r="D853" s="10">
        <v>45653</v>
      </c>
      <c r="E853" s="9" t="str">
        <f>+HYPERLINK("http://trademark.i-assist.jp/data/china/image_1917th/81198011.pdf","81198011")</f>
        <v>81198011</v>
      </c>
      <c r="F853" s="9" t="s">
        <v>2379</v>
      </c>
      <c r="G853" s="9" t="s">
        <v>2380</v>
      </c>
      <c r="H853" s="9" t="s">
        <v>2381</v>
      </c>
      <c r="I853" s="10">
        <v>45564</v>
      </c>
    </row>
    <row r="854" spans="1:9" x14ac:dyDescent="0.15">
      <c r="A854" s="9">
        <v>853</v>
      </c>
      <c r="B854" s="9" t="s">
        <v>9</v>
      </c>
      <c r="C854" s="9">
        <v>1917</v>
      </c>
      <c r="D854" s="10">
        <v>45653</v>
      </c>
      <c r="E854" s="9" t="str">
        <f>+HYPERLINK("http://trademark.i-assist.jp/data/china/image_1917th/81198712.pdf","81198712")</f>
        <v>81198712</v>
      </c>
      <c r="F854" s="12" t="s">
        <v>12</v>
      </c>
      <c r="G854" s="9" t="s">
        <v>2382</v>
      </c>
      <c r="H854" s="9" t="s">
        <v>2383</v>
      </c>
      <c r="I854" s="10">
        <v>45564</v>
      </c>
    </row>
    <row r="855" spans="1:9" x14ac:dyDescent="0.15">
      <c r="A855" s="9">
        <v>854</v>
      </c>
      <c r="B855" s="9" t="s">
        <v>9</v>
      </c>
      <c r="C855" s="9">
        <v>1917</v>
      </c>
      <c r="D855" s="10">
        <v>45653</v>
      </c>
      <c r="E855" s="9" t="str">
        <f>+HYPERLINK("http://trademark.i-assist.jp/data/china/image_1917th/81198893.pdf","81198893")</f>
        <v>81198893</v>
      </c>
      <c r="F855" s="12" t="s">
        <v>2384</v>
      </c>
      <c r="G855" s="9" t="s">
        <v>2385</v>
      </c>
      <c r="H855" s="9" t="s">
        <v>2386</v>
      </c>
      <c r="I855" s="10">
        <v>45564</v>
      </c>
    </row>
    <row r="856" spans="1:9" x14ac:dyDescent="0.15">
      <c r="A856" s="9">
        <v>855</v>
      </c>
      <c r="B856" s="9" t="s">
        <v>9</v>
      </c>
      <c r="C856" s="9">
        <v>1917</v>
      </c>
      <c r="D856" s="10">
        <v>45653</v>
      </c>
      <c r="E856" s="9" t="str">
        <f>+HYPERLINK("http://trademark.i-assist.jp/data/china/image_1917th/81199274.pdf","81199274")</f>
        <v>81199274</v>
      </c>
      <c r="F856" s="12" t="s">
        <v>2387</v>
      </c>
      <c r="G856" s="9" t="s">
        <v>2357</v>
      </c>
      <c r="H856" s="9" t="s">
        <v>2388</v>
      </c>
      <c r="I856" s="10">
        <v>45564</v>
      </c>
    </row>
    <row r="857" spans="1:9" x14ac:dyDescent="0.15">
      <c r="A857" s="9">
        <v>856</v>
      </c>
      <c r="B857" s="9" t="s">
        <v>9</v>
      </c>
      <c r="C857" s="9">
        <v>1917</v>
      </c>
      <c r="D857" s="10">
        <v>45653</v>
      </c>
      <c r="E857" s="9" t="str">
        <f>+HYPERLINK("http://trademark.i-assist.jp/data/china/image_1917th/81200110.pdf","81200110")</f>
        <v>81200110</v>
      </c>
      <c r="F857" s="11" t="s">
        <v>2389</v>
      </c>
      <c r="G857" s="9" t="s">
        <v>2390</v>
      </c>
      <c r="H857" s="9" t="s">
        <v>2391</v>
      </c>
      <c r="I857" s="10">
        <v>45564</v>
      </c>
    </row>
    <row r="858" spans="1:9" x14ac:dyDescent="0.15">
      <c r="A858" s="9">
        <v>857</v>
      </c>
      <c r="B858" s="9" t="s">
        <v>9</v>
      </c>
      <c r="C858" s="9">
        <v>1917</v>
      </c>
      <c r="D858" s="10">
        <v>45653</v>
      </c>
      <c r="E858" s="9" t="str">
        <f>+HYPERLINK("http://trademark.i-assist.jp/data/china/image_1917th/81200456.pdf","81200456")</f>
        <v>81200456</v>
      </c>
      <c r="F858" s="9" t="s">
        <v>2392</v>
      </c>
      <c r="G858" s="12" t="s">
        <v>2393</v>
      </c>
      <c r="H858" s="9" t="s">
        <v>2394</v>
      </c>
      <c r="I858" s="10">
        <v>45564</v>
      </c>
    </row>
    <row r="859" spans="1:9" x14ac:dyDescent="0.15">
      <c r="A859" s="9">
        <v>858</v>
      </c>
      <c r="B859" s="9" t="s">
        <v>9</v>
      </c>
      <c r="C859" s="9">
        <v>1917</v>
      </c>
      <c r="D859" s="10">
        <v>45653</v>
      </c>
      <c r="E859" s="9" t="str">
        <f>+HYPERLINK("http://trademark.i-assist.jp/data/china/image_1917th/81200909.pdf","81200909")</f>
        <v>81200909</v>
      </c>
      <c r="F859" s="9" t="s">
        <v>2395</v>
      </c>
      <c r="G859" s="9" t="s">
        <v>2396</v>
      </c>
      <c r="H859" s="9" t="s">
        <v>2397</v>
      </c>
      <c r="I859" s="10">
        <v>45564</v>
      </c>
    </row>
    <row r="860" spans="1:9" x14ac:dyDescent="0.15">
      <c r="A860" s="9">
        <v>859</v>
      </c>
      <c r="B860" s="9" t="s">
        <v>9</v>
      </c>
      <c r="C860" s="9">
        <v>1917</v>
      </c>
      <c r="D860" s="10">
        <v>45653</v>
      </c>
      <c r="E860" s="9" t="str">
        <f>+HYPERLINK("http://trademark.i-assist.jp/data/china/image_1917th/81201069.pdf","81201069")</f>
        <v>81201069</v>
      </c>
      <c r="F860" s="9" t="s">
        <v>2398</v>
      </c>
      <c r="G860" s="9" t="s">
        <v>2399</v>
      </c>
      <c r="H860" s="9" t="s">
        <v>2400</v>
      </c>
      <c r="I860" s="10">
        <v>45564</v>
      </c>
    </row>
    <row r="861" spans="1:9" x14ac:dyDescent="0.15">
      <c r="A861" s="9">
        <v>860</v>
      </c>
      <c r="B861" s="9" t="s">
        <v>9</v>
      </c>
      <c r="C861" s="9">
        <v>1917</v>
      </c>
      <c r="D861" s="10">
        <v>45653</v>
      </c>
      <c r="E861" s="9" t="str">
        <f>+HYPERLINK("http://trademark.i-assist.jp/data/china/image_1917th/81201170.pdf","81201170")</f>
        <v>81201170</v>
      </c>
      <c r="F861" s="9" t="s">
        <v>2401</v>
      </c>
      <c r="G861" s="9" t="s">
        <v>2402</v>
      </c>
      <c r="H861" s="12" t="s">
        <v>2403</v>
      </c>
      <c r="I861" s="10">
        <v>45564</v>
      </c>
    </row>
    <row r="862" spans="1:9" x14ac:dyDescent="0.15">
      <c r="A862" s="9">
        <v>861</v>
      </c>
      <c r="B862" s="9" t="s">
        <v>9</v>
      </c>
      <c r="C862" s="9">
        <v>1917</v>
      </c>
      <c r="D862" s="10">
        <v>45653</v>
      </c>
      <c r="E862" s="9" t="str">
        <f>+HYPERLINK("http://trademark.i-assist.jp/data/china/image_1917th/81201187.pdf","81201187")</f>
        <v>81201187</v>
      </c>
      <c r="F862" s="9" t="s">
        <v>2404</v>
      </c>
      <c r="G862" s="9" t="s">
        <v>2405</v>
      </c>
      <c r="H862" s="9" t="s">
        <v>2406</v>
      </c>
      <c r="I862" s="10">
        <v>45564</v>
      </c>
    </row>
    <row r="863" spans="1:9" x14ac:dyDescent="0.15">
      <c r="A863" s="9">
        <v>862</v>
      </c>
      <c r="B863" s="9" t="s">
        <v>9</v>
      </c>
      <c r="C863" s="9">
        <v>1917</v>
      </c>
      <c r="D863" s="10">
        <v>45653</v>
      </c>
      <c r="E863" s="9" t="str">
        <f>+HYPERLINK("http://trademark.i-assist.jp/data/china/image_1917th/81201867.pdf","81201867")</f>
        <v>81201867</v>
      </c>
      <c r="F863" s="9" t="s">
        <v>2407</v>
      </c>
      <c r="G863" s="9" t="s">
        <v>2408</v>
      </c>
      <c r="H863" s="9" t="s">
        <v>2409</v>
      </c>
      <c r="I863" s="10">
        <v>45564</v>
      </c>
    </row>
    <row r="864" spans="1:9" x14ac:dyDescent="0.15">
      <c r="A864" s="9">
        <v>863</v>
      </c>
      <c r="B864" s="9" t="s">
        <v>9</v>
      </c>
      <c r="C864" s="9">
        <v>1917</v>
      </c>
      <c r="D864" s="10">
        <v>45653</v>
      </c>
      <c r="E864" s="9" t="str">
        <f>+HYPERLINK("http://trademark.i-assist.jp/data/china/image_1917th/81202110.pdf","81202110")</f>
        <v>81202110</v>
      </c>
      <c r="F864" s="9" t="s">
        <v>2410</v>
      </c>
      <c r="G864" s="12" t="s">
        <v>2304</v>
      </c>
      <c r="H864" s="9" t="s">
        <v>2411</v>
      </c>
      <c r="I864" s="10">
        <v>45564</v>
      </c>
    </row>
    <row r="865" spans="1:9" x14ac:dyDescent="0.15">
      <c r="A865" s="9">
        <v>864</v>
      </c>
      <c r="B865" s="9" t="s">
        <v>9</v>
      </c>
      <c r="C865" s="9">
        <v>1917</v>
      </c>
      <c r="D865" s="10">
        <v>45653</v>
      </c>
      <c r="E865" s="9" t="str">
        <f>+HYPERLINK("http://trademark.i-assist.jp/data/china/image_1917th/81202280.pdf","81202280")</f>
        <v>81202280</v>
      </c>
      <c r="F865" s="12" t="s">
        <v>2412</v>
      </c>
      <c r="G865" s="12" t="s">
        <v>2413</v>
      </c>
      <c r="H865" s="9" t="s">
        <v>2414</v>
      </c>
      <c r="I865" s="10">
        <v>45564</v>
      </c>
    </row>
    <row r="866" spans="1:9" x14ac:dyDescent="0.15">
      <c r="A866" s="9">
        <v>865</v>
      </c>
      <c r="B866" s="9" t="s">
        <v>9</v>
      </c>
      <c r="C866" s="9">
        <v>1917</v>
      </c>
      <c r="D866" s="10">
        <v>45653</v>
      </c>
      <c r="E866" s="9" t="str">
        <f>+HYPERLINK("http://trademark.i-assist.jp/data/china/image_1917th/81202556.pdf","81202556")</f>
        <v>81202556</v>
      </c>
      <c r="F866" s="9" t="s">
        <v>2415</v>
      </c>
      <c r="G866" s="9" t="s">
        <v>2205</v>
      </c>
      <c r="H866" s="9" t="s">
        <v>2416</v>
      </c>
      <c r="I866" s="10">
        <v>45564</v>
      </c>
    </row>
    <row r="867" spans="1:9" x14ac:dyDescent="0.15">
      <c r="A867" s="9">
        <v>866</v>
      </c>
      <c r="B867" s="9" t="s">
        <v>9</v>
      </c>
      <c r="C867" s="9">
        <v>1917</v>
      </c>
      <c r="D867" s="10">
        <v>45653</v>
      </c>
      <c r="E867" s="9" t="str">
        <f>+HYPERLINK("http://trademark.i-assist.jp/data/china/image_1917th/81202790.pdf","81202790")</f>
        <v>81202790</v>
      </c>
      <c r="F867" s="12" t="s">
        <v>2417</v>
      </c>
      <c r="G867" s="12" t="s">
        <v>2418</v>
      </c>
      <c r="H867" s="9" t="s">
        <v>2419</v>
      </c>
      <c r="I867" s="10">
        <v>45564</v>
      </c>
    </row>
    <row r="868" spans="1:9" x14ac:dyDescent="0.15">
      <c r="A868" s="9">
        <v>867</v>
      </c>
      <c r="B868" s="9" t="s">
        <v>9</v>
      </c>
      <c r="C868" s="9">
        <v>1917</v>
      </c>
      <c r="D868" s="10">
        <v>45653</v>
      </c>
      <c r="E868" s="9" t="str">
        <f>+HYPERLINK("http://trademark.i-assist.jp/data/china/image_1917th/81202886.pdf","81202886")</f>
        <v>81202886</v>
      </c>
      <c r="F868" s="12" t="s">
        <v>2420</v>
      </c>
      <c r="G868" s="9" t="s">
        <v>2421</v>
      </c>
      <c r="H868" s="9" t="s">
        <v>2422</v>
      </c>
      <c r="I868" s="10">
        <v>45565</v>
      </c>
    </row>
    <row r="869" spans="1:9" x14ac:dyDescent="0.15">
      <c r="A869" s="9">
        <v>868</v>
      </c>
      <c r="B869" s="9" t="s">
        <v>9</v>
      </c>
      <c r="C869" s="9">
        <v>1917</v>
      </c>
      <c r="D869" s="10">
        <v>45653</v>
      </c>
      <c r="E869" s="9" t="str">
        <f>+HYPERLINK("http://trademark.i-assist.jp/data/china/image_1917th/81203613.pdf","81203613")</f>
        <v>81203613</v>
      </c>
      <c r="F869" s="9" t="s">
        <v>2423</v>
      </c>
      <c r="G869" s="9" t="s">
        <v>2424</v>
      </c>
      <c r="H869" s="9" t="s">
        <v>2425</v>
      </c>
      <c r="I869" s="10">
        <v>45565</v>
      </c>
    </row>
    <row r="870" spans="1:9" x14ac:dyDescent="0.15">
      <c r="A870" s="9">
        <v>869</v>
      </c>
      <c r="B870" s="9" t="s">
        <v>9</v>
      </c>
      <c r="C870" s="9">
        <v>1917</v>
      </c>
      <c r="D870" s="10">
        <v>45653</v>
      </c>
      <c r="E870" s="9" t="str">
        <f>+HYPERLINK("http://trademark.i-assist.jp/data/china/image_1917th/81203669.pdf","81203669")</f>
        <v>81203669</v>
      </c>
      <c r="F870" s="9" t="s">
        <v>2426</v>
      </c>
      <c r="G870" s="9" t="s">
        <v>2427</v>
      </c>
      <c r="H870" s="9" t="s">
        <v>2428</v>
      </c>
      <c r="I870" s="10">
        <v>45565</v>
      </c>
    </row>
    <row r="871" spans="1:9" x14ac:dyDescent="0.15">
      <c r="A871" s="9">
        <v>870</v>
      </c>
      <c r="B871" s="9" t="s">
        <v>9</v>
      </c>
      <c r="C871" s="9">
        <v>1917</v>
      </c>
      <c r="D871" s="10">
        <v>45653</v>
      </c>
      <c r="E871" s="9" t="str">
        <f>+HYPERLINK("http://trademark.i-assist.jp/data/china/image_1917th/81205422.pdf","81205422")</f>
        <v>81205422</v>
      </c>
      <c r="F871" s="12" t="s">
        <v>2429</v>
      </c>
      <c r="G871" s="9" t="s">
        <v>2430</v>
      </c>
      <c r="H871" s="12" t="s">
        <v>2431</v>
      </c>
      <c r="I871" s="10">
        <v>45565</v>
      </c>
    </row>
    <row r="872" spans="1:9" x14ac:dyDescent="0.15">
      <c r="A872" s="9">
        <v>871</v>
      </c>
      <c r="B872" s="9" t="s">
        <v>9</v>
      </c>
      <c r="C872" s="9">
        <v>1917</v>
      </c>
      <c r="D872" s="10">
        <v>45653</v>
      </c>
      <c r="E872" s="9" t="str">
        <f>+HYPERLINK("http://trademark.i-assist.jp/data/china/image_1917th/81205961.pdf","81205961")</f>
        <v>81205961</v>
      </c>
      <c r="F872" s="9" t="s">
        <v>2432</v>
      </c>
      <c r="G872" s="9" t="s">
        <v>2433</v>
      </c>
      <c r="H872" s="9" t="s">
        <v>2434</v>
      </c>
      <c r="I872" s="10">
        <v>45565</v>
      </c>
    </row>
    <row r="873" spans="1:9" x14ac:dyDescent="0.15">
      <c r="A873" s="9">
        <v>872</v>
      </c>
      <c r="B873" s="9" t="s">
        <v>9</v>
      </c>
      <c r="C873" s="9">
        <v>1917</v>
      </c>
      <c r="D873" s="10">
        <v>45653</v>
      </c>
      <c r="E873" s="9" t="str">
        <f>+HYPERLINK("http://trademark.i-assist.jp/data/china/image_1917th/81206899.pdf","81206899")</f>
        <v>81206899</v>
      </c>
      <c r="F873" s="12" t="s">
        <v>2435</v>
      </c>
      <c r="G873" s="9" t="s">
        <v>2436</v>
      </c>
      <c r="H873" s="9" t="s">
        <v>2437</v>
      </c>
      <c r="I873" s="10">
        <v>45565</v>
      </c>
    </row>
    <row r="874" spans="1:9" x14ac:dyDescent="0.15">
      <c r="A874" s="9">
        <v>873</v>
      </c>
      <c r="B874" s="9" t="s">
        <v>9</v>
      </c>
      <c r="C874" s="9">
        <v>1917</v>
      </c>
      <c r="D874" s="10">
        <v>45653</v>
      </c>
      <c r="E874" s="9" t="str">
        <f>+HYPERLINK("http://trademark.i-assist.jp/data/china/image_1917th/81207851.pdf","81207851")</f>
        <v>81207851</v>
      </c>
      <c r="F874" s="9" t="s">
        <v>2438</v>
      </c>
      <c r="G874" s="9" t="s">
        <v>2439</v>
      </c>
      <c r="H874" s="9" t="s">
        <v>2440</v>
      </c>
      <c r="I874" s="10">
        <v>45565</v>
      </c>
    </row>
    <row r="875" spans="1:9" x14ac:dyDescent="0.15">
      <c r="A875" s="9">
        <v>874</v>
      </c>
      <c r="B875" s="9" t="s">
        <v>9</v>
      </c>
      <c r="C875" s="9">
        <v>1917</v>
      </c>
      <c r="D875" s="10">
        <v>45653</v>
      </c>
      <c r="E875" s="9" t="str">
        <f>+HYPERLINK("http://trademark.i-assist.jp/data/china/image_1917th/81208198.pdf","81208198")</f>
        <v>81208198</v>
      </c>
      <c r="F875" s="9" t="s">
        <v>2441</v>
      </c>
      <c r="G875" s="9" t="s">
        <v>2442</v>
      </c>
      <c r="H875" s="9" t="s">
        <v>2443</v>
      </c>
      <c r="I875" s="10">
        <v>45565</v>
      </c>
    </row>
    <row r="876" spans="1:9" x14ac:dyDescent="0.15">
      <c r="A876" s="9">
        <v>875</v>
      </c>
      <c r="B876" s="9" t="s">
        <v>9</v>
      </c>
      <c r="C876" s="9">
        <v>1917</v>
      </c>
      <c r="D876" s="10">
        <v>45653</v>
      </c>
      <c r="E876" s="9" t="str">
        <f>+HYPERLINK("http://trademark.i-assist.jp/data/china/image_1917th/81208621.pdf","81208621")</f>
        <v>81208621</v>
      </c>
      <c r="F876" s="9" t="s">
        <v>2444</v>
      </c>
      <c r="G876" s="9" t="s">
        <v>55</v>
      </c>
      <c r="H876" s="9" t="s">
        <v>2445</v>
      </c>
      <c r="I876" s="10">
        <v>45565</v>
      </c>
    </row>
    <row r="877" spans="1:9" x14ac:dyDescent="0.15">
      <c r="A877" s="9">
        <v>876</v>
      </c>
      <c r="B877" s="9" t="s">
        <v>9</v>
      </c>
      <c r="C877" s="9">
        <v>1917</v>
      </c>
      <c r="D877" s="10">
        <v>45653</v>
      </c>
      <c r="E877" s="9" t="str">
        <f>+HYPERLINK("http://trademark.i-assist.jp/data/china/image_1917th/81208742.pdf","81208742")</f>
        <v>81208742</v>
      </c>
      <c r="F877" s="9" t="s">
        <v>2446</v>
      </c>
      <c r="G877" s="9" t="s">
        <v>2447</v>
      </c>
      <c r="H877" s="9" t="s">
        <v>2448</v>
      </c>
      <c r="I877" s="10">
        <v>45565</v>
      </c>
    </row>
    <row r="878" spans="1:9" x14ac:dyDescent="0.15">
      <c r="A878" s="9">
        <v>877</v>
      </c>
      <c r="B878" s="9" t="s">
        <v>9</v>
      </c>
      <c r="C878" s="9">
        <v>1917</v>
      </c>
      <c r="D878" s="10">
        <v>45653</v>
      </c>
      <c r="E878" s="9" t="str">
        <f>+HYPERLINK("http://trademark.i-assist.jp/data/china/image_1917th/81209103.pdf","81209103")</f>
        <v>81209103</v>
      </c>
      <c r="F878" s="9" t="s">
        <v>2449</v>
      </c>
      <c r="G878" s="9" t="s">
        <v>2450</v>
      </c>
      <c r="H878" s="9" t="s">
        <v>2451</v>
      </c>
      <c r="I878" s="10">
        <v>45565</v>
      </c>
    </row>
    <row r="879" spans="1:9" x14ac:dyDescent="0.15">
      <c r="A879" s="9">
        <v>878</v>
      </c>
      <c r="B879" s="9" t="s">
        <v>9</v>
      </c>
      <c r="C879" s="9">
        <v>1917</v>
      </c>
      <c r="D879" s="10">
        <v>45653</v>
      </c>
      <c r="E879" s="9" t="str">
        <f>+HYPERLINK("http://trademark.i-assist.jp/data/china/image_1917th/81209293.pdf","81209293")</f>
        <v>81209293</v>
      </c>
      <c r="F879" s="9" t="s">
        <v>2452</v>
      </c>
      <c r="G879" s="12" t="s">
        <v>2453</v>
      </c>
      <c r="H879" s="9" t="s">
        <v>2454</v>
      </c>
      <c r="I879" s="10">
        <v>45565</v>
      </c>
    </row>
    <row r="880" spans="1:9" x14ac:dyDescent="0.15">
      <c r="A880" s="9">
        <v>879</v>
      </c>
      <c r="B880" s="9" t="s">
        <v>9</v>
      </c>
      <c r="C880" s="9">
        <v>1917</v>
      </c>
      <c r="D880" s="10">
        <v>45653</v>
      </c>
      <c r="E880" s="9" t="str">
        <f>+HYPERLINK("http://trademark.i-assist.jp/data/china/image_1917th/81209539.pdf","81209539")</f>
        <v>81209539</v>
      </c>
      <c r="F880" s="9" t="s">
        <v>2455</v>
      </c>
      <c r="G880" s="12" t="s">
        <v>2456</v>
      </c>
      <c r="H880" s="9" t="s">
        <v>2457</v>
      </c>
      <c r="I880" s="10">
        <v>45565</v>
      </c>
    </row>
    <row r="881" spans="1:9" x14ac:dyDescent="0.15">
      <c r="A881" s="9">
        <v>880</v>
      </c>
      <c r="B881" s="9" t="s">
        <v>9</v>
      </c>
      <c r="C881" s="9">
        <v>1917</v>
      </c>
      <c r="D881" s="10">
        <v>45653</v>
      </c>
      <c r="E881" s="9" t="str">
        <f>+HYPERLINK("http://trademark.i-assist.jp/data/china/image_1917th/81210256.pdf","81210256")</f>
        <v>81210256</v>
      </c>
      <c r="F881" s="12" t="s">
        <v>2458</v>
      </c>
      <c r="G881" s="9" t="s">
        <v>2433</v>
      </c>
      <c r="H881" s="9" t="s">
        <v>2459</v>
      </c>
      <c r="I881" s="10">
        <v>45565</v>
      </c>
    </row>
    <row r="882" spans="1:9" x14ac:dyDescent="0.15">
      <c r="A882" s="9">
        <v>881</v>
      </c>
      <c r="B882" s="9" t="s">
        <v>9</v>
      </c>
      <c r="C882" s="9">
        <v>1917</v>
      </c>
      <c r="D882" s="10">
        <v>45653</v>
      </c>
      <c r="E882" s="9" t="str">
        <f>+HYPERLINK("http://trademark.i-assist.jp/data/china/image_1917th/81210580.pdf","81210580")</f>
        <v>81210580</v>
      </c>
      <c r="F882" s="9" t="s">
        <v>2460</v>
      </c>
      <c r="G882" s="9" t="s">
        <v>2461</v>
      </c>
      <c r="H882" s="9" t="s">
        <v>2462</v>
      </c>
      <c r="I882" s="10">
        <v>45565</v>
      </c>
    </row>
    <row r="883" spans="1:9" x14ac:dyDescent="0.15">
      <c r="A883" s="9">
        <v>882</v>
      </c>
      <c r="B883" s="9" t="s">
        <v>9</v>
      </c>
      <c r="C883" s="9">
        <v>1917</v>
      </c>
      <c r="D883" s="10">
        <v>45653</v>
      </c>
      <c r="E883" s="9" t="str">
        <f>+HYPERLINK("http://trademark.i-assist.jp/data/china/image_1917th/81210659.pdf","81210659")</f>
        <v>81210659</v>
      </c>
      <c r="F883" s="9" t="s">
        <v>2463</v>
      </c>
      <c r="G883" s="9" t="s">
        <v>2464</v>
      </c>
      <c r="H883" s="9" t="s">
        <v>2465</v>
      </c>
      <c r="I883" s="10">
        <v>45565</v>
      </c>
    </row>
    <row r="884" spans="1:9" x14ac:dyDescent="0.15">
      <c r="A884" s="9">
        <v>883</v>
      </c>
      <c r="B884" s="9" t="s">
        <v>9</v>
      </c>
      <c r="C884" s="9">
        <v>1917</v>
      </c>
      <c r="D884" s="10">
        <v>45653</v>
      </c>
      <c r="E884" s="9" t="str">
        <f>+HYPERLINK("http://trademark.i-assist.jp/data/china/image_1917th/81211289.pdf","81211289")</f>
        <v>81211289</v>
      </c>
      <c r="F884" s="9" t="s">
        <v>2466</v>
      </c>
      <c r="G884" s="12" t="s">
        <v>2467</v>
      </c>
      <c r="H884" s="9" t="s">
        <v>2468</v>
      </c>
      <c r="I884" s="10">
        <v>45565</v>
      </c>
    </row>
    <row r="885" spans="1:9" x14ac:dyDescent="0.15">
      <c r="A885" s="9">
        <v>884</v>
      </c>
      <c r="B885" s="9" t="s">
        <v>9</v>
      </c>
      <c r="C885" s="9">
        <v>1917</v>
      </c>
      <c r="D885" s="10">
        <v>45653</v>
      </c>
      <c r="E885" s="9" t="str">
        <f>+HYPERLINK("http://trademark.i-assist.jp/data/china/image_1917th/81211856.pdf","81211856")</f>
        <v>81211856</v>
      </c>
      <c r="F885" s="9" t="s">
        <v>2469</v>
      </c>
      <c r="G885" s="9" t="s">
        <v>2470</v>
      </c>
      <c r="H885" s="9" t="s">
        <v>2471</v>
      </c>
      <c r="I885" s="10">
        <v>45565</v>
      </c>
    </row>
    <row r="886" spans="1:9" x14ac:dyDescent="0.15">
      <c r="A886" s="9">
        <v>885</v>
      </c>
      <c r="B886" s="9" t="s">
        <v>9</v>
      </c>
      <c r="C886" s="9">
        <v>1917</v>
      </c>
      <c r="D886" s="10">
        <v>45653</v>
      </c>
      <c r="E886" s="9" t="str">
        <f>+HYPERLINK("http://trademark.i-assist.jp/data/china/image_1917th/81211969.pdf","81211969")</f>
        <v>81211969</v>
      </c>
      <c r="F886" s="9" t="s">
        <v>2472</v>
      </c>
      <c r="G886" s="9" t="s">
        <v>55</v>
      </c>
      <c r="H886" s="9" t="s">
        <v>2473</v>
      </c>
      <c r="I886" s="10">
        <v>45565</v>
      </c>
    </row>
    <row r="887" spans="1:9" x14ac:dyDescent="0.15">
      <c r="A887" s="9">
        <v>886</v>
      </c>
      <c r="B887" s="9" t="s">
        <v>9</v>
      </c>
      <c r="C887" s="9">
        <v>1917</v>
      </c>
      <c r="D887" s="10">
        <v>45653</v>
      </c>
      <c r="E887" s="9" t="str">
        <f>+HYPERLINK("http://trademark.i-assist.jp/data/china/image_1917th/81212538.pdf","81212538")</f>
        <v>81212538</v>
      </c>
      <c r="F887" s="9" t="s">
        <v>2474</v>
      </c>
      <c r="G887" s="9" t="s">
        <v>2475</v>
      </c>
      <c r="H887" s="9" t="s">
        <v>2476</v>
      </c>
      <c r="I887" s="10">
        <v>45565</v>
      </c>
    </row>
    <row r="888" spans="1:9" x14ac:dyDescent="0.15">
      <c r="A888" s="9">
        <v>887</v>
      </c>
      <c r="B888" s="9" t="s">
        <v>9</v>
      </c>
      <c r="C888" s="9">
        <v>1917</v>
      </c>
      <c r="D888" s="10">
        <v>45653</v>
      </c>
      <c r="E888" s="9" t="str">
        <f>+HYPERLINK("http://trademark.i-assist.jp/data/china/image_1917th/81212600.pdf","81212600")</f>
        <v>81212600</v>
      </c>
      <c r="F888" s="12" t="s">
        <v>2477</v>
      </c>
      <c r="G888" s="9" t="s">
        <v>2478</v>
      </c>
      <c r="H888" s="9" t="s">
        <v>2479</v>
      </c>
      <c r="I888" s="10">
        <v>45565</v>
      </c>
    </row>
    <row r="889" spans="1:9" x14ac:dyDescent="0.15">
      <c r="A889" s="9">
        <v>888</v>
      </c>
      <c r="B889" s="9" t="s">
        <v>9</v>
      </c>
      <c r="C889" s="9">
        <v>1917</v>
      </c>
      <c r="D889" s="10">
        <v>45653</v>
      </c>
      <c r="E889" s="9" t="str">
        <f>+HYPERLINK("http://trademark.i-assist.jp/data/china/image_1917th/81213842.pdf","81213842")</f>
        <v>81213842</v>
      </c>
      <c r="F889" s="9" t="s">
        <v>2480</v>
      </c>
      <c r="G889" s="9" t="s">
        <v>2481</v>
      </c>
      <c r="H889" s="9" t="s">
        <v>2482</v>
      </c>
      <c r="I889" s="10">
        <v>45565</v>
      </c>
    </row>
    <row r="890" spans="1:9" x14ac:dyDescent="0.15">
      <c r="A890" s="9">
        <v>889</v>
      </c>
      <c r="B890" s="9" t="s">
        <v>9</v>
      </c>
      <c r="C890" s="9">
        <v>1917</v>
      </c>
      <c r="D890" s="10">
        <v>45653</v>
      </c>
      <c r="E890" s="9" t="str">
        <f>+HYPERLINK("http://trademark.i-assist.jp/data/china/image_1917th/81214936.pdf","81214936")</f>
        <v>81214936</v>
      </c>
      <c r="F890" s="9" t="s">
        <v>2483</v>
      </c>
      <c r="G890" s="9" t="s">
        <v>2484</v>
      </c>
      <c r="H890" s="9" t="s">
        <v>2485</v>
      </c>
      <c r="I890" s="10">
        <v>45565</v>
      </c>
    </row>
    <row r="891" spans="1:9" x14ac:dyDescent="0.15">
      <c r="A891" s="9">
        <v>890</v>
      </c>
      <c r="B891" s="9" t="s">
        <v>9</v>
      </c>
      <c r="C891" s="9">
        <v>1917</v>
      </c>
      <c r="D891" s="10">
        <v>45653</v>
      </c>
      <c r="E891" s="9" t="str">
        <f>+HYPERLINK("http://trademark.i-assist.jp/data/china/image_1917th/81215239.pdf","81215239")</f>
        <v>81215239</v>
      </c>
      <c r="F891" s="9" t="s">
        <v>2486</v>
      </c>
      <c r="G891" s="12" t="s">
        <v>2487</v>
      </c>
      <c r="H891" s="9" t="s">
        <v>2488</v>
      </c>
      <c r="I891" s="10">
        <v>45565</v>
      </c>
    </row>
    <row r="892" spans="1:9" x14ac:dyDescent="0.15">
      <c r="A892" s="9">
        <v>891</v>
      </c>
      <c r="B892" s="9" t="s">
        <v>9</v>
      </c>
      <c r="C892" s="9">
        <v>1917</v>
      </c>
      <c r="D892" s="10">
        <v>45653</v>
      </c>
      <c r="E892" s="9" t="str">
        <f>+HYPERLINK("http://trademark.i-assist.jp/data/china/image_1917th/81216800.pdf","81216800")</f>
        <v>81216800</v>
      </c>
      <c r="F892" s="9" t="s">
        <v>2489</v>
      </c>
      <c r="G892" s="9" t="s">
        <v>2490</v>
      </c>
      <c r="H892" s="9" t="s">
        <v>2491</v>
      </c>
      <c r="I892" s="10">
        <v>45565</v>
      </c>
    </row>
    <row r="893" spans="1:9" x14ac:dyDescent="0.15">
      <c r="A893" s="9">
        <v>892</v>
      </c>
      <c r="B893" s="9" t="s">
        <v>9</v>
      </c>
      <c r="C893" s="9">
        <v>1917</v>
      </c>
      <c r="D893" s="10">
        <v>45653</v>
      </c>
      <c r="E893" s="9" t="str">
        <f>+HYPERLINK("http://trademark.i-assist.jp/data/china/image_1917th/81218961.pdf","81218961")</f>
        <v>81218961</v>
      </c>
      <c r="F893" s="9" t="s">
        <v>2492</v>
      </c>
      <c r="G893" s="9" t="s">
        <v>2464</v>
      </c>
      <c r="H893" s="9" t="s">
        <v>2493</v>
      </c>
      <c r="I893" s="10">
        <v>45565</v>
      </c>
    </row>
    <row r="894" spans="1:9" x14ac:dyDescent="0.15">
      <c r="A894" s="9">
        <v>893</v>
      </c>
      <c r="B894" s="9" t="s">
        <v>9</v>
      </c>
      <c r="C894" s="9">
        <v>1917</v>
      </c>
      <c r="D894" s="10">
        <v>45653</v>
      </c>
      <c r="E894" s="9" t="str">
        <f>+HYPERLINK("http://trademark.i-assist.jp/data/china/image_1917th/81219095.pdf","81219095")</f>
        <v>81219095</v>
      </c>
      <c r="F894" s="9" t="s">
        <v>2494</v>
      </c>
      <c r="G894" s="9" t="s">
        <v>34</v>
      </c>
      <c r="H894" s="9" t="s">
        <v>2495</v>
      </c>
      <c r="I894" s="10">
        <v>45565</v>
      </c>
    </row>
    <row r="895" spans="1:9" x14ac:dyDescent="0.15">
      <c r="A895" s="9">
        <v>894</v>
      </c>
      <c r="B895" s="9" t="s">
        <v>9</v>
      </c>
      <c r="C895" s="9">
        <v>1917</v>
      </c>
      <c r="D895" s="10">
        <v>45653</v>
      </c>
      <c r="E895" s="9" t="str">
        <f>+HYPERLINK("http://trademark.i-assist.jp/data/china/image_1917th/81219441.pdf","81219441")</f>
        <v>81219441</v>
      </c>
      <c r="F895" s="9" t="s">
        <v>2496</v>
      </c>
      <c r="G895" s="9" t="s">
        <v>2497</v>
      </c>
      <c r="H895" s="9" t="s">
        <v>2498</v>
      </c>
      <c r="I895" s="10">
        <v>45565</v>
      </c>
    </row>
    <row r="896" spans="1:9" x14ac:dyDescent="0.15">
      <c r="A896" s="9">
        <v>895</v>
      </c>
      <c r="B896" s="9" t="s">
        <v>9</v>
      </c>
      <c r="C896" s="9">
        <v>1917</v>
      </c>
      <c r="D896" s="10">
        <v>45653</v>
      </c>
      <c r="E896" s="9" t="str">
        <f>+HYPERLINK("http://trademark.i-assist.jp/data/china/image_1917th/81220456.pdf","81220456")</f>
        <v>81220456</v>
      </c>
      <c r="F896" s="12" t="s">
        <v>2499</v>
      </c>
      <c r="G896" s="12" t="s">
        <v>2500</v>
      </c>
      <c r="H896" s="9" t="s">
        <v>2501</v>
      </c>
      <c r="I896" s="10">
        <v>45565</v>
      </c>
    </row>
    <row r="897" spans="1:9" x14ac:dyDescent="0.15">
      <c r="A897" s="9">
        <v>896</v>
      </c>
      <c r="B897" s="9" t="s">
        <v>9</v>
      </c>
      <c r="C897" s="9">
        <v>1917</v>
      </c>
      <c r="D897" s="10">
        <v>45653</v>
      </c>
      <c r="E897" s="9" t="str">
        <f>+HYPERLINK("http://trademark.i-assist.jp/data/china/image_1917th/81220565.pdf","81220565")</f>
        <v>81220565</v>
      </c>
      <c r="F897" s="9" t="s">
        <v>2502</v>
      </c>
      <c r="G897" s="9" t="s">
        <v>2433</v>
      </c>
      <c r="H897" s="9" t="s">
        <v>2503</v>
      </c>
      <c r="I897" s="10">
        <v>45565</v>
      </c>
    </row>
    <row r="898" spans="1:9" x14ac:dyDescent="0.15">
      <c r="A898" s="9">
        <v>897</v>
      </c>
      <c r="B898" s="9" t="s">
        <v>9</v>
      </c>
      <c r="C898" s="9">
        <v>1917</v>
      </c>
      <c r="D898" s="10">
        <v>45653</v>
      </c>
      <c r="E898" s="9" t="str">
        <f>+HYPERLINK("http://trademark.i-assist.jp/data/china/image_1917th/81220638.pdf","81220638")</f>
        <v>81220638</v>
      </c>
      <c r="F898" s="9" t="s">
        <v>2504</v>
      </c>
      <c r="G898" s="9" t="s">
        <v>2505</v>
      </c>
      <c r="H898" s="9" t="s">
        <v>2506</v>
      </c>
      <c r="I898" s="10">
        <v>45565</v>
      </c>
    </row>
    <row r="899" spans="1:9" x14ac:dyDescent="0.15">
      <c r="A899" s="9">
        <v>898</v>
      </c>
      <c r="B899" s="9" t="s">
        <v>9</v>
      </c>
      <c r="C899" s="9">
        <v>1917</v>
      </c>
      <c r="D899" s="10">
        <v>45653</v>
      </c>
      <c r="E899" s="9" t="str">
        <f>+HYPERLINK("http://trademark.i-assist.jp/data/china/image_1917th/81221145.pdf","81221145")</f>
        <v>81221145</v>
      </c>
      <c r="F899" s="9" t="s">
        <v>2507</v>
      </c>
      <c r="G899" s="9" t="s">
        <v>2508</v>
      </c>
      <c r="H899" s="9" t="s">
        <v>2509</v>
      </c>
      <c r="I899" s="10">
        <v>45565</v>
      </c>
    </row>
    <row r="900" spans="1:9" x14ac:dyDescent="0.15">
      <c r="A900" s="9">
        <v>899</v>
      </c>
      <c r="B900" s="9" t="s">
        <v>9</v>
      </c>
      <c r="C900" s="9">
        <v>1917</v>
      </c>
      <c r="D900" s="10">
        <v>45653</v>
      </c>
      <c r="E900" s="9" t="str">
        <f>+HYPERLINK("http://trademark.i-assist.jp/data/china/image_1917th/81221176.pdf","81221176")</f>
        <v>81221176</v>
      </c>
      <c r="F900" s="9" t="s">
        <v>2510</v>
      </c>
      <c r="G900" s="9" t="s">
        <v>2511</v>
      </c>
      <c r="H900" s="9" t="s">
        <v>2512</v>
      </c>
      <c r="I900" s="10">
        <v>45565</v>
      </c>
    </row>
    <row r="901" spans="1:9" x14ac:dyDescent="0.15">
      <c r="A901" s="9">
        <v>900</v>
      </c>
      <c r="B901" s="9" t="s">
        <v>9</v>
      </c>
      <c r="C901" s="9">
        <v>1917</v>
      </c>
      <c r="D901" s="10">
        <v>45653</v>
      </c>
      <c r="E901" s="9" t="str">
        <f>+HYPERLINK("http://trademark.i-assist.jp/data/china/image_1917th/81221453.pdf","81221453")</f>
        <v>81221453</v>
      </c>
      <c r="F901" s="9" t="s">
        <v>2513</v>
      </c>
      <c r="G901" s="12" t="s">
        <v>2514</v>
      </c>
      <c r="H901" s="9" t="s">
        <v>2515</v>
      </c>
      <c r="I901" s="10">
        <v>45565</v>
      </c>
    </row>
    <row r="902" spans="1:9" x14ac:dyDescent="0.15">
      <c r="A902" s="9">
        <v>901</v>
      </c>
      <c r="B902" s="9" t="s">
        <v>9</v>
      </c>
      <c r="C902" s="9">
        <v>1917</v>
      </c>
      <c r="D902" s="10">
        <v>45653</v>
      </c>
      <c r="E902" s="9" t="str">
        <f>+HYPERLINK("http://trademark.i-assist.jp/data/china/image_1917th/81221531.pdf","81221531")</f>
        <v>81221531</v>
      </c>
      <c r="F902" s="9" t="s">
        <v>2516</v>
      </c>
      <c r="G902" s="9" t="s">
        <v>2517</v>
      </c>
      <c r="H902" s="12" t="s">
        <v>2518</v>
      </c>
      <c r="I902" s="10">
        <v>45565</v>
      </c>
    </row>
    <row r="903" spans="1:9" x14ac:dyDescent="0.15">
      <c r="A903" s="9">
        <v>902</v>
      </c>
      <c r="B903" s="9" t="s">
        <v>9</v>
      </c>
      <c r="C903" s="9">
        <v>1917</v>
      </c>
      <c r="D903" s="10">
        <v>45653</v>
      </c>
      <c r="E903" s="9" t="str">
        <f>+HYPERLINK("http://trademark.i-assist.jp/data/china/image_1917th/81222863.pdf","81222863")</f>
        <v>81222863</v>
      </c>
      <c r="F903" s="9" t="s">
        <v>2519</v>
      </c>
      <c r="G903" s="9" t="s">
        <v>2520</v>
      </c>
      <c r="H903" s="9" t="s">
        <v>2521</v>
      </c>
      <c r="I903" s="10">
        <v>45565</v>
      </c>
    </row>
    <row r="904" spans="1:9" x14ac:dyDescent="0.15">
      <c r="A904" s="9">
        <v>903</v>
      </c>
      <c r="B904" s="9" t="s">
        <v>9</v>
      </c>
      <c r="C904" s="9">
        <v>1917</v>
      </c>
      <c r="D904" s="10">
        <v>45653</v>
      </c>
      <c r="E904" s="9" t="str">
        <f>+HYPERLINK("http://trademark.i-assist.jp/data/china/image_1917th/81223250.pdf","81223250")</f>
        <v>81223250</v>
      </c>
      <c r="F904" s="9" t="s">
        <v>2522</v>
      </c>
      <c r="G904" s="9" t="s">
        <v>2523</v>
      </c>
      <c r="H904" s="12" t="s">
        <v>2524</v>
      </c>
      <c r="I904" s="10">
        <v>45565</v>
      </c>
    </row>
    <row r="905" spans="1:9" x14ac:dyDescent="0.15">
      <c r="A905" s="9">
        <v>904</v>
      </c>
      <c r="B905" s="9" t="s">
        <v>9</v>
      </c>
      <c r="C905" s="9">
        <v>1917</v>
      </c>
      <c r="D905" s="10">
        <v>45653</v>
      </c>
      <c r="E905" s="9" t="str">
        <f>+HYPERLINK("http://trademark.i-assist.jp/data/china/image_1917th/81223410.pdf","81223410")</f>
        <v>81223410</v>
      </c>
      <c r="F905" s="9" t="s">
        <v>2525</v>
      </c>
      <c r="G905" s="9" t="s">
        <v>2526</v>
      </c>
      <c r="H905" s="9" t="s">
        <v>2527</v>
      </c>
      <c r="I905" s="10">
        <v>45565</v>
      </c>
    </row>
    <row r="906" spans="1:9" x14ac:dyDescent="0.15">
      <c r="A906" s="9">
        <v>905</v>
      </c>
      <c r="B906" s="9" t="s">
        <v>9</v>
      </c>
      <c r="C906" s="9">
        <v>1917</v>
      </c>
      <c r="D906" s="10">
        <v>45653</v>
      </c>
      <c r="E906" s="9" t="str">
        <f>+HYPERLINK("http://trademark.i-assist.jp/data/china/image_1917th/81224529.pdf","81224529")</f>
        <v>81224529</v>
      </c>
      <c r="F906" s="9" t="s">
        <v>2528</v>
      </c>
      <c r="G906" s="9" t="s">
        <v>2529</v>
      </c>
      <c r="H906" s="9" t="s">
        <v>2530</v>
      </c>
      <c r="I906" s="10">
        <v>45565</v>
      </c>
    </row>
    <row r="907" spans="1:9" x14ac:dyDescent="0.15">
      <c r="A907" s="9">
        <v>906</v>
      </c>
      <c r="B907" s="9" t="s">
        <v>9</v>
      </c>
      <c r="C907" s="9">
        <v>1917</v>
      </c>
      <c r="D907" s="10">
        <v>45653</v>
      </c>
      <c r="E907" s="9" t="str">
        <f>+HYPERLINK("http://trademark.i-assist.jp/data/china/image_1917th/81225039.pdf","81225039")</f>
        <v>81225039</v>
      </c>
      <c r="F907" s="12" t="s">
        <v>2531</v>
      </c>
      <c r="G907" s="9" t="s">
        <v>2532</v>
      </c>
      <c r="H907" s="9" t="s">
        <v>2533</v>
      </c>
      <c r="I907" s="10">
        <v>45565</v>
      </c>
    </row>
    <row r="908" spans="1:9" x14ac:dyDescent="0.15">
      <c r="A908" s="9">
        <v>907</v>
      </c>
      <c r="B908" s="9" t="s">
        <v>9</v>
      </c>
      <c r="C908" s="9">
        <v>1917</v>
      </c>
      <c r="D908" s="10">
        <v>45653</v>
      </c>
      <c r="E908" s="9" t="str">
        <f>+HYPERLINK("http://trademark.i-assist.jp/data/china/image_1917th/81226045.pdf","81226045")</f>
        <v>81226045</v>
      </c>
      <c r="F908" s="9" t="s">
        <v>2534</v>
      </c>
      <c r="G908" s="9" t="s">
        <v>2535</v>
      </c>
      <c r="H908" s="9" t="s">
        <v>2536</v>
      </c>
      <c r="I908" s="10">
        <v>45565</v>
      </c>
    </row>
    <row r="909" spans="1:9" x14ac:dyDescent="0.15">
      <c r="A909" s="9">
        <v>908</v>
      </c>
      <c r="B909" s="9" t="s">
        <v>9</v>
      </c>
      <c r="C909" s="9">
        <v>1917</v>
      </c>
      <c r="D909" s="10">
        <v>45653</v>
      </c>
      <c r="E909" s="9" t="str">
        <f>+HYPERLINK("http://trademark.i-assist.jp/data/china/image_1917th/81226977.pdf","81226977")</f>
        <v>81226977</v>
      </c>
      <c r="F909" s="9" t="s">
        <v>2537</v>
      </c>
      <c r="G909" s="9" t="s">
        <v>2538</v>
      </c>
      <c r="H909" s="9" t="s">
        <v>2539</v>
      </c>
      <c r="I909" s="10">
        <v>45565</v>
      </c>
    </row>
    <row r="910" spans="1:9" x14ac:dyDescent="0.15">
      <c r="A910" s="9">
        <v>909</v>
      </c>
      <c r="B910" s="9" t="s">
        <v>9</v>
      </c>
      <c r="C910" s="9">
        <v>1917</v>
      </c>
      <c r="D910" s="10">
        <v>45653</v>
      </c>
      <c r="E910" s="9" t="str">
        <f>+HYPERLINK("http://trademark.i-assist.jp/data/china/image_1917th/81227461.pdf","81227461")</f>
        <v>81227461</v>
      </c>
      <c r="F910" s="9" t="s">
        <v>2540</v>
      </c>
      <c r="G910" s="9" t="s">
        <v>2464</v>
      </c>
      <c r="H910" s="12" t="s">
        <v>2541</v>
      </c>
      <c r="I910" s="10">
        <v>45565</v>
      </c>
    </row>
    <row r="911" spans="1:9" x14ac:dyDescent="0.15">
      <c r="A911" s="9">
        <v>910</v>
      </c>
      <c r="B911" s="9" t="s">
        <v>9</v>
      </c>
      <c r="C911" s="9">
        <v>1917</v>
      </c>
      <c r="D911" s="10">
        <v>45653</v>
      </c>
      <c r="E911" s="9" t="str">
        <f>+HYPERLINK("http://trademark.i-assist.jp/data/china/image_1917th/81227477.pdf","81227477")</f>
        <v>81227477</v>
      </c>
      <c r="F911" s="9" t="s">
        <v>2542</v>
      </c>
      <c r="G911" s="9" t="s">
        <v>2464</v>
      </c>
      <c r="H911" s="9" t="s">
        <v>2543</v>
      </c>
      <c r="I911" s="10">
        <v>45565</v>
      </c>
    </row>
    <row r="912" spans="1:9" x14ac:dyDescent="0.15">
      <c r="A912" s="9">
        <v>911</v>
      </c>
      <c r="B912" s="9" t="s">
        <v>9</v>
      </c>
      <c r="C912" s="9">
        <v>1917</v>
      </c>
      <c r="D912" s="10">
        <v>45653</v>
      </c>
      <c r="E912" s="9" t="str">
        <f>+HYPERLINK("http://trademark.i-assist.jp/data/china/image_1917th/81227503.pdf","81227503")</f>
        <v>81227503</v>
      </c>
      <c r="F912" s="9" t="s">
        <v>2544</v>
      </c>
      <c r="G912" s="9" t="s">
        <v>2464</v>
      </c>
      <c r="H912" s="9" t="s">
        <v>2545</v>
      </c>
      <c r="I912" s="10">
        <v>45565</v>
      </c>
    </row>
    <row r="913" spans="1:9" x14ac:dyDescent="0.15">
      <c r="A913" s="9">
        <v>912</v>
      </c>
      <c r="B913" s="9" t="s">
        <v>9</v>
      </c>
      <c r="C913" s="9">
        <v>1917</v>
      </c>
      <c r="D913" s="10">
        <v>45653</v>
      </c>
      <c r="E913" s="9" t="str">
        <f>+HYPERLINK("http://trademark.i-assist.jp/data/china/image_1917th/81227810.pdf","81227810")</f>
        <v>81227810</v>
      </c>
      <c r="F913" s="9" t="s">
        <v>2546</v>
      </c>
      <c r="G913" s="9" t="s">
        <v>2547</v>
      </c>
      <c r="H913" s="9" t="s">
        <v>2548</v>
      </c>
      <c r="I913" s="10">
        <v>45565</v>
      </c>
    </row>
    <row r="914" spans="1:9" x14ac:dyDescent="0.15">
      <c r="A914" s="9">
        <v>913</v>
      </c>
      <c r="B914" s="9" t="s">
        <v>9</v>
      </c>
      <c r="C914" s="9">
        <v>1917</v>
      </c>
      <c r="D914" s="10">
        <v>45653</v>
      </c>
      <c r="E914" s="9" t="str">
        <f>+HYPERLINK("http://trademark.i-assist.jp/data/china/image_1917th/81228062.pdf","81228062")</f>
        <v>81228062</v>
      </c>
      <c r="F914" s="9" t="s">
        <v>2549</v>
      </c>
      <c r="G914" s="9" t="s">
        <v>2550</v>
      </c>
      <c r="H914" s="9" t="s">
        <v>2551</v>
      </c>
      <c r="I914" s="10">
        <v>45565</v>
      </c>
    </row>
    <row r="915" spans="1:9" x14ac:dyDescent="0.15">
      <c r="A915" s="9">
        <v>914</v>
      </c>
      <c r="B915" s="9" t="s">
        <v>9</v>
      </c>
      <c r="C915" s="9">
        <v>1917</v>
      </c>
      <c r="D915" s="10">
        <v>45653</v>
      </c>
      <c r="E915" s="9" t="str">
        <f>+HYPERLINK("http://trademark.i-assist.jp/data/china/image_1917th/81228119.pdf","81228119")</f>
        <v>81228119</v>
      </c>
      <c r="F915" s="9" t="s">
        <v>2438</v>
      </c>
      <c r="G915" s="9" t="s">
        <v>2439</v>
      </c>
      <c r="H915" s="9" t="s">
        <v>2552</v>
      </c>
      <c r="I915" s="10">
        <v>45565</v>
      </c>
    </row>
    <row r="916" spans="1:9" x14ac:dyDescent="0.15">
      <c r="A916" s="9">
        <v>915</v>
      </c>
      <c r="B916" s="9" t="s">
        <v>9</v>
      </c>
      <c r="C916" s="9">
        <v>1917</v>
      </c>
      <c r="D916" s="10">
        <v>45653</v>
      </c>
      <c r="E916" s="9" t="str">
        <f>+HYPERLINK("http://trademark.i-assist.jp/data/china/image_1917th/81229852.pdf","81229852")</f>
        <v>81229852</v>
      </c>
      <c r="F916" s="9" t="s">
        <v>2553</v>
      </c>
      <c r="G916" s="9" t="s">
        <v>2554</v>
      </c>
      <c r="H916" s="12" t="s">
        <v>2555</v>
      </c>
      <c r="I916" s="10">
        <v>45565</v>
      </c>
    </row>
    <row r="917" spans="1:9" x14ac:dyDescent="0.15">
      <c r="A917" s="9">
        <v>916</v>
      </c>
      <c r="B917" s="9" t="s">
        <v>9</v>
      </c>
      <c r="C917" s="9">
        <v>1917</v>
      </c>
      <c r="D917" s="10">
        <v>45653</v>
      </c>
      <c r="E917" s="9" t="str">
        <f>+HYPERLINK("http://trademark.i-assist.jp/data/china/image_1917th/81230729.pdf","81230729")</f>
        <v>81230729</v>
      </c>
      <c r="F917" s="9" t="s">
        <v>2556</v>
      </c>
      <c r="G917" s="9" t="s">
        <v>2557</v>
      </c>
      <c r="H917" s="9" t="s">
        <v>2558</v>
      </c>
      <c r="I917" s="10">
        <v>45565</v>
      </c>
    </row>
    <row r="918" spans="1:9" x14ac:dyDescent="0.15">
      <c r="A918" s="9">
        <v>917</v>
      </c>
      <c r="B918" s="9" t="s">
        <v>9</v>
      </c>
      <c r="C918" s="9">
        <v>1917</v>
      </c>
      <c r="D918" s="10">
        <v>45653</v>
      </c>
      <c r="E918" s="9" t="str">
        <f>+HYPERLINK("http://trademark.i-assist.jp/data/china/image_1917th/81231361.pdf","81231361")</f>
        <v>81231361</v>
      </c>
      <c r="F918" s="9" t="s">
        <v>2559</v>
      </c>
      <c r="G918" s="9" t="s">
        <v>2560</v>
      </c>
      <c r="H918" s="9" t="s">
        <v>2561</v>
      </c>
      <c r="I918" s="10">
        <v>45565</v>
      </c>
    </row>
    <row r="919" spans="1:9" x14ac:dyDescent="0.15">
      <c r="A919" s="9">
        <v>918</v>
      </c>
      <c r="B919" s="9" t="s">
        <v>9</v>
      </c>
      <c r="C919" s="9">
        <v>1917</v>
      </c>
      <c r="D919" s="10">
        <v>45653</v>
      </c>
      <c r="E919" s="9" t="str">
        <f>+HYPERLINK("http://trademark.i-assist.jp/data/china/image_1917th/81231574.pdf","81231574")</f>
        <v>81231574</v>
      </c>
      <c r="F919" s="9" t="s">
        <v>2562</v>
      </c>
      <c r="G919" s="12" t="s">
        <v>2563</v>
      </c>
      <c r="H919" s="9" t="s">
        <v>2564</v>
      </c>
      <c r="I919" s="10">
        <v>45565</v>
      </c>
    </row>
    <row r="920" spans="1:9" x14ac:dyDescent="0.15">
      <c r="A920" s="9">
        <v>919</v>
      </c>
      <c r="B920" s="9" t="s">
        <v>9</v>
      </c>
      <c r="C920" s="9">
        <v>1917</v>
      </c>
      <c r="D920" s="10">
        <v>45653</v>
      </c>
      <c r="E920" s="9" t="str">
        <f>+HYPERLINK("http://trademark.i-assist.jp/data/china/image_1917th/81232250.pdf","81232250")</f>
        <v>81232250</v>
      </c>
      <c r="F920" s="12" t="s">
        <v>2565</v>
      </c>
      <c r="G920" s="9" t="s">
        <v>2508</v>
      </c>
      <c r="H920" s="9" t="s">
        <v>2566</v>
      </c>
      <c r="I920" s="10">
        <v>45565</v>
      </c>
    </row>
    <row r="921" spans="1:9" x14ac:dyDescent="0.15">
      <c r="A921" s="9">
        <v>920</v>
      </c>
      <c r="B921" s="9" t="s">
        <v>9</v>
      </c>
      <c r="C921" s="9">
        <v>1917</v>
      </c>
      <c r="D921" s="10">
        <v>45653</v>
      </c>
      <c r="E921" s="9" t="str">
        <f>+HYPERLINK("http://trademark.i-assist.jp/data/china/image_1917th/81232311.pdf","81232311")</f>
        <v>81232311</v>
      </c>
      <c r="F921" s="9" t="s">
        <v>2567</v>
      </c>
      <c r="G921" s="9" t="s">
        <v>2568</v>
      </c>
      <c r="H921" s="9" t="s">
        <v>2569</v>
      </c>
      <c r="I921" s="10">
        <v>45565</v>
      </c>
    </row>
    <row r="922" spans="1:9" x14ac:dyDescent="0.15">
      <c r="A922" s="9">
        <v>921</v>
      </c>
      <c r="B922" s="9" t="s">
        <v>9</v>
      </c>
      <c r="C922" s="9">
        <v>1917</v>
      </c>
      <c r="D922" s="10">
        <v>45653</v>
      </c>
      <c r="E922" s="9" t="str">
        <f>+HYPERLINK("http://trademark.i-assist.jp/data/china/image_1917th/81232393.pdf","81232393")</f>
        <v>81232393</v>
      </c>
      <c r="F922" s="9" t="s">
        <v>2570</v>
      </c>
      <c r="G922" s="9" t="s">
        <v>2571</v>
      </c>
      <c r="H922" s="9" t="s">
        <v>2572</v>
      </c>
      <c r="I922" s="10">
        <v>45565</v>
      </c>
    </row>
    <row r="923" spans="1:9" x14ac:dyDescent="0.15">
      <c r="A923" s="9">
        <v>922</v>
      </c>
      <c r="B923" s="9" t="s">
        <v>9</v>
      </c>
      <c r="C923" s="9">
        <v>1917</v>
      </c>
      <c r="D923" s="10">
        <v>45653</v>
      </c>
      <c r="E923" s="9" t="str">
        <f>+HYPERLINK("http://trademark.i-assist.jp/data/china/image_1917th/81232922.pdf","81232922")</f>
        <v>81232922</v>
      </c>
      <c r="F923" s="9" t="s">
        <v>2573</v>
      </c>
      <c r="G923" s="9" t="s">
        <v>2574</v>
      </c>
      <c r="H923" s="12" t="s">
        <v>2575</v>
      </c>
      <c r="I923" s="10">
        <v>45565</v>
      </c>
    </row>
    <row r="924" spans="1:9" x14ac:dyDescent="0.15">
      <c r="A924" s="9">
        <v>923</v>
      </c>
      <c r="B924" s="9" t="s">
        <v>9</v>
      </c>
      <c r="C924" s="9">
        <v>1917</v>
      </c>
      <c r="D924" s="10">
        <v>45653</v>
      </c>
      <c r="E924" s="9" t="str">
        <f>+HYPERLINK("http://trademark.i-assist.jp/data/china/image_1917th/81233067.pdf","81233067")</f>
        <v>81233067</v>
      </c>
      <c r="F924" s="9" t="s">
        <v>2576</v>
      </c>
      <c r="G924" s="9" t="s">
        <v>2529</v>
      </c>
      <c r="H924" s="9" t="s">
        <v>2577</v>
      </c>
      <c r="I924" s="10">
        <v>45565</v>
      </c>
    </row>
    <row r="925" spans="1:9" x14ac:dyDescent="0.15">
      <c r="A925" s="9">
        <v>924</v>
      </c>
      <c r="B925" s="9" t="s">
        <v>9</v>
      </c>
      <c r="C925" s="9">
        <v>1917</v>
      </c>
      <c r="D925" s="10">
        <v>45653</v>
      </c>
      <c r="E925" s="9" t="str">
        <f>+HYPERLINK("http://trademark.i-assist.jp/data/china/image_1917th/81233555.pdf","81233555")</f>
        <v>81233555</v>
      </c>
      <c r="F925" s="9" t="s">
        <v>2578</v>
      </c>
      <c r="G925" s="9" t="s">
        <v>2464</v>
      </c>
      <c r="H925" s="9" t="s">
        <v>2579</v>
      </c>
      <c r="I925" s="10">
        <v>45565</v>
      </c>
    </row>
    <row r="926" spans="1:9" x14ac:dyDescent="0.15">
      <c r="A926" s="9">
        <v>925</v>
      </c>
      <c r="B926" s="9" t="s">
        <v>9</v>
      </c>
      <c r="C926" s="9">
        <v>1917</v>
      </c>
      <c r="D926" s="10">
        <v>45653</v>
      </c>
      <c r="E926" s="9" t="str">
        <f>+HYPERLINK("http://trademark.i-assist.jp/data/china/image_1917th/81233580.pdf","81233580")</f>
        <v>81233580</v>
      </c>
      <c r="F926" s="12" t="s">
        <v>2580</v>
      </c>
      <c r="G926" s="9" t="s">
        <v>2464</v>
      </c>
      <c r="H926" s="9" t="s">
        <v>2581</v>
      </c>
      <c r="I926" s="10">
        <v>45565</v>
      </c>
    </row>
    <row r="927" spans="1:9" x14ac:dyDescent="0.15">
      <c r="A927" s="9">
        <v>926</v>
      </c>
      <c r="B927" s="9" t="s">
        <v>9</v>
      </c>
      <c r="C927" s="9">
        <v>1917</v>
      </c>
      <c r="D927" s="10">
        <v>45653</v>
      </c>
      <c r="E927" s="9" t="str">
        <f>+HYPERLINK("http://trademark.i-assist.jp/data/china/image_1917th/81233597.pdf","81233597")</f>
        <v>81233597</v>
      </c>
      <c r="F927" s="9" t="s">
        <v>2582</v>
      </c>
      <c r="G927" s="9" t="s">
        <v>2464</v>
      </c>
      <c r="H927" s="9" t="s">
        <v>2583</v>
      </c>
      <c r="I927" s="10">
        <v>45565</v>
      </c>
    </row>
    <row r="928" spans="1:9" x14ac:dyDescent="0.15">
      <c r="A928" s="9">
        <v>927</v>
      </c>
      <c r="B928" s="9" t="s">
        <v>9</v>
      </c>
      <c r="C928" s="9">
        <v>1917</v>
      </c>
      <c r="D928" s="10">
        <v>45653</v>
      </c>
      <c r="E928" s="9" t="str">
        <f>+HYPERLINK("http://trademark.i-assist.jp/data/china/image_1917th/81233791.pdf","81233791")</f>
        <v>81233791</v>
      </c>
      <c r="F928" s="12" t="s">
        <v>2584</v>
      </c>
      <c r="G928" s="9" t="s">
        <v>2585</v>
      </c>
      <c r="H928" s="9" t="s">
        <v>2586</v>
      </c>
      <c r="I928" s="10">
        <v>45565</v>
      </c>
    </row>
    <row r="929" spans="1:9" x14ac:dyDescent="0.15">
      <c r="A929" s="9">
        <v>928</v>
      </c>
      <c r="B929" s="9" t="s">
        <v>9</v>
      </c>
      <c r="C929" s="9">
        <v>1917</v>
      </c>
      <c r="D929" s="10">
        <v>45653</v>
      </c>
      <c r="E929" s="9" t="str">
        <f>+HYPERLINK("http://trademark.i-assist.jp/data/china/image_1917th/81233813.pdf","81233813")</f>
        <v>81233813</v>
      </c>
      <c r="F929" s="9" t="s">
        <v>2587</v>
      </c>
      <c r="G929" s="9" t="s">
        <v>2585</v>
      </c>
      <c r="H929" s="9" t="s">
        <v>2588</v>
      </c>
      <c r="I929" s="10">
        <v>45565</v>
      </c>
    </row>
    <row r="930" spans="1:9" x14ac:dyDescent="0.15">
      <c r="A930" s="9">
        <v>929</v>
      </c>
      <c r="B930" s="9" t="s">
        <v>9</v>
      </c>
      <c r="C930" s="9">
        <v>1917</v>
      </c>
      <c r="D930" s="10">
        <v>45653</v>
      </c>
      <c r="E930" s="9" t="str">
        <f>+HYPERLINK("http://trademark.i-assist.jp/data/china/image_1917th/81234119.pdf","81234119")</f>
        <v>81234119</v>
      </c>
      <c r="F930" s="9" t="s">
        <v>2589</v>
      </c>
      <c r="G930" s="12" t="s">
        <v>2590</v>
      </c>
      <c r="H930" s="9" t="s">
        <v>2591</v>
      </c>
      <c r="I930" s="10">
        <v>45573</v>
      </c>
    </row>
    <row r="931" spans="1:9" x14ac:dyDescent="0.15">
      <c r="A931" s="9">
        <v>930</v>
      </c>
      <c r="B931" s="9" t="s">
        <v>9</v>
      </c>
      <c r="C931" s="9">
        <v>1917</v>
      </c>
      <c r="D931" s="10">
        <v>45653</v>
      </c>
      <c r="E931" s="9" t="str">
        <f>+HYPERLINK("http://trademark.i-assist.jp/data/china/image_1917th/81234731.pdf","81234731")</f>
        <v>81234731</v>
      </c>
      <c r="F931" s="9" t="s">
        <v>2592</v>
      </c>
      <c r="G931" s="9" t="s">
        <v>2593</v>
      </c>
      <c r="H931" s="9" t="s">
        <v>2594</v>
      </c>
      <c r="I931" s="10">
        <v>45573</v>
      </c>
    </row>
    <row r="932" spans="1:9" x14ac:dyDescent="0.15">
      <c r="A932" s="9">
        <v>931</v>
      </c>
      <c r="B932" s="9" t="s">
        <v>9</v>
      </c>
      <c r="C932" s="9">
        <v>1917</v>
      </c>
      <c r="D932" s="10">
        <v>45653</v>
      </c>
      <c r="E932" s="9" t="str">
        <f>+HYPERLINK("http://trademark.i-assist.jp/data/china/image_1917th/81235164.pdf","81235164")</f>
        <v>81235164</v>
      </c>
      <c r="F932" s="12" t="s">
        <v>12</v>
      </c>
      <c r="G932" s="12" t="s">
        <v>2595</v>
      </c>
      <c r="H932" s="9" t="s">
        <v>2596</v>
      </c>
      <c r="I932" s="10">
        <v>45573</v>
      </c>
    </row>
    <row r="933" spans="1:9" x14ac:dyDescent="0.15">
      <c r="A933" s="9">
        <v>932</v>
      </c>
      <c r="B933" s="9" t="s">
        <v>9</v>
      </c>
      <c r="C933" s="9">
        <v>1917</v>
      </c>
      <c r="D933" s="10">
        <v>45653</v>
      </c>
      <c r="E933" s="9" t="str">
        <f>+HYPERLINK("http://trademark.i-assist.jp/data/china/image_1917th/81236219.pdf","81236219")</f>
        <v>81236219</v>
      </c>
      <c r="F933" s="9" t="s">
        <v>2597</v>
      </c>
      <c r="G933" s="9" t="s">
        <v>2598</v>
      </c>
      <c r="H933" s="9" t="s">
        <v>15</v>
      </c>
      <c r="I933" s="10">
        <v>45573</v>
      </c>
    </row>
    <row r="934" spans="1:9" x14ac:dyDescent="0.15">
      <c r="A934" s="9">
        <v>933</v>
      </c>
      <c r="B934" s="9" t="s">
        <v>9</v>
      </c>
      <c r="C934" s="9">
        <v>1917</v>
      </c>
      <c r="D934" s="10">
        <v>45653</v>
      </c>
      <c r="E934" s="9" t="str">
        <f>+HYPERLINK("http://trademark.i-assist.jp/data/china/image_1917th/81236632.pdf","81236632")</f>
        <v>81236632</v>
      </c>
      <c r="F934" s="9" t="s">
        <v>2599</v>
      </c>
      <c r="G934" s="9" t="s">
        <v>2600</v>
      </c>
      <c r="H934" s="9" t="s">
        <v>2601</v>
      </c>
      <c r="I934" s="10">
        <v>45573</v>
      </c>
    </row>
    <row r="935" spans="1:9" x14ac:dyDescent="0.15">
      <c r="A935" s="9">
        <v>934</v>
      </c>
      <c r="B935" s="9" t="s">
        <v>9</v>
      </c>
      <c r="C935" s="9">
        <v>1917</v>
      </c>
      <c r="D935" s="10">
        <v>45653</v>
      </c>
      <c r="E935" s="9" t="str">
        <f>+HYPERLINK("http://trademark.i-assist.jp/data/china/image_1917th/81237076.pdf","81237076")</f>
        <v>81237076</v>
      </c>
      <c r="F935" s="9" t="s">
        <v>2602</v>
      </c>
      <c r="G935" s="12" t="s">
        <v>2603</v>
      </c>
      <c r="H935" s="9" t="s">
        <v>2604</v>
      </c>
      <c r="I935" s="10">
        <v>45573</v>
      </c>
    </row>
    <row r="936" spans="1:9" x14ac:dyDescent="0.15">
      <c r="A936" s="9">
        <v>935</v>
      </c>
      <c r="B936" s="9" t="s">
        <v>9</v>
      </c>
      <c r="C936" s="9">
        <v>1917</v>
      </c>
      <c r="D936" s="10">
        <v>45653</v>
      </c>
      <c r="E936" s="9" t="str">
        <f>+HYPERLINK("http://trademark.i-assist.jp/data/china/image_1917th/81237236.pdf","81237236")</f>
        <v>81237236</v>
      </c>
      <c r="F936" s="9" t="s">
        <v>2605</v>
      </c>
      <c r="G936" s="9" t="s">
        <v>2606</v>
      </c>
      <c r="H936" s="9" t="s">
        <v>2607</v>
      </c>
      <c r="I936" s="10">
        <v>45573</v>
      </c>
    </row>
    <row r="937" spans="1:9" x14ac:dyDescent="0.15">
      <c r="A937" s="9">
        <v>936</v>
      </c>
      <c r="B937" s="9" t="s">
        <v>9</v>
      </c>
      <c r="C937" s="9">
        <v>1917</v>
      </c>
      <c r="D937" s="10">
        <v>45653</v>
      </c>
      <c r="E937" s="9" t="str">
        <f>+HYPERLINK("http://trademark.i-assist.jp/data/china/image_1917th/81237498.pdf","81237498")</f>
        <v>81237498</v>
      </c>
      <c r="F937" s="9" t="s">
        <v>2608</v>
      </c>
      <c r="G937" s="12" t="s">
        <v>2590</v>
      </c>
      <c r="H937" s="9" t="s">
        <v>2609</v>
      </c>
      <c r="I937" s="10">
        <v>45573</v>
      </c>
    </row>
    <row r="938" spans="1:9" x14ac:dyDescent="0.15">
      <c r="A938" s="9">
        <v>937</v>
      </c>
      <c r="B938" s="9" t="s">
        <v>9</v>
      </c>
      <c r="C938" s="9">
        <v>1917</v>
      </c>
      <c r="D938" s="10">
        <v>45653</v>
      </c>
      <c r="E938" s="9" t="str">
        <f>+HYPERLINK("http://trademark.i-assist.jp/data/china/image_1917th/81238588.pdf","81238588")</f>
        <v>81238588</v>
      </c>
      <c r="F938" s="12" t="s">
        <v>2610</v>
      </c>
      <c r="G938" s="12" t="s">
        <v>2611</v>
      </c>
      <c r="H938" s="9" t="s">
        <v>2612</v>
      </c>
      <c r="I938" s="10">
        <v>45573</v>
      </c>
    </row>
    <row r="939" spans="1:9" x14ac:dyDescent="0.15">
      <c r="A939" s="9">
        <v>938</v>
      </c>
      <c r="B939" s="9" t="s">
        <v>9</v>
      </c>
      <c r="C939" s="9">
        <v>1917</v>
      </c>
      <c r="D939" s="10">
        <v>45653</v>
      </c>
      <c r="E939" s="9" t="str">
        <f>+HYPERLINK("http://trademark.i-assist.jp/data/china/image_1917th/81238763.pdf","81238763")</f>
        <v>81238763</v>
      </c>
      <c r="F939" s="9" t="s">
        <v>2613</v>
      </c>
      <c r="G939" s="12" t="s">
        <v>2614</v>
      </c>
      <c r="H939" s="9" t="s">
        <v>2615</v>
      </c>
      <c r="I939" s="10">
        <v>45573</v>
      </c>
    </row>
    <row r="940" spans="1:9" x14ac:dyDescent="0.15">
      <c r="A940" s="9">
        <v>939</v>
      </c>
      <c r="B940" s="9" t="s">
        <v>9</v>
      </c>
      <c r="C940" s="9">
        <v>1917</v>
      </c>
      <c r="D940" s="10">
        <v>45653</v>
      </c>
      <c r="E940" s="9" t="str">
        <f>+HYPERLINK("http://trademark.i-assist.jp/data/china/image_1917th/81238878.pdf","81238878")</f>
        <v>81238878</v>
      </c>
      <c r="F940" s="9" t="s">
        <v>2616</v>
      </c>
      <c r="G940" s="9" t="s">
        <v>2617</v>
      </c>
      <c r="H940" s="9" t="s">
        <v>2618</v>
      </c>
      <c r="I940" s="10">
        <v>45573</v>
      </c>
    </row>
    <row r="941" spans="1:9" x14ac:dyDescent="0.15">
      <c r="A941" s="9">
        <v>940</v>
      </c>
      <c r="B941" s="9" t="s">
        <v>9</v>
      </c>
      <c r="C941" s="9">
        <v>1917</v>
      </c>
      <c r="D941" s="10">
        <v>45653</v>
      </c>
      <c r="E941" s="9" t="str">
        <f>+HYPERLINK("http://trademark.i-assist.jp/data/china/image_1917th/81238904.pdf","81238904")</f>
        <v>81238904</v>
      </c>
      <c r="F941" s="9" t="s">
        <v>2619</v>
      </c>
      <c r="G941" s="12" t="s">
        <v>2620</v>
      </c>
      <c r="H941" s="12" t="s">
        <v>2621</v>
      </c>
      <c r="I941" s="10">
        <v>45573</v>
      </c>
    </row>
    <row r="942" spans="1:9" x14ac:dyDescent="0.15">
      <c r="A942" s="9">
        <v>941</v>
      </c>
      <c r="B942" s="9" t="s">
        <v>9</v>
      </c>
      <c r="C942" s="9">
        <v>1917</v>
      </c>
      <c r="D942" s="10">
        <v>45653</v>
      </c>
      <c r="E942" s="9" t="str">
        <f>+HYPERLINK("http://trademark.i-assist.jp/data/china/image_1917th/81238944.pdf","81238944")</f>
        <v>81238944</v>
      </c>
      <c r="F942" s="9" t="s">
        <v>2622</v>
      </c>
      <c r="G942" s="9" t="s">
        <v>2623</v>
      </c>
      <c r="H942" s="9" t="s">
        <v>2624</v>
      </c>
      <c r="I942" s="10">
        <v>45573</v>
      </c>
    </row>
    <row r="943" spans="1:9" x14ac:dyDescent="0.15">
      <c r="A943" s="9">
        <v>942</v>
      </c>
      <c r="B943" s="9" t="s">
        <v>9</v>
      </c>
      <c r="C943" s="9">
        <v>1917</v>
      </c>
      <c r="D943" s="10">
        <v>45653</v>
      </c>
      <c r="E943" s="9" t="str">
        <f>+HYPERLINK("http://trademark.i-assist.jp/data/china/image_1917th/81238960.pdf","81238960")</f>
        <v>81238960</v>
      </c>
      <c r="F943" s="9" t="s">
        <v>2625</v>
      </c>
      <c r="G943" s="12" t="s">
        <v>2626</v>
      </c>
      <c r="H943" s="9" t="s">
        <v>2627</v>
      </c>
      <c r="I943" s="10">
        <v>45573</v>
      </c>
    </row>
    <row r="944" spans="1:9" x14ac:dyDescent="0.15">
      <c r="A944" s="9">
        <v>943</v>
      </c>
      <c r="B944" s="9" t="s">
        <v>9</v>
      </c>
      <c r="C944" s="9">
        <v>1917</v>
      </c>
      <c r="D944" s="10">
        <v>45653</v>
      </c>
      <c r="E944" s="9" t="str">
        <f>+HYPERLINK("http://trademark.i-assist.jp/data/china/image_1917th/81239048.pdf","81239048")</f>
        <v>81239048</v>
      </c>
      <c r="F944" s="9" t="s">
        <v>2628</v>
      </c>
      <c r="G944" s="9" t="s">
        <v>2629</v>
      </c>
      <c r="H944" s="9" t="s">
        <v>2630</v>
      </c>
      <c r="I944" s="10">
        <v>45573</v>
      </c>
    </row>
    <row r="945" spans="1:9" x14ac:dyDescent="0.15">
      <c r="A945" s="9">
        <v>944</v>
      </c>
      <c r="B945" s="9" t="s">
        <v>9</v>
      </c>
      <c r="C945" s="9">
        <v>1917</v>
      </c>
      <c r="D945" s="10">
        <v>45653</v>
      </c>
      <c r="E945" s="9" t="str">
        <f>+HYPERLINK("http://trademark.i-assist.jp/data/china/image_1917th/81239458.pdf","81239458")</f>
        <v>81239458</v>
      </c>
      <c r="F945" s="9" t="s">
        <v>2631</v>
      </c>
      <c r="G945" s="12" t="s">
        <v>2632</v>
      </c>
      <c r="H945" s="9" t="s">
        <v>2633</v>
      </c>
      <c r="I945" s="10">
        <v>45573</v>
      </c>
    </row>
    <row r="946" spans="1:9" x14ac:dyDescent="0.15">
      <c r="A946" s="9">
        <v>945</v>
      </c>
      <c r="B946" s="9" t="s">
        <v>9</v>
      </c>
      <c r="C946" s="9">
        <v>1917</v>
      </c>
      <c r="D946" s="10">
        <v>45653</v>
      </c>
      <c r="E946" s="9" t="str">
        <f>+HYPERLINK("http://trademark.i-assist.jp/data/china/image_1917th/81239635.pdf","81239635")</f>
        <v>81239635</v>
      </c>
      <c r="F946" s="9" t="s">
        <v>2634</v>
      </c>
      <c r="G946" s="9" t="s">
        <v>2635</v>
      </c>
      <c r="H946" s="9" t="s">
        <v>2636</v>
      </c>
      <c r="I946" s="10">
        <v>45573</v>
      </c>
    </row>
    <row r="947" spans="1:9" x14ac:dyDescent="0.15">
      <c r="A947" s="9">
        <v>946</v>
      </c>
      <c r="B947" s="9" t="s">
        <v>9</v>
      </c>
      <c r="C947" s="9">
        <v>1917</v>
      </c>
      <c r="D947" s="10">
        <v>45653</v>
      </c>
      <c r="E947" s="9" t="str">
        <f>+HYPERLINK("http://trademark.i-assist.jp/data/china/image_1917th/81240441.pdf","81240441")</f>
        <v>81240441</v>
      </c>
      <c r="F947" s="12" t="s">
        <v>2637</v>
      </c>
      <c r="G947" s="12" t="s">
        <v>2638</v>
      </c>
      <c r="H947" s="9" t="s">
        <v>2639</v>
      </c>
      <c r="I947" s="10">
        <v>45573</v>
      </c>
    </row>
    <row r="948" spans="1:9" x14ac:dyDescent="0.15">
      <c r="A948" s="9">
        <v>947</v>
      </c>
      <c r="B948" s="9" t="s">
        <v>9</v>
      </c>
      <c r="C948" s="9">
        <v>1917</v>
      </c>
      <c r="D948" s="10">
        <v>45653</v>
      </c>
      <c r="E948" s="9" t="str">
        <f>+HYPERLINK("http://trademark.i-assist.jp/data/china/image_1917th/81240891.pdf","81240891")</f>
        <v>81240891</v>
      </c>
      <c r="F948" s="12" t="s">
        <v>2640</v>
      </c>
      <c r="G948" s="12" t="s">
        <v>49</v>
      </c>
      <c r="H948" s="9" t="s">
        <v>2641</v>
      </c>
      <c r="I948" s="10">
        <v>45573</v>
      </c>
    </row>
    <row r="949" spans="1:9" x14ac:dyDescent="0.15">
      <c r="A949" s="9">
        <v>948</v>
      </c>
      <c r="B949" s="9" t="s">
        <v>9</v>
      </c>
      <c r="C949" s="9">
        <v>1917</v>
      </c>
      <c r="D949" s="10">
        <v>45653</v>
      </c>
      <c r="E949" s="9" t="str">
        <f>+HYPERLINK("http://trademark.i-assist.jp/data/china/image_1917th/81241118.pdf","81241118")</f>
        <v>81241118</v>
      </c>
      <c r="F949" s="9" t="s">
        <v>2642</v>
      </c>
      <c r="G949" s="9" t="s">
        <v>2629</v>
      </c>
      <c r="H949" s="9" t="s">
        <v>2643</v>
      </c>
      <c r="I949" s="10">
        <v>45573</v>
      </c>
    </row>
    <row r="950" spans="1:9" x14ac:dyDescent="0.15">
      <c r="A950" s="9">
        <v>949</v>
      </c>
      <c r="B950" s="9" t="s">
        <v>9</v>
      </c>
      <c r="C950" s="9">
        <v>1917</v>
      </c>
      <c r="D950" s="10">
        <v>45653</v>
      </c>
      <c r="E950" s="9" t="str">
        <f>+HYPERLINK("http://trademark.i-assist.jp/data/china/image_1917th/81241358.pdf","81241358")</f>
        <v>81241358</v>
      </c>
      <c r="F950" s="12" t="s">
        <v>2644</v>
      </c>
      <c r="G950" s="9" t="s">
        <v>2645</v>
      </c>
      <c r="H950" s="9" t="s">
        <v>2646</v>
      </c>
      <c r="I950" s="10">
        <v>45573</v>
      </c>
    </row>
    <row r="951" spans="1:9" x14ac:dyDescent="0.15">
      <c r="A951" s="9">
        <v>950</v>
      </c>
      <c r="B951" s="9" t="s">
        <v>9</v>
      </c>
      <c r="C951" s="9">
        <v>1917</v>
      </c>
      <c r="D951" s="10">
        <v>45653</v>
      </c>
      <c r="E951" s="9" t="str">
        <f>+HYPERLINK("http://trademark.i-assist.jp/data/china/image_1917th/81241826.pdf","81241826")</f>
        <v>81241826</v>
      </c>
      <c r="F951" s="9" t="s">
        <v>2647</v>
      </c>
      <c r="G951" s="12" t="s">
        <v>2648</v>
      </c>
      <c r="H951" s="9" t="s">
        <v>2649</v>
      </c>
      <c r="I951" s="10">
        <v>45573</v>
      </c>
    </row>
    <row r="952" spans="1:9" x14ac:dyDescent="0.15">
      <c r="A952" s="9">
        <v>951</v>
      </c>
      <c r="B952" s="9" t="s">
        <v>9</v>
      </c>
      <c r="C952" s="9">
        <v>1917</v>
      </c>
      <c r="D952" s="10">
        <v>45653</v>
      </c>
      <c r="E952" s="9" t="str">
        <f>+HYPERLINK("http://trademark.i-assist.jp/data/china/image_1917th/81241976.pdf","81241976")</f>
        <v>81241976</v>
      </c>
      <c r="F952" s="9" t="s">
        <v>2650</v>
      </c>
      <c r="G952" s="9" t="s">
        <v>2651</v>
      </c>
      <c r="H952" s="9" t="s">
        <v>2652</v>
      </c>
      <c r="I952" s="10">
        <v>45573</v>
      </c>
    </row>
    <row r="953" spans="1:9" x14ac:dyDescent="0.15">
      <c r="A953" s="9">
        <v>952</v>
      </c>
      <c r="B953" s="9" t="s">
        <v>9</v>
      </c>
      <c r="C953" s="9">
        <v>1917</v>
      </c>
      <c r="D953" s="10">
        <v>45653</v>
      </c>
      <c r="E953" s="9" t="str">
        <f>+HYPERLINK("http://trademark.i-assist.jp/data/china/image_1917th/81242040.pdf","81242040")</f>
        <v>81242040</v>
      </c>
      <c r="F953" s="12" t="s">
        <v>12</v>
      </c>
      <c r="G953" s="12" t="s">
        <v>2595</v>
      </c>
      <c r="H953" s="9" t="s">
        <v>2653</v>
      </c>
      <c r="I953" s="10">
        <v>45573</v>
      </c>
    </row>
    <row r="954" spans="1:9" x14ac:dyDescent="0.15">
      <c r="A954" s="9">
        <v>953</v>
      </c>
      <c r="B954" s="9" t="s">
        <v>9</v>
      </c>
      <c r="C954" s="9">
        <v>1917</v>
      </c>
      <c r="D954" s="10">
        <v>45653</v>
      </c>
      <c r="E954" s="9" t="str">
        <f>+HYPERLINK("http://trademark.i-assist.jp/data/china/image_1917th/81242161.pdf","81242161")</f>
        <v>81242161</v>
      </c>
      <c r="F954" s="9" t="s">
        <v>2654</v>
      </c>
      <c r="G954" s="9" t="s">
        <v>2655</v>
      </c>
      <c r="H954" s="9" t="s">
        <v>2656</v>
      </c>
      <c r="I954" s="10">
        <v>45573</v>
      </c>
    </row>
    <row r="955" spans="1:9" x14ac:dyDescent="0.15">
      <c r="A955" s="9">
        <v>954</v>
      </c>
      <c r="B955" s="9" t="s">
        <v>9</v>
      </c>
      <c r="C955" s="9">
        <v>1917</v>
      </c>
      <c r="D955" s="10">
        <v>45653</v>
      </c>
      <c r="E955" s="9" t="str">
        <f>+HYPERLINK("http://trademark.i-assist.jp/data/china/image_1917th/81242190.pdf","81242190")</f>
        <v>81242190</v>
      </c>
      <c r="F955" s="12" t="s">
        <v>2657</v>
      </c>
      <c r="G955" s="12" t="s">
        <v>2658</v>
      </c>
      <c r="H955" s="9" t="s">
        <v>2659</v>
      </c>
      <c r="I955" s="10">
        <v>45573</v>
      </c>
    </row>
    <row r="956" spans="1:9" x14ac:dyDescent="0.15">
      <c r="A956" s="9">
        <v>955</v>
      </c>
      <c r="B956" s="9" t="s">
        <v>9</v>
      </c>
      <c r="C956" s="9">
        <v>1917</v>
      </c>
      <c r="D956" s="10">
        <v>45653</v>
      </c>
      <c r="E956" s="9" t="str">
        <f>+HYPERLINK("http://trademark.i-assist.jp/data/china/image_1917th/81242321.pdf","81242321")</f>
        <v>81242321</v>
      </c>
      <c r="F956" s="9" t="s">
        <v>2660</v>
      </c>
      <c r="G956" s="9" t="s">
        <v>2629</v>
      </c>
      <c r="H956" s="9" t="s">
        <v>2661</v>
      </c>
      <c r="I956" s="10">
        <v>45573</v>
      </c>
    </row>
    <row r="957" spans="1:9" x14ac:dyDescent="0.15">
      <c r="A957" s="9">
        <v>956</v>
      </c>
      <c r="B957" s="9" t="s">
        <v>9</v>
      </c>
      <c r="C957" s="9">
        <v>1917</v>
      </c>
      <c r="D957" s="10">
        <v>45653</v>
      </c>
      <c r="E957" s="9" t="str">
        <f>+HYPERLINK("http://trademark.i-assist.jp/data/china/image_1917th/81243741.pdf","81243741")</f>
        <v>81243741</v>
      </c>
      <c r="F957" s="12" t="s">
        <v>2662</v>
      </c>
      <c r="G957" s="9" t="s">
        <v>2663</v>
      </c>
      <c r="H957" s="9" t="s">
        <v>2664</v>
      </c>
      <c r="I957" s="10">
        <v>45573</v>
      </c>
    </row>
    <row r="958" spans="1:9" x14ac:dyDescent="0.15">
      <c r="A958" s="9">
        <v>957</v>
      </c>
      <c r="B958" s="9" t="s">
        <v>9</v>
      </c>
      <c r="C958" s="9">
        <v>1917</v>
      </c>
      <c r="D958" s="10">
        <v>45653</v>
      </c>
      <c r="E958" s="9" t="str">
        <f>+HYPERLINK("http://trademark.i-assist.jp/data/china/image_1917th/81243807.pdf","81243807")</f>
        <v>81243807</v>
      </c>
      <c r="F958" s="9" t="s">
        <v>2665</v>
      </c>
      <c r="G958" s="9" t="s">
        <v>2629</v>
      </c>
      <c r="H958" s="9" t="s">
        <v>2666</v>
      </c>
      <c r="I958" s="10">
        <v>45573</v>
      </c>
    </row>
    <row r="959" spans="1:9" x14ac:dyDescent="0.15">
      <c r="A959" s="9">
        <v>958</v>
      </c>
      <c r="B959" s="9" t="s">
        <v>9</v>
      </c>
      <c r="C959" s="9">
        <v>1917</v>
      </c>
      <c r="D959" s="10">
        <v>45653</v>
      </c>
      <c r="E959" s="9" t="str">
        <f>+HYPERLINK("http://trademark.i-assist.jp/data/china/image_1917th/81243925.pdf","81243925")</f>
        <v>81243925</v>
      </c>
      <c r="F959" s="12" t="s">
        <v>2667</v>
      </c>
      <c r="G959" s="9" t="s">
        <v>2668</v>
      </c>
      <c r="H959" s="9" t="s">
        <v>2669</v>
      </c>
      <c r="I959" s="10">
        <v>45573</v>
      </c>
    </row>
    <row r="960" spans="1:9" x14ac:dyDescent="0.15">
      <c r="A960" s="9">
        <v>959</v>
      </c>
      <c r="B960" s="9" t="s">
        <v>9</v>
      </c>
      <c r="C960" s="9">
        <v>1917</v>
      </c>
      <c r="D960" s="10">
        <v>45653</v>
      </c>
      <c r="E960" s="9" t="str">
        <f>+HYPERLINK("http://trademark.i-assist.jp/data/china/image_1917th/81243935.pdf","81243935")</f>
        <v>81243935</v>
      </c>
      <c r="F960" s="9" t="s">
        <v>2670</v>
      </c>
      <c r="G960" s="9" t="s">
        <v>2593</v>
      </c>
      <c r="H960" s="9" t="s">
        <v>2671</v>
      </c>
      <c r="I960" s="10">
        <v>45573</v>
      </c>
    </row>
    <row r="961" spans="1:9" x14ac:dyDescent="0.15">
      <c r="A961" s="9">
        <v>960</v>
      </c>
      <c r="B961" s="9" t="s">
        <v>9</v>
      </c>
      <c r="C961" s="9">
        <v>1917</v>
      </c>
      <c r="D961" s="10">
        <v>45653</v>
      </c>
      <c r="E961" s="9" t="str">
        <f>+HYPERLINK("http://trademark.i-assist.jp/data/china/image_1917th/81244293.pdf","81244293")</f>
        <v>81244293</v>
      </c>
      <c r="F961" s="9" t="s">
        <v>2672</v>
      </c>
      <c r="G961" s="9" t="s">
        <v>2673</v>
      </c>
      <c r="H961" s="9" t="s">
        <v>2674</v>
      </c>
      <c r="I961" s="10">
        <v>45573</v>
      </c>
    </row>
    <row r="962" spans="1:9" x14ac:dyDescent="0.15">
      <c r="A962" s="9">
        <v>961</v>
      </c>
      <c r="B962" s="9" t="s">
        <v>9</v>
      </c>
      <c r="C962" s="9">
        <v>1917</v>
      </c>
      <c r="D962" s="10">
        <v>45653</v>
      </c>
      <c r="E962" s="9" t="str">
        <f>+HYPERLINK("http://trademark.i-assist.jp/data/china/image_1917th/81244308.pdf","81244308")</f>
        <v>81244308</v>
      </c>
      <c r="F962" s="9" t="s">
        <v>2675</v>
      </c>
      <c r="G962" s="9" t="s">
        <v>2676</v>
      </c>
      <c r="H962" s="12" t="s">
        <v>2677</v>
      </c>
      <c r="I962" s="10">
        <v>45573</v>
      </c>
    </row>
    <row r="963" spans="1:9" x14ac:dyDescent="0.15">
      <c r="A963" s="9">
        <v>962</v>
      </c>
      <c r="B963" s="9" t="s">
        <v>9</v>
      </c>
      <c r="C963" s="9">
        <v>1917</v>
      </c>
      <c r="D963" s="10">
        <v>45653</v>
      </c>
      <c r="E963" s="9" t="str">
        <f>+HYPERLINK("http://trademark.i-assist.jp/data/china/image_1917th/81244451.pdf","81244451")</f>
        <v>81244451</v>
      </c>
      <c r="F963" s="9" t="s">
        <v>2678</v>
      </c>
      <c r="G963" s="12" t="s">
        <v>2679</v>
      </c>
      <c r="H963" s="9" t="s">
        <v>2680</v>
      </c>
      <c r="I963" s="10">
        <v>45573</v>
      </c>
    </row>
    <row r="964" spans="1:9" x14ac:dyDescent="0.15">
      <c r="A964" s="9">
        <v>963</v>
      </c>
      <c r="B964" s="9" t="s">
        <v>9</v>
      </c>
      <c r="C964" s="9">
        <v>1917</v>
      </c>
      <c r="D964" s="10">
        <v>45653</v>
      </c>
      <c r="E964" s="9" t="str">
        <f>+HYPERLINK("http://trademark.i-assist.jp/data/china/image_1917th/81244607.pdf","81244607")</f>
        <v>81244607</v>
      </c>
      <c r="F964" s="12" t="s">
        <v>2681</v>
      </c>
      <c r="G964" s="12" t="s">
        <v>2682</v>
      </c>
      <c r="H964" s="12" t="s">
        <v>2683</v>
      </c>
      <c r="I964" s="10">
        <v>45573</v>
      </c>
    </row>
    <row r="965" spans="1:9" x14ac:dyDescent="0.15">
      <c r="A965" s="9">
        <v>964</v>
      </c>
      <c r="B965" s="9" t="s">
        <v>9</v>
      </c>
      <c r="C965" s="9">
        <v>1917</v>
      </c>
      <c r="D965" s="10">
        <v>45653</v>
      </c>
      <c r="E965" s="9" t="str">
        <f>+HYPERLINK("http://trademark.i-assist.jp/data/china/image_1917th/81244783.pdf","81244783")</f>
        <v>81244783</v>
      </c>
      <c r="F965" s="12" t="s">
        <v>12</v>
      </c>
      <c r="G965" s="9" t="s">
        <v>2684</v>
      </c>
      <c r="H965" s="9" t="s">
        <v>2685</v>
      </c>
      <c r="I965" s="10">
        <v>45573</v>
      </c>
    </row>
    <row r="966" spans="1:9" x14ac:dyDescent="0.15">
      <c r="A966" s="9">
        <v>965</v>
      </c>
      <c r="B966" s="9" t="s">
        <v>9</v>
      </c>
      <c r="C966" s="9">
        <v>1917</v>
      </c>
      <c r="D966" s="10">
        <v>45653</v>
      </c>
      <c r="E966" s="9" t="str">
        <f>+HYPERLINK("http://trademark.i-assist.jp/data/china/image_1917th/81245236.pdf","81245236")</f>
        <v>81245236</v>
      </c>
      <c r="F966" s="9" t="s">
        <v>2642</v>
      </c>
      <c r="G966" s="9" t="s">
        <v>2629</v>
      </c>
      <c r="H966" s="9" t="s">
        <v>2686</v>
      </c>
      <c r="I966" s="10">
        <v>45573</v>
      </c>
    </row>
    <row r="967" spans="1:9" x14ac:dyDescent="0.15">
      <c r="A967" s="9">
        <v>966</v>
      </c>
      <c r="B967" s="9" t="s">
        <v>9</v>
      </c>
      <c r="C967" s="9">
        <v>1917</v>
      </c>
      <c r="D967" s="10">
        <v>45653</v>
      </c>
      <c r="E967" s="9" t="str">
        <f>+HYPERLINK("http://trademark.i-assist.jp/data/china/image_1917th/81245273.pdf","81245273")</f>
        <v>81245273</v>
      </c>
      <c r="F967" s="9" t="s">
        <v>2687</v>
      </c>
      <c r="G967" s="9" t="s">
        <v>2629</v>
      </c>
      <c r="H967" s="9" t="s">
        <v>2688</v>
      </c>
      <c r="I967" s="10">
        <v>45573</v>
      </c>
    </row>
    <row r="968" spans="1:9" x14ac:dyDescent="0.15">
      <c r="A968" s="9">
        <v>967</v>
      </c>
      <c r="B968" s="9" t="s">
        <v>9</v>
      </c>
      <c r="C968" s="9">
        <v>1917</v>
      </c>
      <c r="D968" s="10">
        <v>45653</v>
      </c>
      <c r="E968" s="9" t="str">
        <f>+HYPERLINK("http://trademark.i-assist.jp/data/china/image_1917th/81245316.pdf","81245316")</f>
        <v>81245316</v>
      </c>
      <c r="F968" s="9" t="s">
        <v>2689</v>
      </c>
      <c r="G968" s="9" t="s">
        <v>2593</v>
      </c>
      <c r="H968" s="9" t="s">
        <v>2690</v>
      </c>
      <c r="I968" s="10">
        <v>45573</v>
      </c>
    </row>
    <row r="969" spans="1:9" x14ac:dyDescent="0.15">
      <c r="A969" s="9">
        <v>968</v>
      </c>
      <c r="B969" s="9" t="s">
        <v>9</v>
      </c>
      <c r="C969" s="9">
        <v>1917</v>
      </c>
      <c r="D969" s="10">
        <v>45653</v>
      </c>
      <c r="E969" s="9" t="str">
        <f>+HYPERLINK("http://trademark.i-assist.jp/data/china/image_1917th/81246187.pdf","81246187")</f>
        <v>81246187</v>
      </c>
      <c r="F969" s="9" t="s">
        <v>2691</v>
      </c>
      <c r="G969" s="9" t="s">
        <v>2692</v>
      </c>
      <c r="H969" s="9" t="s">
        <v>2693</v>
      </c>
      <c r="I969" s="10">
        <v>45573</v>
      </c>
    </row>
    <row r="970" spans="1:9" x14ac:dyDescent="0.15">
      <c r="A970" s="9">
        <v>969</v>
      </c>
      <c r="B970" s="9" t="s">
        <v>9</v>
      </c>
      <c r="C970" s="9">
        <v>1917</v>
      </c>
      <c r="D970" s="10">
        <v>45653</v>
      </c>
      <c r="E970" s="9" t="str">
        <f>+HYPERLINK("http://trademark.i-assist.jp/data/china/image_1917th/81246290.pdf","81246290")</f>
        <v>81246290</v>
      </c>
      <c r="F970" s="9" t="s">
        <v>2694</v>
      </c>
      <c r="G970" s="9" t="s">
        <v>2629</v>
      </c>
      <c r="H970" s="9" t="s">
        <v>2695</v>
      </c>
      <c r="I970" s="10">
        <v>45573</v>
      </c>
    </row>
    <row r="971" spans="1:9" x14ac:dyDescent="0.15">
      <c r="A971" s="9">
        <v>970</v>
      </c>
      <c r="B971" s="9" t="s">
        <v>9</v>
      </c>
      <c r="C971" s="9">
        <v>1917</v>
      </c>
      <c r="D971" s="10">
        <v>45653</v>
      </c>
      <c r="E971" s="9" t="str">
        <f>+HYPERLINK("http://trademark.i-assist.jp/data/china/image_1917th/81246315.pdf","81246315")</f>
        <v>81246315</v>
      </c>
      <c r="F971" s="12" t="s">
        <v>12</v>
      </c>
      <c r="G971" s="9" t="s">
        <v>2696</v>
      </c>
      <c r="H971" s="9" t="s">
        <v>2697</v>
      </c>
      <c r="I971" s="10">
        <v>45573</v>
      </c>
    </row>
    <row r="972" spans="1:9" x14ac:dyDescent="0.15">
      <c r="A972" s="9">
        <v>971</v>
      </c>
      <c r="B972" s="9" t="s">
        <v>9</v>
      </c>
      <c r="C972" s="9">
        <v>1917</v>
      </c>
      <c r="D972" s="10">
        <v>45653</v>
      </c>
      <c r="E972" s="9" t="str">
        <f>+HYPERLINK("http://trademark.i-assist.jp/data/china/image_1917th/81246686.pdf","81246686")</f>
        <v>81246686</v>
      </c>
      <c r="F972" s="9" t="s">
        <v>2698</v>
      </c>
      <c r="G972" s="9" t="s">
        <v>2699</v>
      </c>
      <c r="H972" s="9" t="s">
        <v>2700</v>
      </c>
      <c r="I972" s="10">
        <v>45573</v>
      </c>
    </row>
    <row r="973" spans="1:9" x14ac:dyDescent="0.15">
      <c r="A973" s="9">
        <v>972</v>
      </c>
      <c r="B973" s="9" t="s">
        <v>9</v>
      </c>
      <c r="C973" s="9">
        <v>1917</v>
      </c>
      <c r="D973" s="10">
        <v>45653</v>
      </c>
      <c r="E973" s="9" t="str">
        <f>+HYPERLINK("http://trademark.i-assist.jp/data/china/image_1917th/81246754.pdf","81246754")</f>
        <v>81246754</v>
      </c>
      <c r="F973" s="12" t="s">
        <v>2701</v>
      </c>
      <c r="G973" s="9" t="s">
        <v>2702</v>
      </c>
      <c r="H973" s="9" t="s">
        <v>2703</v>
      </c>
      <c r="I973" s="10">
        <v>45573</v>
      </c>
    </row>
    <row r="974" spans="1:9" x14ac:dyDescent="0.15">
      <c r="A974" s="9">
        <v>973</v>
      </c>
      <c r="B974" s="9" t="s">
        <v>9</v>
      </c>
      <c r="C974" s="9">
        <v>1917</v>
      </c>
      <c r="D974" s="10">
        <v>45653</v>
      </c>
      <c r="E974" s="9" t="str">
        <f>+HYPERLINK("http://trademark.i-assist.jp/data/china/image_1917th/81246922.pdf","81246922")</f>
        <v>81246922</v>
      </c>
      <c r="F974" s="9" t="s">
        <v>2704</v>
      </c>
      <c r="G974" s="9" t="s">
        <v>2705</v>
      </c>
      <c r="H974" s="9" t="s">
        <v>2706</v>
      </c>
      <c r="I974" s="10">
        <v>45573</v>
      </c>
    </row>
    <row r="975" spans="1:9" x14ac:dyDescent="0.15">
      <c r="A975" s="9">
        <v>974</v>
      </c>
      <c r="B975" s="9" t="s">
        <v>9</v>
      </c>
      <c r="C975" s="9">
        <v>1917</v>
      </c>
      <c r="D975" s="10">
        <v>45653</v>
      </c>
      <c r="E975" s="9" t="str">
        <f>+HYPERLINK("http://trademark.i-assist.jp/data/china/image_1917th/81247091.pdf","81247091")</f>
        <v>81247091</v>
      </c>
      <c r="F975" s="9" t="s">
        <v>2707</v>
      </c>
      <c r="G975" s="9" t="s">
        <v>2708</v>
      </c>
      <c r="H975" s="9" t="s">
        <v>2709</v>
      </c>
      <c r="I975" s="10">
        <v>45573</v>
      </c>
    </row>
    <row r="976" spans="1:9" x14ac:dyDescent="0.15">
      <c r="A976" s="9">
        <v>975</v>
      </c>
      <c r="B976" s="9" t="s">
        <v>9</v>
      </c>
      <c r="C976" s="9">
        <v>1917</v>
      </c>
      <c r="D976" s="10">
        <v>45653</v>
      </c>
      <c r="E976" s="9" t="str">
        <f>+HYPERLINK("http://trademark.i-assist.jp/data/china/image_1917th/81247485.pdf","81247485")</f>
        <v>81247485</v>
      </c>
      <c r="F976" s="12" t="s">
        <v>12</v>
      </c>
      <c r="G976" s="9" t="s">
        <v>2710</v>
      </c>
      <c r="H976" s="9" t="s">
        <v>2711</v>
      </c>
      <c r="I976" s="10">
        <v>45573</v>
      </c>
    </row>
    <row r="977" spans="1:9" x14ac:dyDescent="0.15">
      <c r="A977" s="9">
        <v>976</v>
      </c>
      <c r="B977" s="9" t="s">
        <v>9</v>
      </c>
      <c r="C977" s="9">
        <v>1917</v>
      </c>
      <c r="D977" s="10">
        <v>45653</v>
      </c>
      <c r="E977" s="9" t="str">
        <f>+HYPERLINK("http://trademark.i-assist.jp/data/china/image_1917th/81247674.pdf","81247674")</f>
        <v>81247674</v>
      </c>
      <c r="F977" s="9" t="s">
        <v>2712</v>
      </c>
      <c r="G977" s="9" t="s">
        <v>2713</v>
      </c>
      <c r="H977" s="12" t="s">
        <v>2714</v>
      </c>
      <c r="I977" s="10">
        <v>45573</v>
      </c>
    </row>
    <row r="978" spans="1:9" x14ac:dyDescent="0.15">
      <c r="A978" s="9">
        <v>977</v>
      </c>
      <c r="B978" s="9" t="s">
        <v>9</v>
      </c>
      <c r="C978" s="9">
        <v>1917</v>
      </c>
      <c r="D978" s="10">
        <v>45653</v>
      </c>
      <c r="E978" s="9" t="str">
        <f>+HYPERLINK("http://trademark.i-assist.jp/data/china/image_1917th/81248004.pdf","81248004")</f>
        <v>81248004</v>
      </c>
      <c r="F978" s="9" t="s">
        <v>2715</v>
      </c>
      <c r="G978" s="9" t="s">
        <v>2600</v>
      </c>
      <c r="H978" s="12" t="s">
        <v>2716</v>
      </c>
      <c r="I978" s="10">
        <v>45573</v>
      </c>
    </row>
    <row r="979" spans="1:9" x14ac:dyDescent="0.15">
      <c r="A979" s="9">
        <v>978</v>
      </c>
      <c r="B979" s="9" t="s">
        <v>9</v>
      </c>
      <c r="C979" s="9">
        <v>1917</v>
      </c>
      <c r="D979" s="10">
        <v>45653</v>
      </c>
      <c r="E979" s="9" t="str">
        <f>+HYPERLINK("http://trademark.i-assist.jp/data/china/image_1917th/81248099.pdf","81248099")</f>
        <v>81248099</v>
      </c>
      <c r="F979" s="9" t="s">
        <v>2717</v>
      </c>
      <c r="G979" s="9" t="s">
        <v>2699</v>
      </c>
      <c r="H979" s="9" t="s">
        <v>2718</v>
      </c>
      <c r="I979" s="10">
        <v>45573</v>
      </c>
    </row>
    <row r="980" spans="1:9" x14ac:dyDescent="0.15">
      <c r="A980" s="9">
        <v>979</v>
      </c>
      <c r="B980" s="9" t="s">
        <v>9</v>
      </c>
      <c r="C980" s="9">
        <v>1917</v>
      </c>
      <c r="D980" s="10">
        <v>45653</v>
      </c>
      <c r="E980" s="9" t="str">
        <f>+HYPERLINK("http://trademark.i-assist.jp/data/china/image_1917th/81248307.pdf","81248307")</f>
        <v>81248307</v>
      </c>
      <c r="F980" s="9" t="s">
        <v>2719</v>
      </c>
      <c r="G980" s="9" t="s">
        <v>2720</v>
      </c>
      <c r="H980" s="9" t="s">
        <v>2721</v>
      </c>
      <c r="I980" s="10">
        <v>45573</v>
      </c>
    </row>
    <row r="981" spans="1:9" x14ac:dyDescent="0.15">
      <c r="A981" s="9">
        <v>980</v>
      </c>
      <c r="B981" s="9" t="s">
        <v>9</v>
      </c>
      <c r="C981" s="9">
        <v>1917</v>
      </c>
      <c r="D981" s="10">
        <v>45653</v>
      </c>
      <c r="E981" s="9" t="str">
        <f>+HYPERLINK("http://trademark.i-assist.jp/data/china/image_1917th/81248733.pdf","81248733")</f>
        <v>81248733</v>
      </c>
      <c r="F981" s="9" t="s">
        <v>2722</v>
      </c>
      <c r="G981" s="9" t="s">
        <v>2723</v>
      </c>
      <c r="H981" s="9" t="s">
        <v>2724</v>
      </c>
      <c r="I981" s="10">
        <v>45573</v>
      </c>
    </row>
    <row r="982" spans="1:9" x14ac:dyDescent="0.15">
      <c r="A982" s="9">
        <v>981</v>
      </c>
      <c r="B982" s="9" t="s">
        <v>9</v>
      </c>
      <c r="C982" s="9">
        <v>1917</v>
      </c>
      <c r="D982" s="10">
        <v>45653</v>
      </c>
      <c r="E982" s="9" t="str">
        <f>+HYPERLINK("http://trademark.i-assist.jp/data/china/image_1917th/81248846.pdf","81248846")</f>
        <v>81248846</v>
      </c>
      <c r="F982" s="9" t="s">
        <v>2725</v>
      </c>
      <c r="G982" s="9" t="s">
        <v>2617</v>
      </c>
      <c r="H982" s="9" t="s">
        <v>2726</v>
      </c>
      <c r="I982" s="10">
        <v>45573</v>
      </c>
    </row>
    <row r="983" spans="1:9" x14ac:dyDescent="0.15">
      <c r="A983" s="9">
        <v>982</v>
      </c>
      <c r="B983" s="9" t="s">
        <v>9</v>
      </c>
      <c r="C983" s="9">
        <v>1917</v>
      </c>
      <c r="D983" s="10">
        <v>45653</v>
      </c>
      <c r="E983" s="9" t="str">
        <f>+HYPERLINK("http://trademark.i-assist.jp/data/china/image_1917th/81248891.pdf","81248891")</f>
        <v>81248891</v>
      </c>
      <c r="F983" s="9" t="s">
        <v>2727</v>
      </c>
      <c r="G983" s="9" t="s">
        <v>2728</v>
      </c>
      <c r="H983" s="9" t="s">
        <v>2729</v>
      </c>
      <c r="I983" s="10">
        <v>45573</v>
      </c>
    </row>
    <row r="984" spans="1:9" x14ac:dyDescent="0.15">
      <c r="A984" s="9">
        <v>983</v>
      </c>
      <c r="B984" s="9" t="s">
        <v>9</v>
      </c>
      <c r="C984" s="9">
        <v>1917</v>
      </c>
      <c r="D984" s="10">
        <v>45653</v>
      </c>
      <c r="E984" s="9" t="str">
        <f>+HYPERLINK("http://trademark.i-assist.jp/data/china/image_1917th/81249262.pdf","81249262")</f>
        <v>81249262</v>
      </c>
      <c r="F984" s="12" t="s">
        <v>2730</v>
      </c>
      <c r="G984" s="9" t="s">
        <v>2731</v>
      </c>
      <c r="H984" s="9" t="s">
        <v>2732</v>
      </c>
      <c r="I984" s="10">
        <v>45573</v>
      </c>
    </row>
    <row r="985" spans="1:9" x14ac:dyDescent="0.15">
      <c r="A985" s="9">
        <v>984</v>
      </c>
      <c r="B985" s="9" t="s">
        <v>9</v>
      </c>
      <c r="C985" s="9">
        <v>1917</v>
      </c>
      <c r="D985" s="10">
        <v>45653</v>
      </c>
      <c r="E985" s="9" t="str">
        <f>+HYPERLINK("http://trademark.i-assist.jp/data/china/image_1917th/81249501.pdf","81249501")</f>
        <v>81249501</v>
      </c>
      <c r="F985" s="9" t="s">
        <v>2733</v>
      </c>
      <c r="G985" s="9" t="s">
        <v>2713</v>
      </c>
      <c r="H985" s="9" t="s">
        <v>2734</v>
      </c>
      <c r="I985" s="10">
        <v>45573</v>
      </c>
    </row>
    <row r="986" spans="1:9" x14ac:dyDescent="0.15">
      <c r="A986" s="9">
        <v>985</v>
      </c>
      <c r="B986" s="9" t="s">
        <v>9</v>
      </c>
      <c r="C986" s="9">
        <v>1917</v>
      </c>
      <c r="D986" s="10">
        <v>45653</v>
      </c>
      <c r="E986" s="9" t="str">
        <f>+HYPERLINK("http://trademark.i-assist.jp/data/china/image_1917th/81250175.pdf","81250175")</f>
        <v>81250175</v>
      </c>
      <c r="F986" s="9" t="s">
        <v>2735</v>
      </c>
      <c r="G986" s="9" t="s">
        <v>25</v>
      </c>
      <c r="H986" s="9" t="s">
        <v>2736</v>
      </c>
      <c r="I986" s="10">
        <v>45573</v>
      </c>
    </row>
    <row r="987" spans="1:9" x14ac:dyDescent="0.15">
      <c r="A987" s="9">
        <v>986</v>
      </c>
      <c r="B987" s="9" t="s">
        <v>9</v>
      </c>
      <c r="C987" s="9">
        <v>1917</v>
      </c>
      <c r="D987" s="10">
        <v>45653</v>
      </c>
      <c r="E987" s="9" t="str">
        <f>+HYPERLINK("http://trademark.i-assist.jp/data/china/image_1917th/81250633.pdf","81250633")</f>
        <v>81250633</v>
      </c>
      <c r="F987" s="9" t="s">
        <v>2737</v>
      </c>
      <c r="G987" s="9" t="s">
        <v>2738</v>
      </c>
      <c r="H987" s="12" t="s">
        <v>2739</v>
      </c>
      <c r="I987" s="10">
        <v>45573</v>
      </c>
    </row>
    <row r="988" spans="1:9" x14ac:dyDescent="0.15">
      <c r="A988" s="9">
        <v>987</v>
      </c>
      <c r="B988" s="9" t="s">
        <v>9</v>
      </c>
      <c r="C988" s="9">
        <v>1917</v>
      </c>
      <c r="D988" s="10">
        <v>45653</v>
      </c>
      <c r="E988" s="9" t="str">
        <f>+HYPERLINK("http://trademark.i-assist.jp/data/china/image_1917th/81250651.pdf","81250651")</f>
        <v>81250651</v>
      </c>
      <c r="F988" s="9" t="s">
        <v>2740</v>
      </c>
      <c r="G988" s="9" t="s">
        <v>2741</v>
      </c>
      <c r="H988" s="12" t="s">
        <v>2742</v>
      </c>
      <c r="I988" s="10">
        <v>45573</v>
      </c>
    </row>
    <row r="989" spans="1:9" x14ac:dyDescent="0.15">
      <c r="A989" s="9">
        <v>988</v>
      </c>
      <c r="B989" s="9" t="s">
        <v>9</v>
      </c>
      <c r="C989" s="9">
        <v>1917</v>
      </c>
      <c r="D989" s="10">
        <v>45653</v>
      </c>
      <c r="E989" s="9" t="str">
        <f>+HYPERLINK("http://trademark.i-assist.jp/data/china/image_1917th/81250745.pdf","81250745")</f>
        <v>81250745</v>
      </c>
      <c r="F989" s="12" t="s">
        <v>12</v>
      </c>
      <c r="G989" s="12" t="s">
        <v>2595</v>
      </c>
      <c r="H989" s="12" t="s">
        <v>2743</v>
      </c>
      <c r="I989" s="10">
        <v>45573</v>
      </c>
    </row>
    <row r="990" spans="1:9" x14ac:dyDescent="0.15">
      <c r="A990" s="9">
        <v>989</v>
      </c>
      <c r="B990" s="9" t="s">
        <v>9</v>
      </c>
      <c r="C990" s="9">
        <v>1917</v>
      </c>
      <c r="D990" s="10">
        <v>45653</v>
      </c>
      <c r="E990" s="9" t="str">
        <f>+HYPERLINK("http://trademark.i-assist.jp/data/china/image_1917th/81251003.pdf","81251003")</f>
        <v>81251003</v>
      </c>
      <c r="F990" s="9" t="s">
        <v>2744</v>
      </c>
      <c r="G990" s="9" t="s">
        <v>2745</v>
      </c>
      <c r="H990" s="9" t="s">
        <v>2746</v>
      </c>
      <c r="I990" s="10">
        <v>45573</v>
      </c>
    </row>
    <row r="991" spans="1:9" x14ac:dyDescent="0.15">
      <c r="A991" s="9">
        <v>990</v>
      </c>
      <c r="B991" s="9" t="s">
        <v>9</v>
      </c>
      <c r="C991" s="9">
        <v>1917</v>
      </c>
      <c r="D991" s="10">
        <v>45653</v>
      </c>
      <c r="E991" s="9" t="str">
        <f>+HYPERLINK("http://trademark.i-assist.jp/data/china/image_1917th/81252059.pdf","81252059")</f>
        <v>81252059</v>
      </c>
      <c r="F991" s="9" t="s">
        <v>2747</v>
      </c>
      <c r="G991" s="12" t="s">
        <v>1295</v>
      </c>
      <c r="H991" s="9" t="s">
        <v>2748</v>
      </c>
      <c r="I991" s="10">
        <v>45574</v>
      </c>
    </row>
    <row r="992" spans="1:9" x14ac:dyDescent="0.15">
      <c r="A992" s="9">
        <v>991</v>
      </c>
      <c r="B992" s="9" t="s">
        <v>9</v>
      </c>
      <c r="C992" s="9">
        <v>1917</v>
      </c>
      <c r="D992" s="10">
        <v>45653</v>
      </c>
      <c r="E992" s="9" t="str">
        <f>+HYPERLINK("http://trademark.i-assist.jp/data/china/image_1917th/81252683.pdf","81252683")</f>
        <v>81252683</v>
      </c>
      <c r="F992" s="9" t="s">
        <v>2749</v>
      </c>
      <c r="G992" s="9" t="s">
        <v>2750</v>
      </c>
      <c r="H992" s="9" t="s">
        <v>2751</v>
      </c>
      <c r="I992" s="10">
        <v>45574</v>
      </c>
    </row>
    <row r="993" spans="1:9" x14ac:dyDescent="0.15">
      <c r="A993" s="9">
        <v>992</v>
      </c>
      <c r="B993" s="9" t="s">
        <v>9</v>
      </c>
      <c r="C993" s="9">
        <v>1917</v>
      </c>
      <c r="D993" s="10">
        <v>45653</v>
      </c>
      <c r="E993" s="9" t="str">
        <f>+HYPERLINK("http://trademark.i-assist.jp/data/china/image_1917th/81252929.pdf","81252929")</f>
        <v>81252929</v>
      </c>
      <c r="F993" s="9" t="s">
        <v>2752</v>
      </c>
      <c r="G993" s="9" t="s">
        <v>2753</v>
      </c>
      <c r="H993" s="9" t="s">
        <v>2754</v>
      </c>
      <c r="I993" s="10">
        <v>45574</v>
      </c>
    </row>
    <row r="994" spans="1:9" x14ac:dyDescent="0.15">
      <c r="A994" s="9">
        <v>993</v>
      </c>
      <c r="B994" s="9" t="s">
        <v>9</v>
      </c>
      <c r="C994" s="9">
        <v>1917</v>
      </c>
      <c r="D994" s="10">
        <v>45653</v>
      </c>
      <c r="E994" s="9" t="str">
        <f>+HYPERLINK("http://trademark.i-assist.jp/data/china/image_1917th/81253082.pdf","81253082")</f>
        <v>81253082</v>
      </c>
      <c r="F994" s="9" t="s">
        <v>2755</v>
      </c>
      <c r="G994" s="12" t="s">
        <v>2756</v>
      </c>
      <c r="H994" s="9" t="s">
        <v>2757</v>
      </c>
      <c r="I994" s="10">
        <v>45574</v>
      </c>
    </row>
    <row r="995" spans="1:9" x14ac:dyDescent="0.15">
      <c r="A995" s="9">
        <v>994</v>
      </c>
      <c r="B995" s="9" t="s">
        <v>9</v>
      </c>
      <c r="C995" s="9">
        <v>1917</v>
      </c>
      <c r="D995" s="10">
        <v>45653</v>
      </c>
      <c r="E995" s="9" t="str">
        <f>+HYPERLINK("http://trademark.i-assist.jp/data/china/image_1917th/81253277.pdf","81253277")</f>
        <v>81253277</v>
      </c>
      <c r="F995" s="9" t="s">
        <v>2758</v>
      </c>
      <c r="G995" s="12" t="s">
        <v>2756</v>
      </c>
      <c r="H995" s="9" t="s">
        <v>2759</v>
      </c>
      <c r="I995" s="10">
        <v>45574</v>
      </c>
    </row>
    <row r="996" spans="1:9" x14ac:dyDescent="0.15">
      <c r="A996" s="9">
        <v>995</v>
      </c>
      <c r="B996" s="9" t="s">
        <v>9</v>
      </c>
      <c r="C996" s="9">
        <v>1917</v>
      </c>
      <c r="D996" s="10">
        <v>45653</v>
      </c>
      <c r="E996" s="9" t="str">
        <f>+HYPERLINK("http://trademark.i-assist.jp/data/china/image_1917th/81253290.pdf","81253290")</f>
        <v>81253290</v>
      </c>
      <c r="F996" s="12" t="s">
        <v>2760</v>
      </c>
      <c r="G996" s="9" t="s">
        <v>2761</v>
      </c>
      <c r="H996" s="9" t="s">
        <v>2762</v>
      </c>
      <c r="I996" s="10">
        <v>45574</v>
      </c>
    </row>
    <row r="997" spans="1:9" x14ac:dyDescent="0.15">
      <c r="A997" s="9">
        <v>996</v>
      </c>
      <c r="B997" s="9" t="s">
        <v>9</v>
      </c>
      <c r="C997" s="9">
        <v>1917</v>
      </c>
      <c r="D997" s="10">
        <v>45653</v>
      </c>
      <c r="E997" s="9" t="str">
        <f>+HYPERLINK("http://trademark.i-assist.jp/data/china/image_1917th/81253301.pdf","81253301")</f>
        <v>81253301</v>
      </c>
      <c r="F997" s="9" t="s">
        <v>2763</v>
      </c>
      <c r="G997" s="12" t="s">
        <v>2756</v>
      </c>
      <c r="H997" s="9" t="s">
        <v>2764</v>
      </c>
      <c r="I997" s="10">
        <v>45574</v>
      </c>
    </row>
    <row r="998" spans="1:9" x14ac:dyDescent="0.15">
      <c r="A998" s="9">
        <v>997</v>
      </c>
      <c r="B998" s="9" t="s">
        <v>9</v>
      </c>
      <c r="C998" s="9">
        <v>1917</v>
      </c>
      <c r="D998" s="10">
        <v>45653</v>
      </c>
      <c r="E998" s="9" t="str">
        <f>+HYPERLINK("http://trademark.i-assist.jp/data/china/image_1917th/81253698.pdf","81253698")</f>
        <v>81253698</v>
      </c>
      <c r="F998" s="12" t="s">
        <v>2765</v>
      </c>
      <c r="G998" s="12" t="s">
        <v>2766</v>
      </c>
      <c r="H998" s="9" t="s">
        <v>2767</v>
      </c>
      <c r="I998" s="10">
        <v>45574</v>
      </c>
    </row>
    <row r="999" spans="1:9" x14ac:dyDescent="0.15">
      <c r="A999" s="9">
        <v>998</v>
      </c>
      <c r="B999" s="9" t="s">
        <v>9</v>
      </c>
      <c r="C999" s="9">
        <v>1917</v>
      </c>
      <c r="D999" s="10">
        <v>45653</v>
      </c>
      <c r="E999" s="9" t="str">
        <f>+HYPERLINK("http://trademark.i-assist.jp/data/china/image_1917th/81253737.pdf","81253737")</f>
        <v>81253737</v>
      </c>
      <c r="F999" s="9" t="s">
        <v>2768</v>
      </c>
      <c r="G999" s="9" t="s">
        <v>2769</v>
      </c>
      <c r="H999" s="9" t="s">
        <v>2770</v>
      </c>
      <c r="I999" s="10">
        <v>45574</v>
      </c>
    </row>
    <row r="1000" spans="1:9" x14ac:dyDescent="0.15">
      <c r="A1000" s="9">
        <v>999</v>
      </c>
      <c r="B1000" s="9" t="s">
        <v>9</v>
      </c>
      <c r="C1000" s="9">
        <v>1917</v>
      </c>
      <c r="D1000" s="10">
        <v>45653</v>
      </c>
      <c r="E1000" s="9" t="str">
        <f>+HYPERLINK("http://trademark.i-assist.jp/data/china/image_1917th/81253747.pdf","81253747")</f>
        <v>81253747</v>
      </c>
      <c r="F1000" s="9" t="s">
        <v>2771</v>
      </c>
      <c r="G1000" s="9" t="s">
        <v>2772</v>
      </c>
      <c r="H1000" s="9" t="s">
        <v>2773</v>
      </c>
      <c r="I1000" s="10">
        <v>45574</v>
      </c>
    </row>
    <row r="1001" spans="1:9" x14ac:dyDescent="0.15">
      <c r="A1001" s="9">
        <v>1000</v>
      </c>
      <c r="B1001" s="9" t="s">
        <v>9</v>
      </c>
      <c r="C1001" s="9">
        <v>1917</v>
      </c>
      <c r="D1001" s="10">
        <v>45653</v>
      </c>
      <c r="E1001" s="9" t="str">
        <f>+HYPERLINK("http://trademark.i-assist.jp/data/china/image_1917th/81253911.pdf","81253911")</f>
        <v>81253911</v>
      </c>
      <c r="F1001" s="9" t="s">
        <v>2774</v>
      </c>
      <c r="G1001" s="9" t="s">
        <v>2775</v>
      </c>
      <c r="H1001" s="9" t="s">
        <v>2776</v>
      </c>
      <c r="I1001" s="10">
        <v>45574</v>
      </c>
    </row>
    <row r="1002" spans="1:9" x14ac:dyDescent="0.15">
      <c r="A1002" s="9">
        <v>1001</v>
      </c>
      <c r="B1002" s="9" t="s">
        <v>9</v>
      </c>
      <c r="C1002" s="9">
        <v>1917</v>
      </c>
      <c r="D1002" s="10">
        <v>45653</v>
      </c>
      <c r="E1002" s="9" t="str">
        <f>+HYPERLINK("http://trademark.i-assist.jp/data/china/image_1917th/81254025.pdf","81254025")</f>
        <v>81254025</v>
      </c>
      <c r="F1002" s="12" t="s">
        <v>2777</v>
      </c>
      <c r="G1002" s="9" t="s">
        <v>2778</v>
      </c>
      <c r="H1002" s="9" t="s">
        <v>2779</v>
      </c>
      <c r="I1002" s="10">
        <v>45574</v>
      </c>
    </row>
    <row r="1003" spans="1:9" x14ac:dyDescent="0.15">
      <c r="A1003" s="9">
        <v>1002</v>
      </c>
      <c r="B1003" s="9" t="s">
        <v>9</v>
      </c>
      <c r="C1003" s="9">
        <v>1917</v>
      </c>
      <c r="D1003" s="10">
        <v>45653</v>
      </c>
      <c r="E1003" s="9" t="str">
        <f>+HYPERLINK("http://trademark.i-assist.jp/data/china/image_1917th/81254572.pdf","81254572")</f>
        <v>81254572</v>
      </c>
      <c r="F1003" s="9" t="s">
        <v>2780</v>
      </c>
      <c r="G1003" s="12" t="s">
        <v>2781</v>
      </c>
      <c r="H1003" s="9" t="s">
        <v>2782</v>
      </c>
      <c r="I1003" s="10">
        <v>45574</v>
      </c>
    </row>
    <row r="1004" spans="1:9" x14ac:dyDescent="0.15">
      <c r="A1004" s="9">
        <v>1003</v>
      </c>
      <c r="B1004" s="9" t="s">
        <v>9</v>
      </c>
      <c r="C1004" s="9">
        <v>1917</v>
      </c>
      <c r="D1004" s="10">
        <v>45653</v>
      </c>
      <c r="E1004" s="9" t="str">
        <f>+HYPERLINK("http://trademark.i-assist.jp/data/china/image_1917th/81254970.pdf","81254970")</f>
        <v>81254970</v>
      </c>
      <c r="F1004" s="12" t="s">
        <v>12</v>
      </c>
      <c r="G1004" s="9" t="s">
        <v>2783</v>
      </c>
      <c r="H1004" s="9" t="s">
        <v>2784</v>
      </c>
      <c r="I1004" s="10">
        <v>45574</v>
      </c>
    </row>
    <row r="1005" spans="1:9" x14ac:dyDescent="0.15">
      <c r="A1005" s="9">
        <v>1004</v>
      </c>
      <c r="B1005" s="9" t="s">
        <v>9</v>
      </c>
      <c r="C1005" s="9">
        <v>1917</v>
      </c>
      <c r="D1005" s="10">
        <v>45653</v>
      </c>
      <c r="E1005" s="9" t="str">
        <f>+HYPERLINK("http://trademark.i-assist.jp/data/china/image_1917th/81255302.pdf","81255302")</f>
        <v>81255302</v>
      </c>
      <c r="F1005" s="9" t="s">
        <v>2785</v>
      </c>
      <c r="G1005" s="9" t="s">
        <v>2786</v>
      </c>
      <c r="H1005" s="9" t="s">
        <v>2787</v>
      </c>
      <c r="I1005" s="10">
        <v>45574</v>
      </c>
    </row>
    <row r="1006" spans="1:9" x14ac:dyDescent="0.15">
      <c r="A1006" s="9">
        <v>1005</v>
      </c>
      <c r="B1006" s="9" t="s">
        <v>9</v>
      </c>
      <c r="C1006" s="9">
        <v>1917</v>
      </c>
      <c r="D1006" s="10">
        <v>45653</v>
      </c>
      <c r="E1006" s="9" t="str">
        <f>+HYPERLINK("http://trademark.i-assist.jp/data/china/image_1917th/81255311.pdf","81255311")</f>
        <v>81255311</v>
      </c>
      <c r="F1006" s="9" t="s">
        <v>2788</v>
      </c>
      <c r="G1006" s="12" t="s">
        <v>2789</v>
      </c>
      <c r="H1006" s="9" t="s">
        <v>2790</v>
      </c>
      <c r="I1006" s="10">
        <v>45574</v>
      </c>
    </row>
    <row r="1007" spans="1:9" x14ac:dyDescent="0.15">
      <c r="A1007" s="9">
        <v>1006</v>
      </c>
      <c r="B1007" s="9" t="s">
        <v>9</v>
      </c>
      <c r="C1007" s="9">
        <v>1917</v>
      </c>
      <c r="D1007" s="10">
        <v>45653</v>
      </c>
      <c r="E1007" s="9" t="str">
        <f>+HYPERLINK("http://trademark.i-assist.jp/data/china/image_1917th/81255438.pdf","81255438")</f>
        <v>81255438</v>
      </c>
      <c r="F1007" s="9" t="s">
        <v>2791</v>
      </c>
      <c r="G1007" s="9" t="s">
        <v>2792</v>
      </c>
      <c r="H1007" s="9" t="s">
        <v>2793</v>
      </c>
      <c r="I1007" s="10">
        <v>45574</v>
      </c>
    </row>
    <row r="1008" spans="1:9" x14ac:dyDescent="0.15">
      <c r="A1008" s="9">
        <v>1007</v>
      </c>
      <c r="B1008" s="9" t="s">
        <v>9</v>
      </c>
      <c r="C1008" s="9">
        <v>1917</v>
      </c>
      <c r="D1008" s="10">
        <v>45653</v>
      </c>
      <c r="E1008" s="9" t="str">
        <f>+HYPERLINK("http://trademark.i-assist.jp/data/china/image_1917th/81255716.pdf","81255716")</f>
        <v>81255716</v>
      </c>
      <c r="F1008" s="9" t="s">
        <v>2794</v>
      </c>
      <c r="G1008" s="9" t="s">
        <v>2795</v>
      </c>
      <c r="H1008" s="9" t="s">
        <v>2796</v>
      </c>
      <c r="I1008" s="10">
        <v>45574</v>
      </c>
    </row>
    <row r="1009" spans="1:9" x14ac:dyDescent="0.15">
      <c r="A1009" s="9">
        <v>1008</v>
      </c>
      <c r="B1009" s="9" t="s">
        <v>9</v>
      </c>
      <c r="C1009" s="9">
        <v>1917</v>
      </c>
      <c r="D1009" s="10">
        <v>45653</v>
      </c>
      <c r="E1009" s="9" t="str">
        <f>+HYPERLINK("http://trademark.i-assist.jp/data/china/image_1917th/81255781.pdf","81255781")</f>
        <v>81255781</v>
      </c>
      <c r="F1009" s="9" t="s">
        <v>2797</v>
      </c>
      <c r="G1009" s="12" t="s">
        <v>2798</v>
      </c>
      <c r="H1009" s="12" t="s">
        <v>2799</v>
      </c>
      <c r="I1009" s="10">
        <v>45574</v>
      </c>
    </row>
    <row r="1010" spans="1:9" x14ac:dyDescent="0.15">
      <c r="A1010" s="9">
        <v>1009</v>
      </c>
      <c r="B1010" s="9" t="s">
        <v>9</v>
      </c>
      <c r="C1010" s="9">
        <v>1917</v>
      </c>
      <c r="D1010" s="10">
        <v>45653</v>
      </c>
      <c r="E1010" s="9" t="str">
        <f>+HYPERLINK("http://trademark.i-assist.jp/data/china/image_1917th/81255904.pdf","81255904")</f>
        <v>81255904</v>
      </c>
      <c r="F1010" s="9" t="s">
        <v>2800</v>
      </c>
      <c r="G1010" s="9" t="s">
        <v>2801</v>
      </c>
      <c r="H1010" s="9" t="s">
        <v>2802</v>
      </c>
      <c r="I1010" s="10">
        <v>45574</v>
      </c>
    </row>
    <row r="1011" spans="1:9" x14ac:dyDescent="0.15">
      <c r="A1011" s="9">
        <v>1010</v>
      </c>
      <c r="B1011" s="9" t="s">
        <v>9</v>
      </c>
      <c r="C1011" s="9">
        <v>1917</v>
      </c>
      <c r="D1011" s="10">
        <v>45653</v>
      </c>
      <c r="E1011" s="9" t="str">
        <f>+HYPERLINK("http://trademark.i-assist.jp/data/china/image_1917th/81256249.pdf","81256249")</f>
        <v>81256249</v>
      </c>
      <c r="F1011" s="9" t="s">
        <v>2803</v>
      </c>
      <c r="G1011" s="9" t="s">
        <v>2804</v>
      </c>
      <c r="H1011" s="9" t="s">
        <v>2805</v>
      </c>
      <c r="I1011" s="10">
        <v>45574</v>
      </c>
    </row>
    <row r="1012" spans="1:9" x14ac:dyDescent="0.15">
      <c r="A1012" s="9">
        <v>1011</v>
      </c>
      <c r="B1012" s="9" t="s">
        <v>9</v>
      </c>
      <c r="C1012" s="9">
        <v>1917</v>
      </c>
      <c r="D1012" s="10">
        <v>45653</v>
      </c>
      <c r="E1012" s="9" t="str">
        <f>+HYPERLINK("http://trademark.i-assist.jp/data/china/image_1917th/81256449.pdf","81256449")</f>
        <v>81256449</v>
      </c>
      <c r="F1012" s="12" t="s">
        <v>2806</v>
      </c>
      <c r="G1012" s="9" t="s">
        <v>2807</v>
      </c>
      <c r="H1012" s="9" t="s">
        <v>2808</v>
      </c>
      <c r="I1012" s="10">
        <v>45574</v>
      </c>
    </row>
    <row r="1013" spans="1:9" x14ac:dyDescent="0.15">
      <c r="A1013" s="9">
        <v>1012</v>
      </c>
      <c r="B1013" s="9" t="s">
        <v>9</v>
      </c>
      <c r="C1013" s="9">
        <v>1917</v>
      </c>
      <c r="D1013" s="10">
        <v>45653</v>
      </c>
      <c r="E1013" s="9" t="str">
        <f>+HYPERLINK("http://trademark.i-assist.jp/data/china/image_1917th/81257248.pdf","81257248")</f>
        <v>81257248</v>
      </c>
      <c r="F1013" s="9" t="s">
        <v>2809</v>
      </c>
      <c r="G1013" s="9" t="s">
        <v>2810</v>
      </c>
      <c r="H1013" s="12" t="s">
        <v>2811</v>
      </c>
      <c r="I1013" s="10">
        <v>45574</v>
      </c>
    </row>
    <row r="1014" spans="1:9" x14ac:dyDescent="0.15">
      <c r="A1014" s="9">
        <v>1013</v>
      </c>
      <c r="B1014" s="9" t="s">
        <v>9</v>
      </c>
      <c r="C1014" s="9">
        <v>1917</v>
      </c>
      <c r="D1014" s="10">
        <v>45653</v>
      </c>
      <c r="E1014" s="9" t="str">
        <f>+HYPERLINK("http://trademark.i-assist.jp/data/china/image_1917th/81257552.pdf","81257552")</f>
        <v>81257552</v>
      </c>
      <c r="F1014" s="12" t="s">
        <v>12</v>
      </c>
      <c r="G1014" s="9" t="s">
        <v>2812</v>
      </c>
      <c r="H1014" s="9" t="s">
        <v>2813</v>
      </c>
      <c r="I1014" s="10">
        <v>45574</v>
      </c>
    </row>
    <row r="1015" spans="1:9" x14ac:dyDescent="0.15">
      <c r="A1015" s="9">
        <v>1014</v>
      </c>
      <c r="B1015" s="9" t="s">
        <v>9</v>
      </c>
      <c r="C1015" s="9">
        <v>1917</v>
      </c>
      <c r="D1015" s="10">
        <v>45653</v>
      </c>
      <c r="E1015" s="9" t="str">
        <f>+HYPERLINK("http://trademark.i-assist.jp/data/china/image_1917th/81257763.pdf","81257763")</f>
        <v>81257763</v>
      </c>
      <c r="F1015" s="9" t="s">
        <v>2814</v>
      </c>
      <c r="G1015" s="9" t="s">
        <v>2815</v>
      </c>
      <c r="H1015" s="9" t="s">
        <v>2816</v>
      </c>
      <c r="I1015" s="10">
        <v>45574</v>
      </c>
    </row>
    <row r="1016" spans="1:9" x14ac:dyDescent="0.15">
      <c r="A1016" s="9">
        <v>1015</v>
      </c>
      <c r="B1016" s="9" t="s">
        <v>9</v>
      </c>
      <c r="C1016" s="9">
        <v>1917</v>
      </c>
      <c r="D1016" s="10">
        <v>45653</v>
      </c>
      <c r="E1016" s="9" t="str">
        <f>+HYPERLINK("http://trademark.i-assist.jp/data/china/image_1917th/81258487.pdf","81258487")</f>
        <v>81258487</v>
      </c>
      <c r="F1016" s="9" t="s">
        <v>2755</v>
      </c>
      <c r="G1016" s="12" t="s">
        <v>2756</v>
      </c>
      <c r="H1016" s="9" t="s">
        <v>2817</v>
      </c>
      <c r="I1016" s="10">
        <v>45574</v>
      </c>
    </row>
    <row r="1017" spans="1:9" x14ac:dyDescent="0.15">
      <c r="A1017" s="9">
        <v>1016</v>
      </c>
      <c r="B1017" s="9" t="s">
        <v>9</v>
      </c>
      <c r="C1017" s="9">
        <v>1917</v>
      </c>
      <c r="D1017" s="10">
        <v>45653</v>
      </c>
      <c r="E1017" s="9" t="str">
        <f>+HYPERLINK("http://trademark.i-assist.jp/data/china/image_1917th/81258527.pdf","81258527")</f>
        <v>81258527</v>
      </c>
      <c r="F1017" s="9" t="s">
        <v>2818</v>
      </c>
      <c r="G1017" s="9" t="s">
        <v>2819</v>
      </c>
      <c r="H1017" s="9" t="s">
        <v>2820</v>
      </c>
      <c r="I1017" s="10">
        <v>45574</v>
      </c>
    </row>
    <row r="1018" spans="1:9" x14ac:dyDescent="0.15">
      <c r="A1018" s="9">
        <v>1017</v>
      </c>
      <c r="B1018" s="9" t="s">
        <v>9</v>
      </c>
      <c r="C1018" s="9">
        <v>1917</v>
      </c>
      <c r="D1018" s="10">
        <v>45653</v>
      </c>
      <c r="E1018" s="9" t="str">
        <f>+HYPERLINK("http://trademark.i-assist.jp/data/china/image_1917th/81258595.pdf","81258595")</f>
        <v>81258595</v>
      </c>
      <c r="F1018" s="12" t="s">
        <v>2821</v>
      </c>
      <c r="G1018" s="9" t="s">
        <v>2822</v>
      </c>
      <c r="H1018" s="9" t="s">
        <v>2823</v>
      </c>
      <c r="I1018" s="10">
        <v>45574</v>
      </c>
    </row>
    <row r="1019" spans="1:9" x14ac:dyDescent="0.15">
      <c r="A1019" s="9">
        <v>1018</v>
      </c>
      <c r="B1019" s="9" t="s">
        <v>9</v>
      </c>
      <c r="C1019" s="9">
        <v>1917</v>
      </c>
      <c r="D1019" s="10">
        <v>45653</v>
      </c>
      <c r="E1019" s="9" t="str">
        <f>+HYPERLINK("http://trademark.i-assist.jp/data/china/image_1917th/81259024.pdf","81259024")</f>
        <v>81259024</v>
      </c>
      <c r="F1019" s="9" t="s">
        <v>2824</v>
      </c>
      <c r="G1019" s="12" t="s">
        <v>41</v>
      </c>
      <c r="H1019" s="9" t="s">
        <v>2825</v>
      </c>
      <c r="I1019" s="10">
        <v>45574</v>
      </c>
    </row>
    <row r="1020" spans="1:9" x14ac:dyDescent="0.15">
      <c r="A1020" s="9">
        <v>1019</v>
      </c>
      <c r="B1020" s="9" t="s">
        <v>9</v>
      </c>
      <c r="C1020" s="9">
        <v>1917</v>
      </c>
      <c r="D1020" s="10">
        <v>45653</v>
      </c>
      <c r="E1020" s="9" t="str">
        <f>+HYPERLINK("http://trademark.i-assist.jp/data/china/image_1917th/81259198.pdf","81259198")</f>
        <v>81259198</v>
      </c>
      <c r="F1020" s="12" t="s">
        <v>2826</v>
      </c>
      <c r="G1020" s="12" t="s">
        <v>2827</v>
      </c>
      <c r="H1020" s="9" t="s">
        <v>2828</v>
      </c>
      <c r="I1020" s="10">
        <v>45574</v>
      </c>
    </row>
    <row r="1021" spans="1:9" x14ac:dyDescent="0.15">
      <c r="A1021" s="9">
        <v>1020</v>
      </c>
      <c r="B1021" s="9" t="s">
        <v>9</v>
      </c>
      <c r="C1021" s="9">
        <v>1917</v>
      </c>
      <c r="D1021" s="10">
        <v>45653</v>
      </c>
      <c r="E1021" s="9" t="str">
        <f>+HYPERLINK("http://trademark.i-assist.jp/data/china/image_1917th/81259426.pdf","81259426")</f>
        <v>81259426</v>
      </c>
      <c r="F1021" s="9" t="s">
        <v>2829</v>
      </c>
      <c r="G1021" s="9" t="s">
        <v>2810</v>
      </c>
      <c r="H1021" s="12" t="s">
        <v>2830</v>
      </c>
      <c r="I1021" s="10">
        <v>45574</v>
      </c>
    </row>
    <row r="1022" spans="1:9" x14ac:dyDescent="0.15">
      <c r="A1022" s="9">
        <v>1021</v>
      </c>
      <c r="B1022" s="9" t="s">
        <v>9</v>
      </c>
      <c r="C1022" s="9">
        <v>1917</v>
      </c>
      <c r="D1022" s="10">
        <v>45653</v>
      </c>
      <c r="E1022" s="9" t="str">
        <f>+HYPERLINK("http://trademark.i-assist.jp/data/china/image_1917th/81259639.pdf","81259639")</f>
        <v>81259639</v>
      </c>
      <c r="F1022" s="9" t="s">
        <v>2831</v>
      </c>
      <c r="G1022" s="12" t="s">
        <v>2832</v>
      </c>
      <c r="H1022" s="9" t="s">
        <v>2833</v>
      </c>
      <c r="I1022" s="10">
        <v>45574</v>
      </c>
    </row>
    <row r="1023" spans="1:9" x14ac:dyDescent="0.15">
      <c r="A1023" s="9">
        <v>1022</v>
      </c>
      <c r="B1023" s="9" t="s">
        <v>9</v>
      </c>
      <c r="C1023" s="9">
        <v>1917</v>
      </c>
      <c r="D1023" s="10">
        <v>45653</v>
      </c>
      <c r="E1023" s="9" t="str">
        <f>+HYPERLINK("http://trademark.i-assist.jp/data/china/image_1917th/81260389.pdf","81260389")</f>
        <v>81260389</v>
      </c>
      <c r="F1023" s="9" t="s">
        <v>2834</v>
      </c>
      <c r="G1023" s="9" t="s">
        <v>2795</v>
      </c>
      <c r="H1023" s="9" t="s">
        <v>2835</v>
      </c>
      <c r="I1023" s="10">
        <v>45574</v>
      </c>
    </row>
    <row r="1024" spans="1:9" x14ac:dyDescent="0.15">
      <c r="A1024" s="9">
        <v>1023</v>
      </c>
      <c r="B1024" s="9" t="s">
        <v>9</v>
      </c>
      <c r="C1024" s="9">
        <v>1917</v>
      </c>
      <c r="D1024" s="10">
        <v>45653</v>
      </c>
      <c r="E1024" s="9" t="str">
        <f>+HYPERLINK("http://trademark.i-assist.jp/data/china/image_1917th/81260501.pdf","81260501")</f>
        <v>81260501</v>
      </c>
      <c r="F1024" s="9" t="s">
        <v>2836</v>
      </c>
      <c r="G1024" s="9" t="s">
        <v>2837</v>
      </c>
      <c r="H1024" s="9" t="s">
        <v>2838</v>
      </c>
      <c r="I1024" s="10">
        <v>45574</v>
      </c>
    </row>
    <row r="1025" spans="1:9" x14ac:dyDescent="0.15">
      <c r="A1025" s="9">
        <v>1024</v>
      </c>
      <c r="B1025" s="9" t="s">
        <v>9</v>
      </c>
      <c r="C1025" s="9">
        <v>1917</v>
      </c>
      <c r="D1025" s="10">
        <v>45653</v>
      </c>
      <c r="E1025" s="9" t="str">
        <f>+HYPERLINK("http://trademark.i-assist.jp/data/china/image_1917th/81260886.pdf","81260886")</f>
        <v>81260886</v>
      </c>
      <c r="F1025" s="11" t="s">
        <v>2839</v>
      </c>
      <c r="G1025" s="9" t="s">
        <v>2840</v>
      </c>
      <c r="H1025" s="12" t="s">
        <v>2841</v>
      </c>
      <c r="I1025" s="10">
        <v>45574</v>
      </c>
    </row>
    <row r="1026" spans="1:9" x14ac:dyDescent="0.15">
      <c r="A1026" s="9">
        <v>1025</v>
      </c>
      <c r="B1026" s="9" t="s">
        <v>9</v>
      </c>
      <c r="C1026" s="9">
        <v>1917</v>
      </c>
      <c r="D1026" s="10">
        <v>45653</v>
      </c>
      <c r="E1026" s="9" t="str">
        <f>+HYPERLINK("http://trademark.i-assist.jp/data/china/image_1917th/81261357.pdf","81261357")</f>
        <v>81261357</v>
      </c>
      <c r="F1026" s="9" t="s">
        <v>2842</v>
      </c>
      <c r="G1026" s="12" t="s">
        <v>2843</v>
      </c>
      <c r="H1026" s="12" t="s">
        <v>2844</v>
      </c>
      <c r="I1026" s="10">
        <v>45574</v>
      </c>
    </row>
    <row r="1027" spans="1:9" x14ac:dyDescent="0.15">
      <c r="A1027" s="9">
        <v>1026</v>
      </c>
      <c r="B1027" s="9" t="s">
        <v>9</v>
      </c>
      <c r="C1027" s="9">
        <v>1917</v>
      </c>
      <c r="D1027" s="10">
        <v>45653</v>
      </c>
      <c r="E1027" s="9" t="str">
        <f>+HYPERLINK("http://trademark.i-assist.jp/data/china/image_1917th/81261542.pdf","81261542")</f>
        <v>81261542</v>
      </c>
      <c r="F1027" s="9" t="s">
        <v>2845</v>
      </c>
      <c r="G1027" s="12" t="s">
        <v>2846</v>
      </c>
      <c r="H1027" s="9" t="s">
        <v>2847</v>
      </c>
      <c r="I1027" s="10">
        <v>45574</v>
      </c>
    </row>
    <row r="1028" spans="1:9" x14ac:dyDescent="0.15">
      <c r="A1028" s="9">
        <v>1027</v>
      </c>
      <c r="B1028" s="9" t="s">
        <v>9</v>
      </c>
      <c r="C1028" s="9">
        <v>1917</v>
      </c>
      <c r="D1028" s="10">
        <v>45653</v>
      </c>
      <c r="E1028" s="9" t="str">
        <f>+HYPERLINK("http://trademark.i-assist.jp/data/china/image_1917th/81262400.pdf","81262400")</f>
        <v>81262400</v>
      </c>
      <c r="F1028" s="9" t="s">
        <v>2848</v>
      </c>
      <c r="G1028" s="12" t="s">
        <v>2849</v>
      </c>
      <c r="H1028" s="9" t="s">
        <v>2850</v>
      </c>
      <c r="I1028" s="10">
        <v>45574</v>
      </c>
    </row>
    <row r="1029" spans="1:9" x14ac:dyDescent="0.15">
      <c r="A1029" s="9">
        <v>1028</v>
      </c>
      <c r="B1029" s="9" t="s">
        <v>9</v>
      </c>
      <c r="C1029" s="9">
        <v>1917</v>
      </c>
      <c r="D1029" s="10">
        <v>45653</v>
      </c>
      <c r="E1029" s="9" t="str">
        <f>+HYPERLINK("http://trademark.i-assist.jp/data/china/image_1917th/81262829.pdf","81262829")</f>
        <v>81262829</v>
      </c>
      <c r="F1029" s="9" t="s">
        <v>2851</v>
      </c>
      <c r="G1029" s="9" t="s">
        <v>2852</v>
      </c>
      <c r="H1029" s="12" t="s">
        <v>2853</v>
      </c>
      <c r="I1029" s="10">
        <v>45574</v>
      </c>
    </row>
    <row r="1030" spans="1:9" x14ac:dyDescent="0.15">
      <c r="A1030" s="9">
        <v>1029</v>
      </c>
      <c r="B1030" s="9" t="s">
        <v>9</v>
      </c>
      <c r="C1030" s="9">
        <v>1917</v>
      </c>
      <c r="D1030" s="10">
        <v>45653</v>
      </c>
      <c r="E1030" s="9" t="str">
        <f>+HYPERLINK("http://trademark.i-assist.jp/data/china/image_1917th/81262852.pdf","81262852")</f>
        <v>81262852</v>
      </c>
      <c r="F1030" s="12" t="s">
        <v>2854</v>
      </c>
      <c r="G1030" s="12" t="s">
        <v>2855</v>
      </c>
      <c r="H1030" s="9" t="s">
        <v>2856</v>
      </c>
      <c r="I1030" s="10">
        <v>45574</v>
      </c>
    </row>
    <row r="1031" spans="1:9" x14ac:dyDescent="0.15">
      <c r="A1031" s="9">
        <v>1030</v>
      </c>
      <c r="B1031" s="9" t="s">
        <v>9</v>
      </c>
      <c r="C1031" s="9">
        <v>1917</v>
      </c>
      <c r="D1031" s="10">
        <v>45653</v>
      </c>
      <c r="E1031" s="9" t="str">
        <f>+HYPERLINK("http://trademark.i-assist.jp/data/china/image_1917th/81262964.pdf","81262964")</f>
        <v>81262964</v>
      </c>
      <c r="F1031" s="9" t="s">
        <v>2857</v>
      </c>
      <c r="G1031" s="9" t="s">
        <v>2858</v>
      </c>
      <c r="H1031" s="12" t="s">
        <v>2859</v>
      </c>
      <c r="I1031" s="10">
        <v>45574</v>
      </c>
    </row>
    <row r="1032" spans="1:9" x14ac:dyDescent="0.15">
      <c r="A1032" s="9">
        <v>1031</v>
      </c>
      <c r="B1032" s="9" t="s">
        <v>9</v>
      </c>
      <c r="C1032" s="9">
        <v>1917</v>
      </c>
      <c r="D1032" s="10">
        <v>45653</v>
      </c>
      <c r="E1032" s="9" t="str">
        <f>+HYPERLINK("http://trademark.i-assist.jp/data/china/image_1917th/81263087.pdf","81263087")</f>
        <v>81263087</v>
      </c>
      <c r="F1032" s="9" t="s">
        <v>2860</v>
      </c>
      <c r="G1032" s="9" t="s">
        <v>2861</v>
      </c>
      <c r="H1032" s="9" t="s">
        <v>2862</v>
      </c>
      <c r="I1032" s="10">
        <v>45574</v>
      </c>
    </row>
    <row r="1033" spans="1:9" x14ac:dyDescent="0.15">
      <c r="A1033" s="9">
        <v>1032</v>
      </c>
      <c r="B1033" s="9" t="s">
        <v>9</v>
      </c>
      <c r="C1033" s="9">
        <v>1917</v>
      </c>
      <c r="D1033" s="10">
        <v>45653</v>
      </c>
      <c r="E1033" s="9" t="str">
        <f>+HYPERLINK("http://trademark.i-assist.jp/data/china/image_1917th/81263479.pdf","81263479")</f>
        <v>81263479</v>
      </c>
      <c r="F1033" s="9" t="s">
        <v>2863</v>
      </c>
      <c r="G1033" s="12" t="s">
        <v>2864</v>
      </c>
      <c r="H1033" s="9" t="s">
        <v>2865</v>
      </c>
      <c r="I1033" s="10">
        <v>45574</v>
      </c>
    </row>
    <row r="1034" spans="1:9" x14ac:dyDescent="0.15">
      <c r="A1034" s="9">
        <v>1033</v>
      </c>
      <c r="B1034" s="9" t="s">
        <v>9</v>
      </c>
      <c r="C1034" s="9">
        <v>1917</v>
      </c>
      <c r="D1034" s="10">
        <v>45653</v>
      </c>
      <c r="E1034" s="9" t="str">
        <f>+HYPERLINK("http://trademark.i-assist.jp/data/china/image_1917th/81263601.pdf","81263601")</f>
        <v>81263601</v>
      </c>
      <c r="F1034" s="12" t="s">
        <v>2866</v>
      </c>
      <c r="G1034" s="9" t="s">
        <v>2867</v>
      </c>
      <c r="H1034" s="9" t="s">
        <v>2868</v>
      </c>
      <c r="I1034" s="10">
        <v>45574</v>
      </c>
    </row>
    <row r="1035" spans="1:9" x14ac:dyDescent="0.15">
      <c r="A1035" s="9">
        <v>1034</v>
      </c>
      <c r="B1035" s="9" t="s">
        <v>9</v>
      </c>
      <c r="C1035" s="9">
        <v>1917</v>
      </c>
      <c r="D1035" s="10">
        <v>45653</v>
      </c>
      <c r="E1035" s="9" t="str">
        <f>+HYPERLINK("http://trademark.i-assist.jp/data/china/image_1917th/81263710.pdf","81263710")</f>
        <v>81263710</v>
      </c>
      <c r="F1035" s="9" t="s">
        <v>2869</v>
      </c>
      <c r="G1035" s="12" t="s">
        <v>41</v>
      </c>
      <c r="H1035" s="12" t="s">
        <v>2870</v>
      </c>
      <c r="I1035" s="10">
        <v>45574</v>
      </c>
    </row>
    <row r="1036" spans="1:9" x14ac:dyDescent="0.15">
      <c r="A1036" s="9">
        <v>1035</v>
      </c>
      <c r="B1036" s="9" t="s">
        <v>9</v>
      </c>
      <c r="C1036" s="9">
        <v>1917</v>
      </c>
      <c r="D1036" s="10">
        <v>45653</v>
      </c>
      <c r="E1036" s="9" t="str">
        <f>+HYPERLINK("http://trademark.i-assist.jp/data/china/image_1917th/81263948.pdf","81263948")</f>
        <v>81263948</v>
      </c>
      <c r="F1036" s="12" t="s">
        <v>12</v>
      </c>
      <c r="G1036" s="9" t="s">
        <v>2871</v>
      </c>
      <c r="H1036" s="9" t="s">
        <v>2872</v>
      </c>
      <c r="I1036" s="10">
        <v>45574</v>
      </c>
    </row>
    <row r="1037" spans="1:9" x14ac:dyDescent="0.15">
      <c r="A1037" s="9">
        <v>1036</v>
      </c>
      <c r="B1037" s="9" t="s">
        <v>9</v>
      </c>
      <c r="C1037" s="9">
        <v>1917</v>
      </c>
      <c r="D1037" s="10">
        <v>45653</v>
      </c>
      <c r="E1037" s="9" t="str">
        <f>+HYPERLINK("http://trademark.i-assist.jp/data/china/image_1917th/81264547.pdf","81264547")</f>
        <v>81264547</v>
      </c>
      <c r="F1037" s="9" t="s">
        <v>2873</v>
      </c>
      <c r="G1037" s="9" t="s">
        <v>2874</v>
      </c>
      <c r="H1037" s="9" t="s">
        <v>2875</v>
      </c>
      <c r="I1037" s="10">
        <v>45574</v>
      </c>
    </row>
    <row r="1038" spans="1:9" x14ac:dyDescent="0.15">
      <c r="A1038" s="9">
        <v>1037</v>
      </c>
      <c r="B1038" s="9" t="s">
        <v>9</v>
      </c>
      <c r="C1038" s="9">
        <v>1917</v>
      </c>
      <c r="D1038" s="10">
        <v>45653</v>
      </c>
      <c r="E1038" s="9" t="str">
        <f>+HYPERLINK("http://trademark.i-assist.jp/data/china/image_1917th/81264581.pdf","81264581")</f>
        <v>81264581</v>
      </c>
      <c r="F1038" s="9" t="s">
        <v>2876</v>
      </c>
      <c r="G1038" s="12" t="s">
        <v>2877</v>
      </c>
      <c r="H1038" s="9" t="s">
        <v>2878</v>
      </c>
      <c r="I1038" s="10">
        <v>45574</v>
      </c>
    </row>
    <row r="1039" spans="1:9" x14ac:dyDescent="0.15">
      <c r="A1039" s="9">
        <v>1038</v>
      </c>
      <c r="B1039" s="9" t="s">
        <v>9</v>
      </c>
      <c r="C1039" s="9">
        <v>1917</v>
      </c>
      <c r="D1039" s="10">
        <v>45653</v>
      </c>
      <c r="E1039" s="9" t="str">
        <f>+HYPERLINK("http://trademark.i-assist.jp/data/china/image_1917th/81265001.pdf","81265001")</f>
        <v>81265001</v>
      </c>
      <c r="F1039" s="9" t="s">
        <v>2879</v>
      </c>
      <c r="G1039" s="9" t="s">
        <v>2880</v>
      </c>
      <c r="H1039" s="9" t="s">
        <v>2881</v>
      </c>
      <c r="I1039" s="10">
        <v>45574</v>
      </c>
    </row>
    <row r="1040" spans="1:9" x14ac:dyDescent="0.15">
      <c r="A1040" s="9">
        <v>1039</v>
      </c>
      <c r="B1040" s="9" t="s">
        <v>9</v>
      </c>
      <c r="C1040" s="9">
        <v>1917</v>
      </c>
      <c r="D1040" s="10">
        <v>45653</v>
      </c>
      <c r="E1040" s="9" t="str">
        <f>+HYPERLINK("http://trademark.i-assist.jp/data/china/image_1917th/81265312.pdf","81265312")</f>
        <v>81265312</v>
      </c>
      <c r="F1040" s="9" t="s">
        <v>2882</v>
      </c>
      <c r="G1040" s="12" t="s">
        <v>2883</v>
      </c>
      <c r="H1040" s="9" t="s">
        <v>2884</v>
      </c>
      <c r="I1040" s="10">
        <v>45574</v>
      </c>
    </row>
    <row r="1041" spans="1:9" x14ac:dyDescent="0.15">
      <c r="A1041" s="9">
        <v>1040</v>
      </c>
      <c r="B1041" s="9" t="s">
        <v>9</v>
      </c>
      <c r="C1041" s="9">
        <v>1917</v>
      </c>
      <c r="D1041" s="10">
        <v>45653</v>
      </c>
      <c r="E1041" s="9" t="str">
        <f>+HYPERLINK("http://trademark.i-assist.jp/data/china/image_1917th/81265501.pdf","81265501")</f>
        <v>81265501</v>
      </c>
      <c r="F1041" s="9" t="s">
        <v>2885</v>
      </c>
      <c r="G1041" s="9" t="s">
        <v>2886</v>
      </c>
      <c r="H1041" s="9" t="s">
        <v>2887</v>
      </c>
      <c r="I1041" s="10">
        <v>45574</v>
      </c>
    </row>
    <row r="1042" spans="1:9" x14ac:dyDescent="0.15">
      <c r="A1042" s="9">
        <v>1041</v>
      </c>
      <c r="B1042" s="9" t="s">
        <v>9</v>
      </c>
      <c r="C1042" s="9">
        <v>1917</v>
      </c>
      <c r="D1042" s="10">
        <v>45653</v>
      </c>
      <c r="E1042" s="9" t="str">
        <f>+HYPERLINK("http://trademark.i-assist.jp/data/china/image_1917th/81265756.pdf","81265756")</f>
        <v>81265756</v>
      </c>
      <c r="F1042" s="12" t="s">
        <v>12</v>
      </c>
      <c r="G1042" s="9" t="s">
        <v>2888</v>
      </c>
      <c r="H1042" s="9" t="s">
        <v>2889</v>
      </c>
      <c r="I1042" s="10">
        <v>45574</v>
      </c>
    </row>
    <row r="1043" spans="1:9" x14ac:dyDescent="0.15">
      <c r="A1043" s="9">
        <v>1042</v>
      </c>
      <c r="B1043" s="9" t="s">
        <v>9</v>
      </c>
      <c r="C1043" s="9">
        <v>1917</v>
      </c>
      <c r="D1043" s="10">
        <v>45653</v>
      </c>
      <c r="E1043" s="9" t="str">
        <f>+HYPERLINK("http://trademark.i-assist.jp/data/china/image_1917th/81266052.pdf","81266052")</f>
        <v>81266052</v>
      </c>
      <c r="F1043" s="9" t="s">
        <v>2890</v>
      </c>
      <c r="G1043" s="12" t="s">
        <v>2891</v>
      </c>
      <c r="H1043" s="12" t="s">
        <v>2892</v>
      </c>
      <c r="I1043" s="10">
        <v>45574</v>
      </c>
    </row>
    <row r="1044" spans="1:9" x14ac:dyDescent="0.15">
      <c r="A1044" s="9">
        <v>1043</v>
      </c>
      <c r="B1044" s="9" t="s">
        <v>9</v>
      </c>
      <c r="C1044" s="9">
        <v>1917</v>
      </c>
      <c r="D1044" s="10">
        <v>45653</v>
      </c>
      <c r="E1044" s="9" t="str">
        <f>+HYPERLINK("http://trademark.i-assist.jp/data/china/image_1917th/81266101.pdf","81266101")</f>
        <v>81266101</v>
      </c>
      <c r="F1044" s="9" t="s">
        <v>2893</v>
      </c>
      <c r="G1044" s="12" t="s">
        <v>2894</v>
      </c>
      <c r="H1044" s="9" t="s">
        <v>2895</v>
      </c>
      <c r="I1044" s="10">
        <v>45574</v>
      </c>
    </row>
    <row r="1045" spans="1:9" x14ac:dyDescent="0.15">
      <c r="A1045" s="9">
        <v>1044</v>
      </c>
      <c r="B1045" s="9" t="s">
        <v>9</v>
      </c>
      <c r="C1045" s="9">
        <v>1917</v>
      </c>
      <c r="D1045" s="10">
        <v>45653</v>
      </c>
      <c r="E1045" s="9" t="str">
        <f>+HYPERLINK("http://trademark.i-assist.jp/data/china/image_1917th/81266120.pdf","81266120")</f>
        <v>81266120</v>
      </c>
      <c r="F1045" s="9" t="s">
        <v>2896</v>
      </c>
      <c r="G1045" s="9" t="s">
        <v>2897</v>
      </c>
      <c r="H1045" s="9" t="s">
        <v>2898</v>
      </c>
      <c r="I1045" s="10">
        <v>45574</v>
      </c>
    </row>
    <row r="1046" spans="1:9" x14ac:dyDescent="0.15">
      <c r="A1046" s="9">
        <v>1045</v>
      </c>
      <c r="B1046" s="9" t="s">
        <v>9</v>
      </c>
      <c r="C1046" s="9">
        <v>1917</v>
      </c>
      <c r="D1046" s="10">
        <v>45653</v>
      </c>
      <c r="E1046" s="9" t="str">
        <f>+HYPERLINK("http://trademark.i-assist.jp/data/china/image_1917th/81266600.pdf","81266600")</f>
        <v>81266600</v>
      </c>
      <c r="F1046" s="12" t="s">
        <v>2899</v>
      </c>
      <c r="G1046" s="9" t="s">
        <v>2900</v>
      </c>
      <c r="H1046" s="12" t="s">
        <v>2901</v>
      </c>
      <c r="I1046" s="10">
        <v>45574</v>
      </c>
    </row>
    <row r="1047" spans="1:9" x14ac:dyDescent="0.15">
      <c r="A1047" s="9">
        <v>1046</v>
      </c>
      <c r="B1047" s="9" t="s">
        <v>9</v>
      </c>
      <c r="C1047" s="9">
        <v>1917</v>
      </c>
      <c r="D1047" s="10">
        <v>45653</v>
      </c>
      <c r="E1047" s="9" t="str">
        <f>+HYPERLINK("http://trademark.i-assist.jp/data/china/image_1917th/81266689.pdf","81266689")</f>
        <v>81266689</v>
      </c>
      <c r="F1047" s="12" t="s">
        <v>12</v>
      </c>
      <c r="G1047" s="9" t="s">
        <v>810</v>
      </c>
      <c r="H1047" s="9" t="s">
        <v>2902</v>
      </c>
      <c r="I1047" s="10">
        <v>45574</v>
      </c>
    </row>
    <row r="1048" spans="1:9" x14ac:dyDescent="0.15">
      <c r="A1048" s="9">
        <v>1047</v>
      </c>
      <c r="B1048" s="9" t="s">
        <v>9</v>
      </c>
      <c r="C1048" s="9">
        <v>1917</v>
      </c>
      <c r="D1048" s="10">
        <v>45653</v>
      </c>
      <c r="E1048" s="9" t="str">
        <f>+HYPERLINK("http://trademark.i-assist.jp/data/china/image_1917th/81266895.pdf","81266895")</f>
        <v>81266895</v>
      </c>
      <c r="F1048" s="12" t="s">
        <v>2903</v>
      </c>
      <c r="G1048" s="12" t="s">
        <v>2904</v>
      </c>
      <c r="H1048" s="9" t="s">
        <v>2905</v>
      </c>
      <c r="I1048" s="10">
        <v>45574</v>
      </c>
    </row>
    <row r="1049" spans="1:9" x14ac:dyDescent="0.15">
      <c r="A1049" s="9">
        <v>1048</v>
      </c>
      <c r="B1049" s="9" t="s">
        <v>9</v>
      </c>
      <c r="C1049" s="9">
        <v>1917</v>
      </c>
      <c r="D1049" s="10">
        <v>45653</v>
      </c>
      <c r="E1049" s="9" t="str">
        <f>+HYPERLINK("http://trademark.i-assist.jp/data/china/image_1917th/81267174.pdf","81267174")</f>
        <v>81267174</v>
      </c>
      <c r="F1049" s="9" t="s">
        <v>2906</v>
      </c>
      <c r="G1049" s="9" t="s">
        <v>2907</v>
      </c>
      <c r="H1049" s="12" t="s">
        <v>2908</v>
      </c>
      <c r="I1049" s="10">
        <v>45574</v>
      </c>
    </row>
    <row r="1050" spans="1:9" x14ac:dyDescent="0.15">
      <c r="A1050" s="9">
        <v>1049</v>
      </c>
      <c r="B1050" s="9" t="s">
        <v>9</v>
      </c>
      <c r="C1050" s="9">
        <v>1917</v>
      </c>
      <c r="D1050" s="10">
        <v>45653</v>
      </c>
      <c r="E1050" s="9" t="str">
        <f>+HYPERLINK("http://trademark.i-assist.jp/data/china/image_1917th/81267307.pdf","81267307")</f>
        <v>81267307</v>
      </c>
      <c r="F1050" s="12" t="s">
        <v>2909</v>
      </c>
      <c r="G1050" s="9" t="s">
        <v>2910</v>
      </c>
      <c r="H1050" s="9" t="s">
        <v>2911</v>
      </c>
      <c r="I1050" s="10">
        <v>45574</v>
      </c>
    </row>
    <row r="1051" spans="1:9" x14ac:dyDescent="0.15">
      <c r="A1051" s="9">
        <v>1050</v>
      </c>
      <c r="B1051" s="9" t="s">
        <v>9</v>
      </c>
      <c r="C1051" s="9">
        <v>1917</v>
      </c>
      <c r="D1051" s="10">
        <v>45653</v>
      </c>
      <c r="E1051" s="9" t="str">
        <f>+HYPERLINK("http://trademark.i-assist.jp/data/china/image_1917th/81267477.pdf","81267477")</f>
        <v>81267477</v>
      </c>
      <c r="F1051" s="12" t="s">
        <v>2912</v>
      </c>
      <c r="G1051" s="12" t="s">
        <v>2913</v>
      </c>
      <c r="H1051" s="9" t="s">
        <v>2914</v>
      </c>
      <c r="I1051" s="10">
        <v>45574</v>
      </c>
    </row>
    <row r="1052" spans="1:9" x14ac:dyDescent="0.15">
      <c r="A1052" s="9">
        <v>1051</v>
      </c>
      <c r="B1052" s="9" t="s">
        <v>9</v>
      </c>
      <c r="C1052" s="9">
        <v>1917</v>
      </c>
      <c r="D1052" s="10">
        <v>45653</v>
      </c>
      <c r="E1052" s="9" t="str">
        <f>+HYPERLINK("http://trademark.i-assist.jp/data/china/image_1917th/81267783.pdf","81267783")</f>
        <v>81267783</v>
      </c>
      <c r="F1052" s="12" t="s">
        <v>2915</v>
      </c>
      <c r="G1052" s="9" t="s">
        <v>2761</v>
      </c>
      <c r="H1052" s="9" t="s">
        <v>2916</v>
      </c>
      <c r="I1052" s="10">
        <v>45574</v>
      </c>
    </row>
    <row r="1053" spans="1:9" x14ac:dyDescent="0.15">
      <c r="A1053" s="9">
        <v>1052</v>
      </c>
      <c r="B1053" s="9" t="s">
        <v>9</v>
      </c>
      <c r="C1053" s="9">
        <v>1917</v>
      </c>
      <c r="D1053" s="10">
        <v>45653</v>
      </c>
      <c r="E1053" s="9" t="str">
        <f>+HYPERLINK("http://trademark.i-assist.jp/data/china/image_1917th/81267891.pdf","81267891")</f>
        <v>81267891</v>
      </c>
      <c r="F1053" s="9" t="s">
        <v>2755</v>
      </c>
      <c r="G1053" s="12" t="s">
        <v>2756</v>
      </c>
      <c r="H1053" s="9" t="s">
        <v>2917</v>
      </c>
      <c r="I1053" s="10">
        <v>45574</v>
      </c>
    </row>
    <row r="1054" spans="1:9" x14ac:dyDescent="0.15">
      <c r="A1054" s="9">
        <v>1053</v>
      </c>
      <c r="B1054" s="9" t="s">
        <v>9</v>
      </c>
      <c r="C1054" s="9">
        <v>1917</v>
      </c>
      <c r="D1054" s="10">
        <v>45653</v>
      </c>
      <c r="E1054" s="9" t="str">
        <f>+HYPERLINK("http://trademark.i-assist.jp/data/china/image_1917th/81268161.pdf","81268161")</f>
        <v>81268161</v>
      </c>
      <c r="F1054" s="12" t="s">
        <v>2918</v>
      </c>
      <c r="G1054" s="9" t="s">
        <v>2919</v>
      </c>
      <c r="H1054" s="9" t="s">
        <v>2920</v>
      </c>
      <c r="I1054" s="10">
        <v>45574</v>
      </c>
    </row>
    <row r="1055" spans="1:9" x14ac:dyDescent="0.15">
      <c r="A1055" s="9">
        <v>1054</v>
      </c>
      <c r="B1055" s="9" t="s">
        <v>9</v>
      </c>
      <c r="C1055" s="9">
        <v>1917</v>
      </c>
      <c r="D1055" s="10">
        <v>45653</v>
      </c>
      <c r="E1055" s="9" t="str">
        <f>+HYPERLINK("http://trademark.i-assist.jp/data/china/image_1917th/81268467.pdf","81268467")</f>
        <v>81268467</v>
      </c>
      <c r="F1055" s="9" t="s">
        <v>2921</v>
      </c>
      <c r="G1055" s="9" t="s">
        <v>2922</v>
      </c>
      <c r="H1055" s="9" t="s">
        <v>2923</v>
      </c>
      <c r="I1055" s="10">
        <v>45574</v>
      </c>
    </row>
    <row r="1056" spans="1:9" x14ac:dyDescent="0.15">
      <c r="A1056" s="9">
        <v>1055</v>
      </c>
      <c r="B1056" s="9" t="s">
        <v>9</v>
      </c>
      <c r="C1056" s="9">
        <v>1917</v>
      </c>
      <c r="D1056" s="10">
        <v>45653</v>
      </c>
      <c r="E1056" s="9" t="str">
        <f>+HYPERLINK("http://trademark.i-assist.jp/data/china/image_1917th/81268485.pdf","81268485")</f>
        <v>81268485</v>
      </c>
      <c r="F1056" s="12" t="s">
        <v>2924</v>
      </c>
      <c r="G1056" s="9" t="s">
        <v>2925</v>
      </c>
      <c r="H1056" s="12" t="s">
        <v>2926</v>
      </c>
      <c r="I1056" s="10">
        <v>45574</v>
      </c>
    </row>
    <row r="1057" spans="1:9" x14ac:dyDescent="0.15">
      <c r="A1057" s="9">
        <v>1056</v>
      </c>
      <c r="B1057" s="9" t="s">
        <v>9</v>
      </c>
      <c r="C1057" s="9">
        <v>1917</v>
      </c>
      <c r="D1057" s="10">
        <v>45653</v>
      </c>
      <c r="E1057" s="9" t="str">
        <f>+HYPERLINK("http://trademark.i-assist.jp/data/china/image_1917th/81268841.pdf","81268841")</f>
        <v>81268841</v>
      </c>
      <c r="F1057" s="9" t="s">
        <v>2927</v>
      </c>
      <c r="G1057" s="9" t="s">
        <v>2928</v>
      </c>
      <c r="H1057" s="9" t="s">
        <v>2929</v>
      </c>
      <c r="I1057" s="10">
        <v>45574</v>
      </c>
    </row>
    <row r="1058" spans="1:9" x14ac:dyDescent="0.15">
      <c r="A1058" s="9">
        <v>1057</v>
      </c>
      <c r="B1058" s="9" t="s">
        <v>9</v>
      </c>
      <c r="C1058" s="9">
        <v>1917</v>
      </c>
      <c r="D1058" s="10">
        <v>45653</v>
      </c>
      <c r="E1058" s="9" t="str">
        <f>+HYPERLINK("http://trademark.i-assist.jp/data/china/image_1917th/81269132.pdf","81269132")</f>
        <v>81269132</v>
      </c>
      <c r="F1058" s="12" t="s">
        <v>2930</v>
      </c>
      <c r="G1058" s="9" t="s">
        <v>56</v>
      </c>
      <c r="H1058" s="9" t="s">
        <v>2931</v>
      </c>
      <c r="I1058" s="10">
        <v>45574</v>
      </c>
    </row>
    <row r="1059" spans="1:9" x14ac:dyDescent="0.15">
      <c r="A1059" s="9">
        <v>1058</v>
      </c>
      <c r="B1059" s="9" t="s">
        <v>9</v>
      </c>
      <c r="C1059" s="9">
        <v>1917</v>
      </c>
      <c r="D1059" s="10">
        <v>45653</v>
      </c>
      <c r="E1059" s="9" t="str">
        <f>+HYPERLINK("http://trademark.i-assist.jp/data/china/image_1917th/81269206.pdf","81269206")</f>
        <v>81269206</v>
      </c>
      <c r="F1059" s="9" t="s">
        <v>2932</v>
      </c>
      <c r="G1059" s="9" t="s">
        <v>2933</v>
      </c>
      <c r="H1059" s="9" t="s">
        <v>2934</v>
      </c>
      <c r="I1059" s="10">
        <v>45574</v>
      </c>
    </row>
    <row r="1060" spans="1:9" x14ac:dyDescent="0.15">
      <c r="A1060" s="9">
        <v>1059</v>
      </c>
      <c r="B1060" s="9" t="s">
        <v>9</v>
      </c>
      <c r="C1060" s="9">
        <v>1917</v>
      </c>
      <c r="D1060" s="10">
        <v>45653</v>
      </c>
      <c r="E1060" s="9" t="str">
        <f>+HYPERLINK("http://trademark.i-assist.jp/data/china/image_1917th/81269297.pdf","81269297")</f>
        <v>81269297</v>
      </c>
      <c r="F1060" s="9" t="s">
        <v>2935</v>
      </c>
      <c r="G1060" s="9" t="s">
        <v>32</v>
      </c>
      <c r="H1060" s="9" t="s">
        <v>2936</v>
      </c>
      <c r="I1060" s="10">
        <v>45574</v>
      </c>
    </row>
    <row r="1061" spans="1:9" x14ac:dyDescent="0.15">
      <c r="A1061" s="9">
        <v>1060</v>
      </c>
      <c r="B1061" s="9" t="s">
        <v>9</v>
      </c>
      <c r="C1061" s="9">
        <v>1917</v>
      </c>
      <c r="D1061" s="10">
        <v>45653</v>
      </c>
      <c r="E1061" s="9" t="str">
        <f>+HYPERLINK("http://trademark.i-assist.jp/data/china/image_1917th/81269373.pdf","81269373")</f>
        <v>81269373</v>
      </c>
      <c r="F1061" s="12" t="s">
        <v>12</v>
      </c>
      <c r="G1061" s="9" t="s">
        <v>2937</v>
      </c>
      <c r="H1061" s="9" t="s">
        <v>2938</v>
      </c>
      <c r="I1061" s="10">
        <v>45574</v>
      </c>
    </row>
    <row r="1062" spans="1:9" x14ac:dyDescent="0.15">
      <c r="A1062" s="9">
        <v>1061</v>
      </c>
      <c r="B1062" s="9" t="s">
        <v>9</v>
      </c>
      <c r="C1062" s="9">
        <v>1917</v>
      </c>
      <c r="D1062" s="10">
        <v>45653</v>
      </c>
      <c r="E1062" s="9" t="str">
        <f>+HYPERLINK("http://trademark.i-assist.jp/data/china/image_1917th/81269500.pdf","81269500")</f>
        <v>81269500</v>
      </c>
      <c r="F1062" s="9" t="s">
        <v>2939</v>
      </c>
      <c r="G1062" s="9" t="s">
        <v>2940</v>
      </c>
      <c r="H1062" s="12" t="s">
        <v>2941</v>
      </c>
      <c r="I1062" s="10">
        <v>45574</v>
      </c>
    </row>
    <row r="1063" spans="1:9" x14ac:dyDescent="0.15">
      <c r="A1063" s="9">
        <v>1062</v>
      </c>
      <c r="B1063" s="9" t="s">
        <v>9</v>
      </c>
      <c r="C1063" s="9">
        <v>1917</v>
      </c>
      <c r="D1063" s="10">
        <v>45653</v>
      </c>
      <c r="E1063" s="9" t="str">
        <f>+HYPERLINK("http://trademark.i-assist.jp/data/china/image_1917th/81269743.pdf","81269743")</f>
        <v>81269743</v>
      </c>
      <c r="F1063" s="12" t="s">
        <v>2942</v>
      </c>
      <c r="G1063" s="12" t="s">
        <v>2943</v>
      </c>
      <c r="H1063" s="9" t="s">
        <v>2944</v>
      </c>
      <c r="I1063" s="10">
        <v>45574</v>
      </c>
    </row>
    <row r="1064" spans="1:9" x14ac:dyDescent="0.15">
      <c r="A1064" s="9">
        <v>1063</v>
      </c>
      <c r="B1064" s="9" t="s">
        <v>9</v>
      </c>
      <c r="C1064" s="9">
        <v>1917</v>
      </c>
      <c r="D1064" s="10">
        <v>45653</v>
      </c>
      <c r="E1064" s="9" t="str">
        <f>+HYPERLINK("http://trademark.i-assist.jp/data/china/image_1917th/81270492.pdf","81270492")</f>
        <v>81270492</v>
      </c>
      <c r="F1064" s="12" t="s">
        <v>2945</v>
      </c>
      <c r="G1064" s="9" t="s">
        <v>2946</v>
      </c>
      <c r="H1064" s="9" t="s">
        <v>2947</v>
      </c>
      <c r="I1064" s="10">
        <v>45574</v>
      </c>
    </row>
    <row r="1065" spans="1:9" x14ac:dyDescent="0.15">
      <c r="A1065" s="9">
        <v>1064</v>
      </c>
      <c r="B1065" s="9" t="s">
        <v>9</v>
      </c>
      <c r="C1065" s="9">
        <v>1917</v>
      </c>
      <c r="D1065" s="10">
        <v>45653</v>
      </c>
      <c r="E1065" s="9" t="str">
        <f>+HYPERLINK("http://trademark.i-assist.jp/data/china/image_1917th/81270762.pdf","81270762")</f>
        <v>81270762</v>
      </c>
      <c r="F1065" s="12" t="s">
        <v>2948</v>
      </c>
      <c r="G1065" s="9" t="s">
        <v>2949</v>
      </c>
      <c r="H1065" s="9" t="s">
        <v>2950</v>
      </c>
      <c r="I1065" s="10">
        <v>45574</v>
      </c>
    </row>
    <row r="1066" spans="1:9" x14ac:dyDescent="0.15">
      <c r="A1066" s="9">
        <v>1065</v>
      </c>
      <c r="B1066" s="9" t="s">
        <v>9</v>
      </c>
      <c r="C1066" s="9">
        <v>1917</v>
      </c>
      <c r="D1066" s="10">
        <v>45653</v>
      </c>
      <c r="E1066" s="9" t="str">
        <f>+HYPERLINK("http://trademark.i-assist.jp/data/china/image_1917th/81271432.pdf","81271432")</f>
        <v>81271432</v>
      </c>
      <c r="F1066" s="9" t="s">
        <v>2951</v>
      </c>
      <c r="G1066" s="9" t="s">
        <v>2952</v>
      </c>
      <c r="H1066" s="9" t="s">
        <v>2953</v>
      </c>
      <c r="I1066" s="10">
        <v>45574</v>
      </c>
    </row>
    <row r="1067" spans="1:9" x14ac:dyDescent="0.15">
      <c r="A1067" s="9">
        <v>1066</v>
      </c>
      <c r="B1067" s="9" t="s">
        <v>9</v>
      </c>
      <c r="C1067" s="9">
        <v>1917</v>
      </c>
      <c r="D1067" s="10">
        <v>45653</v>
      </c>
      <c r="E1067" s="9" t="str">
        <f>+HYPERLINK("http://trademark.i-assist.jp/data/china/image_1917th/81271563.pdf","81271563")</f>
        <v>81271563</v>
      </c>
      <c r="F1067" s="12" t="s">
        <v>12</v>
      </c>
      <c r="G1067" s="12" t="s">
        <v>2954</v>
      </c>
      <c r="H1067" s="12" t="s">
        <v>2955</v>
      </c>
      <c r="I1067" s="10">
        <v>45574</v>
      </c>
    </row>
    <row r="1068" spans="1:9" x14ac:dyDescent="0.15">
      <c r="A1068" s="9">
        <v>1067</v>
      </c>
      <c r="B1068" s="9" t="s">
        <v>9</v>
      </c>
      <c r="C1068" s="9">
        <v>1917</v>
      </c>
      <c r="D1068" s="10">
        <v>45653</v>
      </c>
      <c r="E1068" s="9" t="str">
        <f>+HYPERLINK("http://trademark.i-assist.jp/data/china/image_1917th/81271656.pdf","81271656")</f>
        <v>81271656</v>
      </c>
      <c r="F1068" s="9" t="s">
        <v>2956</v>
      </c>
      <c r="G1068" s="9" t="s">
        <v>2810</v>
      </c>
      <c r="H1068" s="9" t="s">
        <v>2957</v>
      </c>
      <c r="I1068" s="10">
        <v>45574</v>
      </c>
    </row>
    <row r="1069" spans="1:9" x14ac:dyDescent="0.15">
      <c r="A1069" s="9">
        <v>1068</v>
      </c>
      <c r="B1069" s="9" t="s">
        <v>9</v>
      </c>
      <c r="C1069" s="9">
        <v>1917</v>
      </c>
      <c r="D1069" s="10">
        <v>45653</v>
      </c>
      <c r="E1069" s="9" t="str">
        <f>+HYPERLINK("http://trademark.i-assist.jp/data/china/image_1917th/81272005.pdf","81272005")</f>
        <v>81272005</v>
      </c>
      <c r="F1069" s="9" t="s">
        <v>2958</v>
      </c>
      <c r="G1069" s="9" t="s">
        <v>2959</v>
      </c>
      <c r="H1069" s="9" t="s">
        <v>2960</v>
      </c>
      <c r="I1069" s="10">
        <v>45574</v>
      </c>
    </row>
    <row r="1070" spans="1:9" x14ac:dyDescent="0.15">
      <c r="A1070" s="9">
        <v>1069</v>
      </c>
      <c r="B1070" s="9" t="s">
        <v>9</v>
      </c>
      <c r="C1070" s="9">
        <v>1917</v>
      </c>
      <c r="D1070" s="10">
        <v>45653</v>
      </c>
      <c r="E1070" s="9" t="str">
        <f>+HYPERLINK("http://trademark.i-assist.jp/data/china/image_1917th/81272170.pdf","81272170")</f>
        <v>81272170</v>
      </c>
      <c r="F1070" s="9" t="s">
        <v>2961</v>
      </c>
      <c r="G1070" s="9" t="s">
        <v>2962</v>
      </c>
      <c r="H1070" s="9" t="s">
        <v>2963</v>
      </c>
      <c r="I1070" s="10">
        <v>45574</v>
      </c>
    </row>
    <row r="1071" spans="1:9" x14ac:dyDescent="0.15">
      <c r="A1071" s="9">
        <v>1070</v>
      </c>
      <c r="B1071" s="9" t="s">
        <v>9</v>
      </c>
      <c r="C1071" s="9">
        <v>1917</v>
      </c>
      <c r="D1071" s="10">
        <v>45653</v>
      </c>
      <c r="E1071" s="9" t="str">
        <f>+HYPERLINK("http://trademark.i-assist.jp/data/china/image_1917th/81272223.pdf","81272223")</f>
        <v>81272223</v>
      </c>
      <c r="F1071" s="9" t="s">
        <v>2964</v>
      </c>
      <c r="G1071" s="12" t="s">
        <v>2965</v>
      </c>
      <c r="H1071" s="9" t="s">
        <v>2966</v>
      </c>
      <c r="I1071" s="10">
        <v>45574</v>
      </c>
    </row>
    <row r="1072" spans="1:9" x14ac:dyDescent="0.15">
      <c r="A1072" s="9">
        <v>1071</v>
      </c>
      <c r="B1072" s="9" t="s">
        <v>9</v>
      </c>
      <c r="C1072" s="9">
        <v>1917</v>
      </c>
      <c r="D1072" s="10">
        <v>45653</v>
      </c>
      <c r="E1072" s="9" t="str">
        <f>+HYPERLINK("http://trademark.i-assist.jp/data/china/image_1917th/81272585.pdf","81272585")</f>
        <v>81272585</v>
      </c>
      <c r="F1072" s="9" t="s">
        <v>2967</v>
      </c>
      <c r="G1072" s="9" t="s">
        <v>2968</v>
      </c>
      <c r="H1072" s="9" t="s">
        <v>2969</v>
      </c>
      <c r="I1072" s="10">
        <v>45574</v>
      </c>
    </row>
    <row r="1073" spans="1:9" x14ac:dyDescent="0.15">
      <c r="A1073" s="9">
        <v>1072</v>
      </c>
      <c r="B1073" s="9" t="s">
        <v>9</v>
      </c>
      <c r="C1073" s="9">
        <v>1917</v>
      </c>
      <c r="D1073" s="10">
        <v>45653</v>
      </c>
      <c r="E1073" s="9" t="str">
        <f>+HYPERLINK("http://trademark.i-assist.jp/data/china/image_1917th/81272786.pdf","81272786")</f>
        <v>81272786</v>
      </c>
      <c r="F1073" s="9" t="s">
        <v>2970</v>
      </c>
      <c r="G1073" s="12" t="s">
        <v>2971</v>
      </c>
      <c r="H1073" s="9" t="s">
        <v>2972</v>
      </c>
      <c r="I1073" s="10">
        <v>45574</v>
      </c>
    </row>
    <row r="1074" spans="1:9" x14ac:dyDescent="0.15">
      <c r="A1074" s="9">
        <v>1073</v>
      </c>
      <c r="B1074" s="9" t="s">
        <v>9</v>
      </c>
      <c r="C1074" s="9">
        <v>1917</v>
      </c>
      <c r="D1074" s="10">
        <v>45653</v>
      </c>
      <c r="E1074" s="9" t="str">
        <f>+HYPERLINK("http://trademark.i-assist.jp/data/china/image_1917th/81273161.pdf","81273161")</f>
        <v>81273161</v>
      </c>
      <c r="F1074" s="9" t="s">
        <v>2973</v>
      </c>
      <c r="G1074" s="9" t="s">
        <v>2810</v>
      </c>
      <c r="H1074" s="9" t="s">
        <v>2974</v>
      </c>
      <c r="I1074" s="10">
        <v>45574</v>
      </c>
    </row>
    <row r="1075" spans="1:9" x14ac:dyDescent="0.15">
      <c r="A1075" s="9">
        <v>1074</v>
      </c>
      <c r="B1075" s="9" t="s">
        <v>9</v>
      </c>
      <c r="C1075" s="9">
        <v>1917</v>
      </c>
      <c r="D1075" s="10">
        <v>45653</v>
      </c>
      <c r="E1075" s="9" t="str">
        <f>+HYPERLINK("http://trademark.i-assist.jp/data/china/image_1917th/81273256.pdf","81273256")</f>
        <v>81273256</v>
      </c>
      <c r="F1075" s="9" t="s">
        <v>2975</v>
      </c>
      <c r="G1075" s="9" t="s">
        <v>2976</v>
      </c>
      <c r="H1075" s="9" t="s">
        <v>2977</v>
      </c>
      <c r="I1075" s="10">
        <v>45574</v>
      </c>
    </row>
    <row r="1076" spans="1:9" x14ac:dyDescent="0.15">
      <c r="A1076" s="9">
        <v>1075</v>
      </c>
      <c r="B1076" s="9" t="s">
        <v>9</v>
      </c>
      <c r="C1076" s="9">
        <v>1917</v>
      </c>
      <c r="D1076" s="10">
        <v>45653</v>
      </c>
      <c r="E1076" s="9" t="str">
        <f>+HYPERLINK("http://trademark.i-assist.jp/data/china/image_1917th/81273852.pdf","81273852")</f>
        <v>81273852</v>
      </c>
      <c r="F1076" s="9" t="s">
        <v>2978</v>
      </c>
      <c r="G1076" s="9" t="s">
        <v>2979</v>
      </c>
      <c r="H1076" s="9" t="s">
        <v>2980</v>
      </c>
      <c r="I1076" s="10">
        <v>45574</v>
      </c>
    </row>
    <row r="1077" spans="1:9" x14ac:dyDescent="0.15">
      <c r="A1077" s="9">
        <v>1076</v>
      </c>
      <c r="B1077" s="9" t="s">
        <v>9</v>
      </c>
      <c r="C1077" s="9">
        <v>1917</v>
      </c>
      <c r="D1077" s="10">
        <v>45653</v>
      </c>
      <c r="E1077" s="9" t="str">
        <f>+HYPERLINK("http://trademark.i-assist.jp/data/china/image_1917th/81273984.pdf","81273984")</f>
        <v>81273984</v>
      </c>
      <c r="F1077" s="12" t="s">
        <v>12</v>
      </c>
      <c r="G1077" s="12" t="s">
        <v>2981</v>
      </c>
      <c r="H1077" s="9" t="s">
        <v>2982</v>
      </c>
      <c r="I1077" s="10">
        <v>45574</v>
      </c>
    </row>
    <row r="1078" spans="1:9" x14ac:dyDescent="0.15">
      <c r="A1078" s="9">
        <v>1077</v>
      </c>
      <c r="B1078" s="9" t="s">
        <v>9</v>
      </c>
      <c r="C1078" s="9">
        <v>1917</v>
      </c>
      <c r="D1078" s="10">
        <v>45653</v>
      </c>
      <c r="E1078" s="9" t="str">
        <f>+HYPERLINK("http://trademark.i-assist.jp/data/china/image_1917th/81274447.pdf","81274447")</f>
        <v>81274447</v>
      </c>
      <c r="F1078" s="9" t="s">
        <v>2983</v>
      </c>
      <c r="G1078" s="9" t="s">
        <v>2940</v>
      </c>
      <c r="H1078" s="12" t="s">
        <v>2984</v>
      </c>
      <c r="I1078" s="10">
        <v>45574</v>
      </c>
    </row>
    <row r="1079" spans="1:9" x14ac:dyDescent="0.15">
      <c r="A1079" s="9">
        <v>1078</v>
      </c>
      <c r="B1079" s="9" t="s">
        <v>9</v>
      </c>
      <c r="C1079" s="9">
        <v>1917</v>
      </c>
      <c r="D1079" s="10">
        <v>45653</v>
      </c>
      <c r="E1079" s="9" t="str">
        <f>+HYPERLINK("http://trademark.i-assist.jp/data/china/image_1917th/81274616.pdf","81274616")</f>
        <v>81274616</v>
      </c>
      <c r="F1079" s="9" t="s">
        <v>2985</v>
      </c>
      <c r="G1079" s="9" t="s">
        <v>2421</v>
      </c>
      <c r="H1079" s="9" t="s">
        <v>2986</v>
      </c>
      <c r="I1079" s="10">
        <v>45574</v>
      </c>
    </row>
    <row r="1080" spans="1:9" x14ac:dyDescent="0.15">
      <c r="A1080" s="9">
        <v>1079</v>
      </c>
      <c r="B1080" s="9" t="s">
        <v>9</v>
      </c>
      <c r="C1080" s="9">
        <v>1917</v>
      </c>
      <c r="D1080" s="10">
        <v>45653</v>
      </c>
      <c r="E1080" s="9" t="str">
        <f>+HYPERLINK("http://trademark.i-assist.jp/data/china/image_1917th/81274708.pdf","81274708")</f>
        <v>81274708</v>
      </c>
      <c r="F1080" s="9" t="s">
        <v>2987</v>
      </c>
      <c r="G1080" s="9" t="s">
        <v>2819</v>
      </c>
      <c r="H1080" s="9" t="s">
        <v>2988</v>
      </c>
      <c r="I1080" s="10">
        <v>45574</v>
      </c>
    </row>
    <row r="1081" spans="1:9" x14ac:dyDescent="0.15">
      <c r="A1081" s="9">
        <v>1080</v>
      </c>
      <c r="B1081" s="9" t="s">
        <v>9</v>
      </c>
      <c r="C1081" s="9">
        <v>1917</v>
      </c>
      <c r="D1081" s="10">
        <v>45653</v>
      </c>
      <c r="E1081" s="9" t="str">
        <f>+HYPERLINK("http://trademark.i-assist.jp/data/china/image_1917th/81274852.pdf","81274852")</f>
        <v>81274852</v>
      </c>
      <c r="F1081" s="9" t="s">
        <v>2989</v>
      </c>
      <c r="G1081" s="9" t="s">
        <v>2990</v>
      </c>
      <c r="H1081" s="9" t="s">
        <v>2991</v>
      </c>
      <c r="I1081" s="10">
        <v>45574</v>
      </c>
    </row>
    <row r="1082" spans="1:9" x14ac:dyDescent="0.15">
      <c r="A1082" s="9">
        <v>1081</v>
      </c>
      <c r="B1082" s="9" t="s">
        <v>9</v>
      </c>
      <c r="C1082" s="9">
        <v>1917</v>
      </c>
      <c r="D1082" s="10">
        <v>45653</v>
      </c>
      <c r="E1082" s="9" t="str">
        <f>+HYPERLINK("http://trademark.i-assist.jp/data/china/image_1917th/81275086.pdf","81275086")</f>
        <v>81275086</v>
      </c>
      <c r="F1082" s="12" t="s">
        <v>12</v>
      </c>
      <c r="G1082" s="9" t="s">
        <v>2992</v>
      </c>
      <c r="H1082" s="9" t="s">
        <v>2993</v>
      </c>
      <c r="I1082" s="10">
        <v>45574</v>
      </c>
    </row>
    <row r="1083" spans="1:9" x14ac:dyDescent="0.15">
      <c r="A1083" s="9">
        <v>1082</v>
      </c>
      <c r="B1083" s="9" t="s">
        <v>9</v>
      </c>
      <c r="C1083" s="9">
        <v>1917</v>
      </c>
      <c r="D1083" s="10">
        <v>45653</v>
      </c>
      <c r="E1083" s="9" t="str">
        <f>+HYPERLINK("http://trademark.i-assist.jp/data/china/image_1917th/81275422.pdf","81275422")</f>
        <v>81275422</v>
      </c>
      <c r="F1083" s="12" t="s">
        <v>2994</v>
      </c>
      <c r="G1083" s="9" t="s">
        <v>2995</v>
      </c>
      <c r="H1083" s="9" t="s">
        <v>2996</v>
      </c>
      <c r="I1083" s="10">
        <v>45574</v>
      </c>
    </row>
    <row r="1084" spans="1:9" x14ac:dyDescent="0.15">
      <c r="A1084" s="9">
        <v>1083</v>
      </c>
      <c r="B1084" s="9" t="s">
        <v>9</v>
      </c>
      <c r="C1084" s="9">
        <v>1917</v>
      </c>
      <c r="D1084" s="10">
        <v>45653</v>
      </c>
      <c r="E1084" s="9" t="str">
        <f>+HYPERLINK("http://trademark.i-assist.jp/data/china/image_1917th/81275525.pdf","81275525")</f>
        <v>81275525</v>
      </c>
      <c r="F1084" s="9" t="s">
        <v>2997</v>
      </c>
      <c r="G1084" s="9" t="s">
        <v>2998</v>
      </c>
      <c r="H1084" s="9" t="s">
        <v>2999</v>
      </c>
      <c r="I1084" s="10">
        <v>45574</v>
      </c>
    </row>
    <row r="1085" spans="1:9" x14ac:dyDescent="0.15">
      <c r="A1085" s="9">
        <v>1084</v>
      </c>
      <c r="B1085" s="9" t="s">
        <v>9</v>
      </c>
      <c r="C1085" s="9">
        <v>1917</v>
      </c>
      <c r="D1085" s="10">
        <v>45653</v>
      </c>
      <c r="E1085" s="9" t="str">
        <f>+HYPERLINK("http://trademark.i-assist.jp/data/china/image_1917th/81275700.pdf","81275700")</f>
        <v>81275700</v>
      </c>
      <c r="F1085" s="9" t="s">
        <v>3000</v>
      </c>
      <c r="G1085" s="9" t="s">
        <v>3001</v>
      </c>
      <c r="H1085" s="9" t="s">
        <v>3002</v>
      </c>
      <c r="I1085" s="10">
        <v>45574</v>
      </c>
    </row>
    <row r="1086" spans="1:9" x14ac:dyDescent="0.15">
      <c r="A1086" s="9">
        <v>1085</v>
      </c>
      <c r="B1086" s="9" t="s">
        <v>9</v>
      </c>
      <c r="C1086" s="9">
        <v>1917</v>
      </c>
      <c r="D1086" s="10">
        <v>45653</v>
      </c>
      <c r="E1086" s="9" t="str">
        <f>+HYPERLINK("http://trademark.i-assist.jp/data/china/image_1917th/81275766.pdf","81275766")</f>
        <v>81275766</v>
      </c>
      <c r="F1086" s="12" t="s">
        <v>12</v>
      </c>
      <c r="G1086" s="12" t="s">
        <v>3003</v>
      </c>
      <c r="H1086" s="9" t="s">
        <v>3004</v>
      </c>
      <c r="I1086" s="10">
        <v>45574</v>
      </c>
    </row>
    <row r="1087" spans="1:9" x14ac:dyDescent="0.15">
      <c r="A1087" s="9">
        <v>1086</v>
      </c>
      <c r="B1087" s="9" t="s">
        <v>9</v>
      </c>
      <c r="C1087" s="9">
        <v>1917</v>
      </c>
      <c r="D1087" s="10">
        <v>45653</v>
      </c>
      <c r="E1087" s="9" t="str">
        <f>+HYPERLINK("http://trademark.i-assist.jp/data/china/image_1917th/81275782.pdf","81275782")</f>
        <v>81275782</v>
      </c>
      <c r="F1087" s="9" t="s">
        <v>2763</v>
      </c>
      <c r="G1087" s="12" t="s">
        <v>2756</v>
      </c>
      <c r="H1087" s="9" t="s">
        <v>3005</v>
      </c>
      <c r="I1087" s="10">
        <v>45574</v>
      </c>
    </row>
    <row r="1088" spans="1:9" x14ac:dyDescent="0.15">
      <c r="A1088" s="9">
        <v>1087</v>
      </c>
      <c r="B1088" s="9" t="s">
        <v>9</v>
      </c>
      <c r="C1088" s="9">
        <v>1917</v>
      </c>
      <c r="D1088" s="10">
        <v>45653</v>
      </c>
      <c r="E1088" s="9" t="str">
        <f>+HYPERLINK("http://trademark.i-assist.jp/data/china/image_1917th/81276003.pdf","81276003")</f>
        <v>81276003</v>
      </c>
      <c r="F1088" s="9" t="s">
        <v>3006</v>
      </c>
      <c r="G1088" s="9" t="s">
        <v>3007</v>
      </c>
      <c r="H1088" s="9" t="s">
        <v>3008</v>
      </c>
      <c r="I1088" s="10">
        <v>45574</v>
      </c>
    </row>
    <row r="1089" spans="1:9" x14ac:dyDescent="0.15">
      <c r="A1089" s="9">
        <v>1088</v>
      </c>
      <c r="B1089" s="9" t="s">
        <v>9</v>
      </c>
      <c r="C1089" s="9">
        <v>1917</v>
      </c>
      <c r="D1089" s="10">
        <v>45653</v>
      </c>
      <c r="E1089" s="9" t="str">
        <f>+HYPERLINK("http://trademark.i-assist.jp/data/china/image_1917th/81276113.pdf","81276113")</f>
        <v>81276113</v>
      </c>
      <c r="F1089" s="9" t="s">
        <v>3009</v>
      </c>
      <c r="G1089" s="9" t="s">
        <v>3010</v>
      </c>
      <c r="H1089" s="9" t="s">
        <v>3011</v>
      </c>
      <c r="I1089" s="10">
        <v>45574</v>
      </c>
    </row>
    <row r="1090" spans="1:9" x14ac:dyDescent="0.15">
      <c r="A1090" s="9">
        <v>1089</v>
      </c>
      <c r="B1090" s="9" t="s">
        <v>9</v>
      </c>
      <c r="C1090" s="9">
        <v>1917</v>
      </c>
      <c r="D1090" s="10">
        <v>45653</v>
      </c>
      <c r="E1090" s="9" t="str">
        <f>+HYPERLINK("http://trademark.i-assist.jp/data/china/image_1917th/81276395.pdf","81276395")</f>
        <v>81276395</v>
      </c>
      <c r="F1090" s="12" t="s">
        <v>3012</v>
      </c>
      <c r="G1090" s="9" t="s">
        <v>2946</v>
      </c>
      <c r="H1090" s="9" t="s">
        <v>3013</v>
      </c>
      <c r="I1090" s="10">
        <v>45574</v>
      </c>
    </row>
    <row r="1091" spans="1:9" x14ac:dyDescent="0.15">
      <c r="A1091" s="9">
        <v>1090</v>
      </c>
      <c r="B1091" s="9" t="s">
        <v>9</v>
      </c>
      <c r="C1091" s="9">
        <v>1917</v>
      </c>
      <c r="D1091" s="10">
        <v>45653</v>
      </c>
      <c r="E1091" s="9" t="str">
        <f>+HYPERLINK("http://trademark.i-assist.jp/data/china/image_1917th/81276512.pdf","81276512")</f>
        <v>81276512</v>
      </c>
      <c r="F1091" s="9" t="s">
        <v>3014</v>
      </c>
      <c r="G1091" s="9" t="s">
        <v>2775</v>
      </c>
      <c r="H1091" s="9" t="s">
        <v>3015</v>
      </c>
      <c r="I1091" s="10">
        <v>45574</v>
      </c>
    </row>
    <row r="1092" spans="1:9" x14ac:dyDescent="0.15">
      <c r="A1092" s="9">
        <v>1091</v>
      </c>
      <c r="B1092" s="9" t="s">
        <v>9</v>
      </c>
      <c r="C1092" s="9">
        <v>1917</v>
      </c>
      <c r="D1092" s="10">
        <v>45653</v>
      </c>
      <c r="E1092" s="9" t="str">
        <f>+HYPERLINK("http://trademark.i-assist.jp/data/china/image_1917th/81276827.pdf","81276827")</f>
        <v>81276827</v>
      </c>
      <c r="F1092" s="12" t="s">
        <v>12</v>
      </c>
      <c r="G1092" s="9" t="s">
        <v>3016</v>
      </c>
      <c r="H1092" s="9" t="s">
        <v>3017</v>
      </c>
      <c r="I1092" s="10">
        <v>45574</v>
      </c>
    </row>
    <row r="1093" spans="1:9" x14ac:dyDescent="0.15">
      <c r="A1093" s="9">
        <v>1092</v>
      </c>
      <c r="B1093" s="9" t="s">
        <v>9</v>
      </c>
      <c r="C1093" s="9">
        <v>1917</v>
      </c>
      <c r="D1093" s="10">
        <v>45653</v>
      </c>
      <c r="E1093" s="9" t="str">
        <f>+HYPERLINK("http://trademark.i-assist.jp/data/china/image_1917th/81277243.pdf","81277243")</f>
        <v>81277243</v>
      </c>
      <c r="F1093" s="9" t="s">
        <v>3018</v>
      </c>
      <c r="G1093" s="12" t="s">
        <v>2904</v>
      </c>
      <c r="H1093" s="9" t="s">
        <v>3019</v>
      </c>
      <c r="I1093" s="10">
        <v>45574</v>
      </c>
    </row>
    <row r="1094" spans="1:9" x14ac:dyDescent="0.15">
      <c r="A1094" s="9">
        <v>1093</v>
      </c>
      <c r="B1094" s="9" t="s">
        <v>9</v>
      </c>
      <c r="C1094" s="9">
        <v>1917</v>
      </c>
      <c r="D1094" s="10">
        <v>45653</v>
      </c>
      <c r="E1094" s="9" t="str">
        <f>+HYPERLINK("http://trademark.i-assist.jp/data/china/image_1917th/81277288.pdf","81277288")</f>
        <v>81277288</v>
      </c>
      <c r="F1094" s="9" t="s">
        <v>3020</v>
      </c>
      <c r="G1094" s="12" t="s">
        <v>2904</v>
      </c>
      <c r="H1094" s="9" t="s">
        <v>3021</v>
      </c>
      <c r="I1094" s="10">
        <v>45574</v>
      </c>
    </row>
    <row r="1095" spans="1:9" x14ac:dyDescent="0.15">
      <c r="A1095" s="9">
        <v>1094</v>
      </c>
      <c r="B1095" s="9" t="s">
        <v>9</v>
      </c>
      <c r="C1095" s="9">
        <v>1917</v>
      </c>
      <c r="D1095" s="10">
        <v>45653</v>
      </c>
      <c r="E1095" s="9" t="str">
        <f>+HYPERLINK("http://trademark.i-assist.jp/data/china/image_1917th/81277470.pdf","81277470")</f>
        <v>81277470</v>
      </c>
      <c r="F1095" s="9" t="s">
        <v>3022</v>
      </c>
      <c r="G1095" s="12" t="s">
        <v>3023</v>
      </c>
      <c r="H1095" s="9" t="s">
        <v>3024</v>
      </c>
      <c r="I1095" s="10">
        <v>45574</v>
      </c>
    </row>
    <row r="1096" spans="1:9" x14ac:dyDescent="0.15">
      <c r="A1096" s="9">
        <v>1095</v>
      </c>
      <c r="B1096" s="9" t="s">
        <v>9</v>
      </c>
      <c r="C1096" s="9">
        <v>1917</v>
      </c>
      <c r="D1096" s="10">
        <v>45653</v>
      </c>
      <c r="E1096" s="9" t="str">
        <f>+HYPERLINK("http://trademark.i-assist.jp/data/china/image_1917th/81277549.pdf","81277549")</f>
        <v>81277549</v>
      </c>
      <c r="F1096" s="9" t="s">
        <v>2737</v>
      </c>
      <c r="G1096" s="9" t="s">
        <v>2738</v>
      </c>
      <c r="H1096" s="12" t="s">
        <v>3025</v>
      </c>
      <c r="I1096" s="10">
        <v>45574</v>
      </c>
    </row>
    <row r="1097" spans="1:9" x14ac:dyDescent="0.15">
      <c r="A1097" s="9">
        <v>1096</v>
      </c>
      <c r="B1097" s="9" t="s">
        <v>9</v>
      </c>
      <c r="C1097" s="9">
        <v>1917</v>
      </c>
      <c r="D1097" s="10">
        <v>45653</v>
      </c>
      <c r="E1097" s="9" t="str">
        <f>+HYPERLINK("http://trademark.i-assist.jp/data/china/image_1917th/81278601.pdf","81278601")</f>
        <v>81278601</v>
      </c>
      <c r="F1097" s="9" t="s">
        <v>3026</v>
      </c>
      <c r="G1097" s="9" t="s">
        <v>3027</v>
      </c>
      <c r="H1097" s="9" t="s">
        <v>3028</v>
      </c>
      <c r="I1097" s="10">
        <v>45574</v>
      </c>
    </row>
    <row r="1098" spans="1:9" x14ac:dyDescent="0.15">
      <c r="A1098" s="9">
        <v>1097</v>
      </c>
      <c r="B1098" s="9" t="s">
        <v>9</v>
      </c>
      <c r="C1098" s="9">
        <v>1917</v>
      </c>
      <c r="D1098" s="10">
        <v>45653</v>
      </c>
      <c r="E1098" s="9" t="str">
        <f>+HYPERLINK("http://trademark.i-assist.jp/data/china/image_1917th/81279263.pdf","81279263")</f>
        <v>81279263</v>
      </c>
      <c r="F1098" s="9" t="s">
        <v>3029</v>
      </c>
      <c r="G1098" s="9" t="s">
        <v>3030</v>
      </c>
      <c r="H1098" s="12" t="s">
        <v>3031</v>
      </c>
      <c r="I1098" s="10">
        <v>45574</v>
      </c>
    </row>
    <row r="1099" spans="1:9" x14ac:dyDescent="0.15">
      <c r="A1099" s="9">
        <v>1098</v>
      </c>
      <c r="B1099" s="9" t="s">
        <v>9</v>
      </c>
      <c r="C1099" s="9">
        <v>1917</v>
      </c>
      <c r="D1099" s="10">
        <v>45653</v>
      </c>
      <c r="E1099" s="9" t="str">
        <f>+HYPERLINK("http://trademark.i-assist.jp/data/china/image_1917th/81279378.pdf","81279378")</f>
        <v>81279378</v>
      </c>
      <c r="F1099" s="9" t="s">
        <v>3032</v>
      </c>
      <c r="G1099" s="9" t="s">
        <v>3033</v>
      </c>
      <c r="H1099" s="9" t="s">
        <v>3034</v>
      </c>
      <c r="I1099" s="10">
        <v>45574</v>
      </c>
    </row>
    <row r="1100" spans="1:9" x14ac:dyDescent="0.15">
      <c r="A1100" s="9">
        <v>1099</v>
      </c>
      <c r="B1100" s="9" t="s">
        <v>9</v>
      </c>
      <c r="C1100" s="9">
        <v>1917</v>
      </c>
      <c r="D1100" s="10">
        <v>45653</v>
      </c>
      <c r="E1100" s="9" t="str">
        <f>+HYPERLINK("http://trademark.i-assist.jp/data/china/image_1917th/81280187.pdf","81280187")</f>
        <v>81280187</v>
      </c>
      <c r="F1100" s="9" t="s">
        <v>3035</v>
      </c>
      <c r="G1100" s="9" t="s">
        <v>2976</v>
      </c>
      <c r="H1100" s="9" t="s">
        <v>3036</v>
      </c>
      <c r="I1100" s="10">
        <v>45574</v>
      </c>
    </row>
    <row r="1101" spans="1:9" x14ac:dyDescent="0.15">
      <c r="A1101" s="9">
        <v>1100</v>
      </c>
      <c r="B1101" s="9" t="s">
        <v>9</v>
      </c>
      <c r="C1101" s="9">
        <v>1917</v>
      </c>
      <c r="D1101" s="10">
        <v>45653</v>
      </c>
      <c r="E1101" s="9" t="str">
        <f>+HYPERLINK("http://trademark.i-assist.jp/data/china/image_1917th/81280266.pdf","81280266")</f>
        <v>81280266</v>
      </c>
      <c r="F1101" s="9" t="s">
        <v>3037</v>
      </c>
      <c r="G1101" s="9" t="s">
        <v>3038</v>
      </c>
      <c r="H1101" s="12" t="s">
        <v>3039</v>
      </c>
      <c r="I1101" s="10">
        <v>45574</v>
      </c>
    </row>
    <row r="1102" spans="1:9" x14ac:dyDescent="0.15">
      <c r="A1102" s="9">
        <v>1101</v>
      </c>
      <c r="B1102" s="9" t="s">
        <v>9</v>
      </c>
      <c r="C1102" s="9">
        <v>1917</v>
      </c>
      <c r="D1102" s="10">
        <v>45653</v>
      </c>
      <c r="E1102" s="9" t="str">
        <f>+HYPERLINK("http://trademark.i-assist.jp/data/china/image_1917th/81280821.pdf","81280821")</f>
        <v>81280821</v>
      </c>
      <c r="F1102" s="9" t="s">
        <v>3040</v>
      </c>
      <c r="G1102" s="12" t="s">
        <v>3041</v>
      </c>
      <c r="H1102" s="9" t="s">
        <v>3042</v>
      </c>
      <c r="I1102" s="10">
        <v>45574</v>
      </c>
    </row>
    <row r="1103" spans="1:9" x14ac:dyDescent="0.15">
      <c r="A1103" s="9">
        <v>1102</v>
      </c>
      <c r="B1103" s="9" t="s">
        <v>9</v>
      </c>
      <c r="C1103" s="9">
        <v>1917</v>
      </c>
      <c r="D1103" s="10">
        <v>45653</v>
      </c>
      <c r="E1103" s="9" t="str">
        <f>+HYPERLINK("http://trademark.i-assist.jp/data/china/image_1917th/81281724.pdf","81281724")</f>
        <v>81281724</v>
      </c>
      <c r="F1103" s="9" t="s">
        <v>3043</v>
      </c>
      <c r="G1103" s="12" t="s">
        <v>3044</v>
      </c>
      <c r="H1103" s="9" t="s">
        <v>3045</v>
      </c>
      <c r="I1103" s="10">
        <v>45574</v>
      </c>
    </row>
    <row r="1104" spans="1:9" x14ac:dyDescent="0.15">
      <c r="A1104" s="9">
        <v>1103</v>
      </c>
      <c r="B1104" s="9" t="s">
        <v>9</v>
      </c>
      <c r="C1104" s="9">
        <v>1917</v>
      </c>
      <c r="D1104" s="10">
        <v>45653</v>
      </c>
      <c r="E1104" s="9" t="str">
        <f>+HYPERLINK("http://trademark.i-assist.jp/data/china/image_1917th/81281811.pdf","81281811")</f>
        <v>81281811</v>
      </c>
      <c r="F1104" s="12" t="s">
        <v>12</v>
      </c>
      <c r="G1104" s="9" t="s">
        <v>3046</v>
      </c>
      <c r="H1104" s="9" t="s">
        <v>3047</v>
      </c>
      <c r="I1104" s="10">
        <v>45574</v>
      </c>
    </row>
    <row r="1105" spans="1:9" x14ac:dyDescent="0.15">
      <c r="A1105" s="9">
        <v>1104</v>
      </c>
      <c r="B1105" s="9" t="s">
        <v>9</v>
      </c>
      <c r="C1105" s="9">
        <v>1917</v>
      </c>
      <c r="D1105" s="10">
        <v>45653</v>
      </c>
      <c r="E1105" s="9" t="str">
        <f>+HYPERLINK("http://trademark.i-assist.jp/data/china/image_1917th/81281903.pdf","81281903")</f>
        <v>81281903</v>
      </c>
      <c r="F1105" s="9" t="s">
        <v>3048</v>
      </c>
      <c r="G1105" s="12" t="s">
        <v>2846</v>
      </c>
      <c r="H1105" s="9" t="s">
        <v>3049</v>
      </c>
      <c r="I1105" s="10">
        <v>45574</v>
      </c>
    </row>
    <row r="1106" spans="1:9" x14ac:dyDescent="0.15">
      <c r="A1106" s="9">
        <v>1105</v>
      </c>
      <c r="B1106" s="9" t="s">
        <v>9</v>
      </c>
      <c r="C1106" s="9">
        <v>1917</v>
      </c>
      <c r="D1106" s="10">
        <v>45653</v>
      </c>
      <c r="E1106" s="9" t="str">
        <f>+HYPERLINK("http://trademark.i-assist.jp/data/china/image_1917th/81281988.pdf","81281988")</f>
        <v>81281988</v>
      </c>
      <c r="F1106" s="12" t="s">
        <v>3050</v>
      </c>
      <c r="G1106" s="9" t="s">
        <v>3051</v>
      </c>
      <c r="H1106" s="12" t="s">
        <v>3052</v>
      </c>
      <c r="I1106" s="10">
        <v>45574</v>
      </c>
    </row>
    <row r="1107" spans="1:9" x14ac:dyDescent="0.15">
      <c r="A1107" s="9">
        <v>1106</v>
      </c>
      <c r="B1107" s="9" t="s">
        <v>9</v>
      </c>
      <c r="C1107" s="9">
        <v>1917</v>
      </c>
      <c r="D1107" s="10">
        <v>45653</v>
      </c>
      <c r="E1107" s="9" t="str">
        <f>+HYPERLINK("http://trademark.i-assist.jp/data/china/image_1917th/81282030.pdf","81282030")</f>
        <v>81282030</v>
      </c>
      <c r="F1107" s="9" t="s">
        <v>3053</v>
      </c>
      <c r="G1107" s="9" t="s">
        <v>2761</v>
      </c>
      <c r="H1107" s="9" t="s">
        <v>3054</v>
      </c>
      <c r="I1107" s="10">
        <v>45574</v>
      </c>
    </row>
    <row r="1108" spans="1:9" x14ac:dyDescent="0.15">
      <c r="A1108" s="9">
        <v>1107</v>
      </c>
      <c r="B1108" s="9" t="s">
        <v>9</v>
      </c>
      <c r="C1108" s="9">
        <v>1917</v>
      </c>
      <c r="D1108" s="10">
        <v>45653</v>
      </c>
      <c r="E1108" s="9" t="str">
        <f>+HYPERLINK("http://trademark.i-assist.jp/data/china/image_1917th/81282033.pdf","81282033")</f>
        <v>81282033</v>
      </c>
      <c r="F1108" s="9" t="s">
        <v>3055</v>
      </c>
      <c r="G1108" s="9" t="s">
        <v>3056</v>
      </c>
      <c r="H1108" s="9" t="s">
        <v>3057</v>
      </c>
      <c r="I1108" s="10">
        <v>45574</v>
      </c>
    </row>
    <row r="1109" spans="1:9" x14ac:dyDescent="0.15">
      <c r="A1109" s="9">
        <v>1108</v>
      </c>
      <c r="B1109" s="9" t="s">
        <v>9</v>
      </c>
      <c r="C1109" s="9">
        <v>1917</v>
      </c>
      <c r="D1109" s="10">
        <v>45653</v>
      </c>
      <c r="E1109" s="9" t="str">
        <f>+HYPERLINK("http://trademark.i-assist.jp/data/china/image_1917th/81282368.pdf","81282368")</f>
        <v>81282368</v>
      </c>
      <c r="F1109" s="9" t="s">
        <v>3058</v>
      </c>
      <c r="G1109" s="9" t="s">
        <v>3059</v>
      </c>
      <c r="H1109" s="12" t="s">
        <v>3060</v>
      </c>
      <c r="I1109" s="10">
        <v>45574</v>
      </c>
    </row>
    <row r="1110" spans="1:9" x14ac:dyDescent="0.15">
      <c r="A1110" s="9">
        <v>1109</v>
      </c>
      <c r="B1110" s="9" t="s">
        <v>9</v>
      </c>
      <c r="C1110" s="9">
        <v>1917</v>
      </c>
      <c r="D1110" s="10">
        <v>45653</v>
      </c>
      <c r="E1110" s="9" t="str">
        <f>+HYPERLINK("http://trademark.i-assist.jp/data/china/image_1917th/81282459.pdf","81282459")</f>
        <v>81282459</v>
      </c>
      <c r="F1110" s="12" t="s">
        <v>3061</v>
      </c>
      <c r="G1110" s="9" t="s">
        <v>2761</v>
      </c>
      <c r="H1110" s="9" t="s">
        <v>3062</v>
      </c>
      <c r="I1110" s="10">
        <v>45574</v>
      </c>
    </row>
    <row r="1111" spans="1:9" x14ac:dyDescent="0.15">
      <c r="A1111" s="9">
        <v>1110</v>
      </c>
      <c r="B1111" s="9" t="s">
        <v>9</v>
      </c>
      <c r="C1111" s="9">
        <v>1917</v>
      </c>
      <c r="D1111" s="10">
        <v>45653</v>
      </c>
      <c r="E1111" s="9" t="str">
        <f>+HYPERLINK("http://trademark.i-assist.jp/data/china/image_1917th/81282477.pdf","81282477")</f>
        <v>81282477</v>
      </c>
      <c r="F1111" s="12" t="s">
        <v>3063</v>
      </c>
      <c r="G1111" s="12" t="s">
        <v>3064</v>
      </c>
      <c r="H1111" s="9" t="s">
        <v>3065</v>
      </c>
      <c r="I1111" s="10">
        <v>45574</v>
      </c>
    </row>
    <row r="1112" spans="1:9" x14ac:dyDescent="0.15">
      <c r="A1112" s="9">
        <v>1111</v>
      </c>
      <c r="B1112" s="9" t="s">
        <v>9</v>
      </c>
      <c r="C1112" s="9">
        <v>1917</v>
      </c>
      <c r="D1112" s="10">
        <v>45653</v>
      </c>
      <c r="E1112" s="9" t="str">
        <f>+HYPERLINK("http://trademark.i-assist.jp/data/china/image_1917th/81282628.pdf","81282628")</f>
        <v>81282628</v>
      </c>
      <c r="F1112" s="9" t="s">
        <v>3066</v>
      </c>
      <c r="G1112" s="9" t="s">
        <v>3067</v>
      </c>
      <c r="H1112" s="9" t="s">
        <v>3068</v>
      </c>
      <c r="I1112" s="10">
        <v>45574</v>
      </c>
    </row>
    <row r="1113" spans="1:9" x14ac:dyDescent="0.15">
      <c r="A1113" s="9">
        <v>1112</v>
      </c>
      <c r="B1113" s="9" t="s">
        <v>9</v>
      </c>
      <c r="C1113" s="9">
        <v>1917</v>
      </c>
      <c r="D1113" s="10">
        <v>45653</v>
      </c>
      <c r="E1113" s="9" t="str">
        <f>+HYPERLINK("http://trademark.i-assist.jp/data/china/image_1917th/81283510.pdf","81283510")</f>
        <v>81283510</v>
      </c>
      <c r="F1113" s="9" t="s">
        <v>3069</v>
      </c>
      <c r="G1113" s="9" t="s">
        <v>3070</v>
      </c>
      <c r="H1113" s="9" t="s">
        <v>3071</v>
      </c>
      <c r="I1113" s="10">
        <v>45574</v>
      </c>
    </row>
    <row r="1114" spans="1:9" x14ac:dyDescent="0.15">
      <c r="A1114" s="9">
        <v>1113</v>
      </c>
      <c r="B1114" s="9" t="s">
        <v>9</v>
      </c>
      <c r="C1114" s="9">
        <v>1917</v>
      </c>
      <c r="D1114" s="10">
        <v>45653</v>
      </c>
      <c r="E1114" s="9" t="str">
        <f>+HYPERLINK("http://trademark.i-assist.jp/data/china/image_1917th/81283782.pdf","81283782")</f>
        <v>81283782</v>
      </c>
      <c r="F1114" s="11" t="s">
        <v>3072</v>
      </c>
      <c r="G1114" s="12" t="s">
        <v>3073</v>
      </c>
      <c r="H1114" s="12" t="s">
        <v>3074</v>
      </c>
      <c r="I1114" s="10">
        <v>45574</v>
      </c>
    </row>
    <row r="1115" spans="1:9" x14ac:dyDescent="0.15">
      <c r="A1115" s="9">
        <v>1114</v>
      </c>
      <c r="B1115" s="9" t="s">
        <v>9</v>
      </c>
      <c r="C1115" s="9">
        <v>1917</v>
      </c>
      <c r="D1115" s="10">
        <v>45653</v>
      </c>
      <c r="E1115" s="9" t="str">
        <f>+HYPERLINK("http://trademark.i-assist.jp/data/china/image_1917th/81283976.pdf","81283976")</f>
        <v>81283976</v>
      </c>
      <c r="F1115" s="9" t="s">
        <v>3075</v>
      </c>
      <c r="G1115" s="9" t="s">
        <v>3076</v>
      </c>
      <c r="H1115" s="9" t="s">
        <v>3077</v>
      </c>
      <c r="I1115" s="10">
        <v>45574</v>
      </c>
    </row>
    <row r="1116" spans="1:9" x14ac:dyDescent="0.15">
      <c r="A1116" s="9">
        <v>1115</v>
      </c>
      <c r="B1116" s="9" t="s">
        <v>9</v>
      </c>
      <c r="C1116" s="9">
        <v>1917</v>
      </c>
      <c r="D1116" s="10">
        <v>45653</v>
      </c>
      <c r="E1116" s="9" t="str">
        <f>+HYPERLINK("http://trademark.i-assist.jp/data/china/image_1917th/81284343.pdf","81284343")</f>
        <v>81284343</v>
      </c>
      <c r="F1116" s="12" t="s">
        <v>12</v>
      </c>
      <c r="G1116" s="12" t="s">
        <v>3078</v>
      </c>
      <c r="H1116" s="9" t="s">
        <v>3079</v>
      </c>
      <c r="I1116" s="10">
        <v>45574</v>
      </c>
    </row>
    <row r="1117" spans="1:9" x14ac:dyDescent="0.15">
      <c r="A1117" s="9">
        <v>1116</v>
      </c>
      <c r="B1117" s="9" t="s">
        <v>9</v>
      </c>
      <c r="C1117" s="9">
        <v>1917</v>
      </c>
      <c r="D1117" s="10">
        <v>45653</v>
      </c>
      <c r="E1117" s="9" t="str">
        <f>+HYPERLINK("http://trademark.i-assist.jp/data/china/image_1917th/81284543.pdf","81284543")</f>
        <v>81284543</v>
      </c>
      <c r="F1117" s="9" t="s">
        <v>3080</v>
      </c>
      <c r="G1117" s="9" t="s">
        <v>3081</v>
      </c>
      <c r="H1117" s="12" t="s">
        <v>3082</v>
      </c>
      <c r="I1117" s="10">
        <v>45574</v>
      </c>
    </row>
    <row r="1118" spans="1:9" x14ac:dyDescent="0.15">
      <c r="A1118" s="9">
        <v>1117</v>
      </c>
      <c r="B1118" s="9" t="s">
        <v>9</v>
      </c>
      <c r="C1118" s="9">
        <v>1917</v>
      </c>
      <c r="D1118" s="10">
        <v>45653</v>
      </c>
      <c r="E1118" s="9" t="str">
        <f>+HYPERLINK("http://trademark.i-assist.jp/data/china/image_1917th/81284868.pdf","81284868")</f>
        <v>81284868</v>
      </c>
      <c r="F1118" s="12" t="s">
        <v>3083</v>
      </c>
      <c r="G1118" s="12" t="s">
        <v>3084</v>
      </c>
      <c r="H1118" s="12" t="s">
        <v>3085</v>
      </c>
      <c r="I1118" s="10">
        <v>45575</v>
      </c>
    </row>
    <row r="1119" spans="1:9" x14ac:dyDescent="0.15">
      <c r="A1119" s="9">
        <v>1118</v>
      </c>
      <c r="B1119" s="9" t="s">
        <v>9</v>
      </c>
      <c r="C1119" s="9">
        <v>1917</v>
      </c>
      <c r="D1119" s="10">
        <v>45653</v>
      </c>
      <c r="E1119" s="9" t="str">
        <f>+HYPERLINK("http://trademark.i-assist.jp/data/china/image_1917th/81285238.pdf","81285238")</f>
        <v>81285238</v>
      </c>
      <c r="F1119" s="9" t="s">
        <v>3086</v>
      </c>
      <c r="G1119" s="9" t="s">
        <v>3087</v>
      </c>
      <c r="H1119" s="12" t="s">
        <v>3088</v>
      </c>
      <c r="I1119" s="10">
        <v>45575</v>
      </c>
    </row>
    <row r="1120" spans="1:9" x14ac:dyDescent="0.15">
      <c r="A1120" s="9">
        <v>1119</v>
      </c>
      <c r="B1120" s="9" t="s">
        <v>9</v>
      </c>
      <c r="C1120" s="9">
        <v>1917</v>
      </c>
      <c r="D1120" s="10">
        <v>45653</v>
      </c>
      <c r="E1120" s="9" t="str">
        <f>+HYPERLINK("http://trademark.i-assist.jp/data/china/image_1917th/81285553.pdf","81285553")</f>
        <v>81285553</v>
      </c>
      <c r="F1120" s="9" t="s">
        <v>3089</v>
      </c>
      <c r="G1120" s="9" t="s">
        <v>3090</v>
      </c>
      <c r="H1120" s="9" t="s">
        <v>3091</v>
      </c>
      <c r="I1120" s="10">
        <v>45575</v>
      </c>
    </row>
    <row r="1121" spans="1:9" x14ac:dyDescent="0.15">
      <c r="A1121" s="9">
        <v>1120</v>
      </c>
      <c r="B1121" s="9" t="s">
        <v>9</v>
      </c>
      <c r="C1121" s="9">
        <v>1917</v>
      </c>
      <c r="D1121" s="10">
        <v>45653</v>
      </c>
      <c r="E1121" s="9" t="str">
        <f>+HYPERLINK("http://trademark.i-assist.jp/data/china/image_1917th/81285932.pdf","81285932")</f>
        <v>81285932</v>
      </c>
      <c r="F1121" s="9" t="s">
        <v>3092</v>
      </c>
      <c r="G1121" s="12" t="s">
        <v>3093</v>
      </c>
      <c r="H1121" s="12" t="s">
        <v>3094</v>
      </c>
      <c r="I1121" s="10">
        <v>45575</v>
      </c>
    </row>
    <row r="1122" spans="1:9" x14ac:dyDescent="0.15">
      <c r="A1122" s="9">
        <v>1121</v>
      </c>
      <c r="B1122" s="9" t="s">
        <v>9</v>
      </c>
      <c r="C1122" s="9">
        <v>1917</v>
      </c>
      <c r="D1122" s="10">
        <v>45653</v>
      </c>
      <c r="E1122" s="9" t="str">
        <f>+HYPERLINK("http://trademark.i-assist.jp/data/china/image_1917th/81285996.pdf","81285996")</f>
        <v>81285996</v>
      </c>
      <c r="F1122" s="9" t="s">
        <v>3095</v>
      </c>
      <c r="G1122" s="12" t="s">
        <v>3096</v>
      </c>
      <c r="H1122" s="9" t="s">
        <v>3097</v>
      </c>
      <c r="I1122" s="10">
        <v>45575</v>
      </c>
    </row>
    <row r="1123" spans="1:9" x14ac:dyDescent="0.15">
      <c r="A1123" s="9">
        <v>1122</v>
      </c>
      <c r="B1123" s="9" t="s">
        <v>9</v>
      </c>
      <c r="C1123" s="9">
        <v>1917</v>
      </c>
      <c r="D1123" s="10">
        <v>45653</v>
      </c>
      <c r="E1123" s="9" t="str">
        <f>+HYPERLINK("http://trademark.i-assist.jp/data/china/image_1917th/81286705.pdf","81286705")</f>
        <v>81286705</v>
      </c>
      <c r="F1123" s="12" t="s">
        <v>3098</v>
      </c>
      <c r="G1123" s="9" t="s">
        <v>799</v>
      </c>
      <c r="H1123" s="9" t="s">
        <v>3099</v>
      </c>
      <c r="I1123" s="10">
        <v>45575</v>
      </c>
    </row>
    <row r="1124" spans="1:9" x14ac:dyDescent="0.15">
      <c r="A1124" s="9">
        <v>1123</v>
      </c>
      <c r="B1124" s="9" t="s">
        <v>9</v>
      </c>
      <c r="C1124" s="9">
        <v>1917</v>
      </c>
      <c r="D1124" s="10">
        <v>45653</v>
      </c>
      <c r="E1124" s="9" t="str">
        <f>+HYPERLINK("http://trademark.i-assist.jp/data/china/image_1917th/81286739.pdf","81286739")</f>
        <v>81286739</v>
      </c>
      <c r="F1124" s="9" t="s">
        <v>3100</v>
      </c>
      <c r="G1124" s="9" t="s">
        <v>3101</v>
      </c>
      <c r="H1124" s="9" t="s">
        <v>3102</v>
      </c>
      <c r="I1124" s="10">
        <v>45575</v>
      </c>
    </row>
    <row r="1125" spans="1:9" x14ac:dyDescent="0.15">
      <c r="A1125" s="9">
        <v>1124</v>
      </c>
      <c r="B1125" s="9" t="s">
        <v>9</v>
      </c>
      <c r="C1125" s="9">
        <v>1917</v>
      </c>
      <c r="D1125" s="10">
        <v>45653</v>
      </c>
      <c r="E1125" s="9" t="str">
        <f>+HYPERLINK("http://trademark.i-assist.jp/data/china/image_1917th/81286987.pdf","81286987")</f>
        <v>81286987</v>
      </c>
      <c r="F1125" s="9" t="s">
        <v>3103</v>
      </c>
      <c r="G1125" s="12" t="s">
        <v>3104</v>
      </c>
      <c r="H1125" s="9" t="s">
        <v>3105</v>
      </c>
      <c r="I1125" s="10">
        <v>45575</v>
      </c>
    </row>
    <row r="1126" spans="1:9" x14ac:dyDescent="0.15">
      <c r="A1126" s="9">
        <v>1125</v>
      </c>
      <c r="B1126" s="9" t="s">
        <v>9</v>
      </c>
      <c r="C1126" s="9">
        <v>1917</v>
      </c>
      <c r="D1126" s="10">
        <v>45653</v>
      </c>
      <c r="E1126" s="9" t="str">
        <f>+HYPERLINK("http://trademark.i-assist.jp/data/china/image_1917th/81287156.pdf","81287156")</f>
        <v>81287156</v>
      </c>
      <c r="F1126" s="9" t="s">
        <v>3106</v>
      </c>
      <c r="G1126" s="9" t="s">
        <v>3107</v>
      </c>
      <c r="H1126" s="12" t="s">
        <v>3108</v>
      </c>
      <c r="I1126" s="10">
        <v>45575</v>
      </c>
    </row>
    <row r="1127" spans="1:9" x14ac:dyDescent="0.15">
      <c r="A1127" s="9">
        <v>1126</v>
      </c>
      <c r="B1127" s="9" t="s">
        <v>9</v>
      </c>
      <c r="C1127" s="9">
        <v>1917</v>
      </c>
      <c r="D1127" s="10">
        <v>45653</v>
      </c>
      <c r="E1127" s="9" t="str">
        <f>+HYPERLINK("http://trademark.i-assist.jp/data/china/image_1917th/81287349.pdf","81287349")</f>
        <v>81287349</v>
      </c>
      <c r="F1127" s="12" t="s">
        <v>12</v>
      </c>
      <c r="G1127" s="9" t="s">
        <v>3109</v>
      </c>
      <c r="H1127" s="12" t="s">
        <v>3110</v>
      </c>
      <c r="I1127" s="10">
        <v>45575</v>
      </c>
    </row>
    <row r="1128" spans="1:9" x14ac:dyDescent="0.15">
      <c r="A1128" s="9">
        <v>1127</v>
      </c>
      <c r="B1128" s="9" t="s">
        <v>9</v>
      </c>
      <c r="C1128" s="9">
        <v>1917</v>
      </c>
      <c r="D1128" s="10">
        <v>45653</v>
      </c>
      <c r="E1128" s="9" t="str">
        <f>+HYPERLINK("http://trademark.i-assist.jp/data/china/image_1917th/81287654.pdf","81287654")</f>
        <v>81287654</v>
      </c>
      <c r="F1128" s="9" t="s">
        <v>3111</v>
      </c>
      <c r="G1128" s="9" t="s">
        <v>3112</v>
      </c>
      <c r="H1128" s="9" t="s">
        <v>3113</v>
      </c>
      <c r="I1128" s="10">
        <v>45575</v>
      </c>
    </row>
    <row r="1129" spans="1:9" x14ac:dyDescent="0.15">
      <c r="A1129" s="9">
        <v>1128</v>
      </c>
      <c r="B1129" s="9" t="s">
        <v>9</v>
      </c>
      <c r="C1129" s="9">
        <v>1917</v>
      </c>
      <c r="D1129" s="10">
        <v>45653</v>
      </c>
      <c r="E1129" s="9" t="str">
        <f>+HYPERLINK("http://trademark.i-assist.jp/data/china/image_1917th/81287897.pdf","81287897")</f>
        <v>81287897</v>
      </c>
      <c r="F1129" s="12" t="s">
        <v>12</v>
      </c>
      <c r="G1129" s="9" t="s">
        <v>3114</v>
      </c>
      <c r="H1129" s="9" t="s">
        <v>3115</v>
      </c>
      <c r="I1129" s="10">
        <v>45575</v>
      </c>
    </row>
    <row r="1130" spans="1:9" x14ac:dyDescent="0.15">
      <c r="A1130" s="9">
        <v>1129</v>
      </c>
      <c r="B1130" s="9" t="s">
        <v>9</v>
      </c>
      <c r="C1130" s="9">
        <v>1917</v>
      </c>
      <c r="D1130" s="10">
        <v>45653</v>
      </c>
      <c r="E1130" s="9" t="str">
        <f>+HYPERLINK("http://trademark.i-assist.jp/data/china/image_1917th/81288084.pdf","81288084")</f>
        <v>81288084</v>
      </c>
      <c r="F1130" s="9" t="s">
        <v>3116</v>
      </c>
      <c r="G1130" s="9" t="s">
        <v>3117</v>
      </c>
      <c r="H1130" s="9" t="s">
        <v>3118</v>
      </c>
      <c r="I1130" s="10">
        <v>45575</v>
      </c>
    </row>
    <row r="1131" spans="1:9" x14ac:dyDescent="0.15">
      <c r="A1131" s="9">
        <v>1130</v>
      </c>
      <c r="B1131" s="9" t="s">
        <v>9</v>
      </c>
      <c r="C1131" s="9">
        <v>1917</v>
      </c>
      <c r="D1131" s="10">
        <v>45653</v>
      </c>
      <c r="E1131" s="9" t="str">
        <f>+HYPERLINK("http://trademark.i-assist.jp/data/china/image_1917th/81288362.pdf","81288362")</f>
        <v>81288362</v>
      </c>
      <c r="F1131" s="9" t="s">
        <v>3119</v>
      </c>
      <c r="G1131" s="9" t="s">
        <v>3120</v>
      </c>
      <c r="H1131" s="9" t="s">
        <v>3121</v>
      </c>
      <c r="I1131" s="10">
        <v>45575</v>
      </c>
    </row>
    <row r="1132" spans="1:9" x14ac:dyDescent="0.15">
      <c r="A1132" s="9">
        <v>1131</v>
      </c>
      <c r="B1132" s="9" t="s">
        <v>9</v>
      </c>
      <c r="C1132" s="9">
        <v>1917</v>
      </c>
      <c r="D1132" s="10">
        <v>45653</v>
      </c>
      <c r="E1132" s="9" t="str">
        <f>+HYPERLINK("http://trademark.i-assist.jp/data/china/image_1917th/81288755.pdf","81288755")</f>
        <v>81288755</v>
      </c>
      <c r="F1132" s="12" t="s">
        <v>3122</v>
      </c>
      <c r="G1132" s="12" t="s">
        <v>3084</v>
      </c>
      <c r="H1132" s="12" t="s">
        <v>3123</v>
      </c>
      <c r="I1132" s="10">
        <v>45575</v>
      </c>
    </row>
    <row r="1133" spans="1:9" x14ac:dyDescent="0.15">
      <c r="A1133" s="9">
        <v>1132</v>
      </c>
      <c r="B1133" s="9" t="s">
        <v>9</v>
      </c>
      <c r="C1133" s="9">
        <v>1917</v>
      </c>
      <c r="D1133" s="10">
        <v>45653</v>
      </c>
      <c r="E1133" s="9" t="str">
        <f>+HYPERLINK("http://trademark.i-assist.jp/data/china/image_1917th/81288885.pdf","81288885")</f>
        <v>81288885</v>
      </c>
      <c r="F1133" s="12" t="s">
        <v>3124</v>
      </c>
      <c r="G1133" s="12" t="s">
        <v>909</v>
      </c>
      <c r="H1133" s="9" t="s">
        <v>3125</v>
      </c>
      <c r="I1133" s="10">
        <v>45575</v>
      </c>
    </row>
    <row r="1134" spans="1:9" x14ac:dyDescent="0.15">
      <c r="A1134" s="9">
        <v>1133</v>
      </c>
      <c r="B1134" s="9" t="s">
        <v>9</v>
      </c>
      <c r="C1134" s="9">
        <v>1917</v>
      </c>
      <c r="D1134" s="10">
        <v>45653</v>
      </c>
      <c r="E1134" s="9" t="str">
        <f>+HYPERLINK("http://trademark.i-assist.jp/data/china/image_1917th/81289244.pdf","81289244")</f>
        <v>81289244</v>
      </c>
      <c r="F1134" s="9" t="s">
        <v>3126</v>
      </c>
      <c r="G1134" s="12" t="s">
        <v>3127</v>
      </c>
      <c r="H1134" s="9" t="s">
        <v>3128</v>
      </c>
      <c r="I1134" s="10">
        <v>45575</v>
      </c>
    </row>
    <row r="1135" spans="1:9" x14ac:dyDescent="0.15">
      <c r="A1135" s="9">
        <v>1134</v>
      </c>
      <c r="B1135" s="9" t="s">
        <v>9</v>
      </c>
      <c r="C1135" s="9">
        <v>1917</v>
      </c>
      <c r="D1135" s="10">
        <v>45653</v>
      </c>
      <c r="E1135" s="9" t="str">
        <f>+HYPERLINK("http://trademark.i-assist.jp/data/china/image_1917th/81289287.pdf","81289287")</f>
        <v>81289287</v>
      </c>
      <c r="F1135" s="9" t="s">
        <v>3129</v>
      </c>
      <c r="G1135" s="12" t="s">
        <v>3130</v>
      </c>
      <c r="H1135" s="9" t="s">
        <v>3131</v>
      </c>
      <c r="I1135" s="10">
        <v>45575</v>
      </c>
    </row>
    <row r="1136" spans="1:9" x14ac:dyDescent="0.15">
      <c r="A1136" s="9">
        <v>1135</v>
      </c>
      <c r="B1136" s="9" t="s">
        <v>9</v>
      </c>
      <c r="C1136" s="9">
        <v>1917</v>
      </c>
      <c r="D1136" s="10">
        <v>45653</v>
      </c>
      <c r="E1136" s="9" t="str">
        <f>+HYPERLINK("http://trademark.i-assist.jp/data/china/image_1917th/81289405.pdf","81289405")</f>
        <v>81289405</v>
      </c>
      <c r="F1136" s="9" t="s">
        <v>3132</v>
      </c>
      <c r="G1136" s="12" t="s">
        <v>3133</v>
      </c>
      <c r="H1136" s="9" t="s">
        <v>3134</v>
      </c>
      <c r="I1136" s="10">
        <v>45575</v>
      </c>
    </row>
    <row r="1137" spans="1:9" x14ac:dyDescent="0.15">
      <c r="A1137" s="9">
        <v>1136</v>
      </c>
      <c r="B1137" s="9" t="s">
        <v>9</v>
      </c>
      <c r="C1137" s="9">
        <v>1917</v>
      </c>
      <c r="D1137" s="10">
        <v>45653</v>
      </c>
      <c r="E1137" s="9" t="str">
        <f>+HYPERLINK("http://trademark.i-assist.jp/data/china/image_1917th/81289689.pdf","81289689")</f>
        <v>81289689</v>
      </c>
      <c r="F1137" s="9" t="s">
        <v>3135</v>
      </c>
      <c r="G1137" s="9" t="s">
        <v>3136</v>
      </c>
      <c r="H1137" s="9" t="s">
        <v>3137</v>
      </c>
      <c r="I1137" s="10">
        <v>45575</v>
      </c>
    </row>
    <row r="1138" spans="1:9" x14ac:dyDescent="0.15">
      <c r="A1138" s="9">
        <v>1137</v>
      </c>
      <c r="B1138" s="9" t="s">
        <v>9</v>
      </c>
      <c r="C1138" s="9">
        <v>1917</v>
      </c>
      <c r="D1138" s="10">
        <v>45653</v>
      </c>
      <c r="E1138" s="9" t="str">
        <f>+HYPERLINK("http://trademark.i-assist.jp/data/china/image_1917th/81290557.pdf","81290557")</f>
        <v>81290557</v>
      </c>
      <c r="F1138" s="9" t="s">
        <v>3138</v>
      </c>
      <c r="G1138" s="12" t="s">
        <v>3084</v>
      </c>
      <c r="H1138" s="9" t="s">
        <v>3139</v>
      </c>
      <c r="I1138" s="10">
        <v>45575</v>
      </c>
    </row>
    <row r="1139" spans="1:9" x14ac:dyDescent="0.15">
      <c r="A1139" s="9">
        <v>1138</v>
      </c>
      <c r="B1139" s="9" t="s">
        <v>9</v>
      </c>
      <c r="C1139" s="9">
        <v>1917</v>
      </c>
      <c r="D1139" s="10">
        <v>45653</v>
      </c>
      <c r="E1139" s="9" t="str">
        <f>+HYPERLINK("http://trademark.i-assist.jp/data/china/image_1917th/81292041.pdf","81292041")</f>
        <v>81292041</v>
      </c>
      <c r="F1139" s="9" t="s">
        <v>3140</v>
      </c>
      <c r="G1139" s="9" t="s">
        <v>3141</v>
      </c>
      <c r="H1139" s="12" t="s">
        <v>3142</v>
      </c>
      <c r="I1139" s="10">
        <v>45575</v>
      </c>
    </row>
    <row r="1140" spans="1:9" x14ac:dyDescent="0.15">
      <c r="A1140" s="9">
        <v>1139</v>
      </c>
      <c r="B1140" s="9" t="s">
        <v>9</v>
      </c>
      <c r="C1140" s="9">
        <v>1917</v>
      </c>
      <c r="D1140" s="10">
        <v>45653</v>
      </c>
      <c r="E1140" s="9" t="str">
        <f>+HYPERLINK("http://trademark.i-assist.jp/data/china/image_1917th/81292155.pdf","81292155")</f>
        <v>81292155</v>
      </c>
      <c r="F1140" s="9" t="s">
        <v>3143</v>
      </c>
      <c r="G1140" s="9" t="s">
        <v>3090</v>
      </c>
      <c r="H1140" s="9" t="s">
        <v>3144</v>
      </c>
      <c r="I1140" s="10">
        <v>45575</v>
      </c>
    </row>
    <row r="1141" spans="1:9" x14ac:dyDescent="0.15">
      <c r="A1141" s="9">
        <v>1140</v>
      </c>
      <c r="B1141" s="9" t="s">
        <v>9</v>
      </c>
      <c r="C1141" s="9">
        <v>1917</v>
      </c>
      <c r="D1141" s="10">
        <v>45653</v>
      </c>
      <c r="E1141" s="9" t="str">
        <f>+HYPERLINK("http://trademark.i-assist.jp/data/china/image_1917th/81292310.pdf","81292310")</f>
        <v>81292310</v>
      </c>
      <c r="F1141" s="12" t="s">
        <v>12</v>
      </c>
      <c r="G1141" s="9" t="s">
        <v>3145</v>
      </c>
      <c r="H1141" s="9" t="s">
        <v>3146</v>
      </c>
      <c r="I1141" s="10">
        <v>45575</v>
      </c>
    </row>
    <row r="1142" spans="1:9" x14ac:dyDescent="0.15">
      <c r="A1142" s="9">
        <v>1141</v>
      </c>
      <c r="B1142" s="9" t="s">
        <v>9</v>
      </c>
      <c r="C1142" s="9">
        <v>1917</v>
      </c>
      <c r="D1142" s="10">
        <v>45653</v>
      </c>
      <c r="E1142" s="9" t="str">
        <f>+HYPERLINK("http://trademark.i-assist.jp/data/china/image_1917th/81292397.pdf","81292397")</f>
        <v>81292397</v>
      </c>
      <c r="F1142" s="9" t="s">
        <v>3147</v>
      </c>
      <c r="G1142" s="9" t="s">
        <v>3148</v>
      </c>
      <c r="H1142" s="9" t="s">
        <v>3149</v>
      </c>
      <c r="I1142" s="10">
        <v>45575</v>
      </c>
    </row>
    <row r="1143" spans="1:9" x14ac:dyDescent="0.15">
      <c r="A1143" s="9">
        <v>1142</v>
      </c>
      <c r="B1143" s="9" t="s">
        <v>9</v>
      </c>
      <c r="C1143" s="9">
        <v>1917</v>
      </c>
      <c r="D1143" s="10">
        <v>45653</v>
      </c>
      <c r="E1143" s="9" t="str">
        <f>+HYPERLINK("http://trademark.i-assist.jp/data/china/image_1917th/81292746.pdf","81292746")</f>
        <v>81292746</v>
      </c>
      <c r="F1143" s="9" t="s">
        <v>3150</v>
      </c>
      <c r="G1143" s="12" t="s">
        <v>3151</v>
      </c>
      <c r="H1143" s="9" t="s">
        <v>3152</v>
      </c>
      <c r="I1143" s="10">
        <v>45575</v>
      </c>
    </row>
    <row r="1144" spans="1:9" x14ac:dyDescent="0.15">
      <c r="A1144" s="9">
        <v>1143</v>
      </c>
      <c r="B1144" s="9" t="s">
        <v>9</v>
      </c>
      <c r="C1144" s="9">
        <v>1917</v>
      </c>
      <c r="D1144" s="10">
        <v>45653</v>
      </c>
      <c r="E1144" s="9" t="str">
        <f>+HYPERLINK("http://trademark.i-assist.jp/data/china/image_1917th/81292825.pdf","81292825")</f>
        <v>81292825</v>
      </c>
      <c r="F1144" s="9" t="s">
        <v>3153</v>
      </c>
      <c r="G1144" s="12" t="s">
        <v>3127</v>
      </c>
      <c r="H1144" s="9" t="s">
        <v>3154</v>
      </c>
      <c r="I1144" s="10">
        <v>45575</v>
      </c>
    </row>
    <row r="1145" spans="1:9" x14ac:dyDescent="0.15">
      <c r="A1145" s="9">
        <v>1144</v>
      </c>
      <c r="B1145" s="9" t="s">
        <v>9</v>
      </c>
      <c r="C1145" s="9">
        <v>1917</v>
      </c>
      <c r="D1145" s="10">
        <v>45653</v>
      </c>
      <c r="E1145" s="9" t="str">
        <f>+HYPERLINK("http://trademark.i-assist.jp/data/china/image_1917th/81292947.pdf","81292947")</f>
        <v>81292947</v>
      </c>
      <c r="F1145" s="12" t="s">
        <v>12</v>
      </c>
      <c r="G1145" s="12" t="s">
        <v>2595</v>
      </c>
      <c r="H1145" s="12" t="s">
        <v>3155</v>
      </c>
      <c r="I1145" s="10">
        <v>45575</v>
      </c>
    </row>
    <row r="1146" spans="1:9" x14ac:dyDescent="0.15">
      <c r="A1146" s="9">
        <v>1145</v>
      </c>
      <c r="B1146" s="9" t="s">
        <v>9</v>
      </c>
      <c r="C1146" s="9">
        <v>1917</v>
      </c>
      <c r="D1146" s="10">
        <v>45653</v>
      </c>
      <c r="E1146" s="9" t="str">
        <f>+HYPERLINK("http://trademark.i-assist.jp/data/china/image_1917th/81293282.pdf","81293282")</f>
        <v>81293282</v>
      </c>
      <c r="F1146" s="9" t="s">
        <v>3156</v>
      </c>
      <c r="G1146" s="12" t="s">
        <v>3157</v>
      </c>
      <c r="H1146" s="9" t="s">
        <v>3158</v>
      </c>
      <c r="I1146" s="10">
        <v>45575</v>
      </c>
    </row>
    <row r="1147" spans="1:9" x14ac:dyDescent="0.15">
      <c r="A1147" s="9">
        <v>1146</v>
      </c>
      <c r="B1147" s="9" t="s">
        <v>9</v>
      </c>
      <c r="C1147" s="9">
        <v>1917</v>
      </c>
      <c r="D1147" s="10">
        <v>45653</v>
      </c>
      <c r="E1147" s="9" t="str">
        <f>+HYPERLINK("http://trademark.i-assist.jp/data/china/image_1917th/81293890.pdf","81293890")</f>
        <v>81293890</v>
      </c>
      <c r="F1147" s="9" t="s">
        <v>3159</v>
      </c>
      <c r="G1147" s="9" t="s">
        <v>3160</v>
      </c>
      <c r="H1147" s="9" t="s">
        <v>3161</v>
      </c>
      <c r="I1147" s="10">
        <v>45575</v>
      </c>
    </row>
    <row r="1148" spans="1:9" x14ac:dyDescent="0.15">
      <c r="A1148" s="9">
        <v>1147</v>
      </c>
      <c r="B1148" s="9" t="s">
        <v>9</v>
      </c>
      <c r="C1148" s="9">
        <v>1917</v>
      </c>
      <c r="D1148" s="10">
        <v>45653</v>
      </c>
      <c r="E1148" s="9" t="str">
        <f>+HYPERLINK("http://trademark.i-assist.jp/data/china/image_1917th/81294708.pdf","81294708")</f>
        <v>81294708</v>
      </c>
      <c r="F1148" s="9" t="s">
        <v>3162</v>
      </c>
      <c r="G1148" s="9" t="s">
        <v>3163</v>
      </c>
      <c r="H1148" s="9" t="s">
        <v>3164</v>
      </c>
      <c r="I1148" s="10">
        <v>45575</v>
      </c>
    </row>
    <row r="1149" spans="1:9" x14ac:dyDescent="0.15">
      <c r="A1149" s="9">
        <v>1148</v>
      </c>
      <c r="B1149" s="9" t="s">
        <v>9</v>
      </c>
      <c r="C1149" s="9">
        <v>1917</v>
      </c>
      <c r="D1149" s="10">
        <v>45653</v>
      </c>
      <c r="E1149" s="9" t="str">
        <f>+HYPERLINK("http://trademark.i-assist.jp/data/china/image_1917th/81294719.pdf","81294719")</f>
        <v>81294719</v>
      </c>
      <c r="F1149" s="12" t="s">
        <v>3165</v>
      </c>
      <c r="G1149" s="12" t="s">
        <v>3166</v>
      </c>
      <c r="H1149" s="9" t="s">
        <v>3167</v>
      </c>
      <c r="I1149" s="10">
        <v>45575</v>
      </c>
    </row>
    <row r="1150" spans="1:9" x14ac:dyDescent="0.15">
      <c r="A1150" s="9">
        <v>1149</v>
      </c>
      <c r="B1150" s="9" t="s">
        <v>9</v>
      </c>
      <c r="C1150" s="9">
        <v>1917</v>
      </c>
      <c r="D1150" s="10">
        <v>45653</v>
      </c>
      <c r="E1150" s="9" t="str">
        <f>+HYPERLINK("http://trademark.i-assist.jp/data/china/image_1917th/81294762.pdf","81294762")</f>
        <v>81294762</v>
      </c>
      <c r="F1150" s="9" t="s">
        <v>3168</v>
      </c>
      <c r="G1150" s="9" t="s">
        <v>3033</v>
      </c>
      <c r="H1150" s="9" t="s">
        <v>3169</v>
      </c>
      <c r="I1150" s="10">
        <v>45575</v>
      </c>
    </row>
    <row r="1151" spans="1:9" x14ac:dyDescent="0.15">
      <c r="A1151" s="9">
        <v>1150</v>
      </c>
      <c r="B1151" s="9" t="s">
        <v>9</v>
      </c>
      <c r="C1151" s="9">
        <v>1917</v>
      </c>
      <c r="D1151" s="10">
        <v>45653</v>
      </c>
      <c r="E1151" s="9" t="str">
        <f>+HYPERLINK("http://trademark.i-assist.jp/data/china/image_1917th/81296196.pdf","81296196")</f>
        <v>81296196</v>
      </c>
      <c r="F1151" s="9" t="s">
        <v>3132</v>
      </c>
      <c r="G1151" s="12" t="s">
        <v>3133</v>
      </c>
      <c r="H1151" s="12" t="s">
        <v>3170</v>
      </c>
      <c r="I1151" s="10">
        <v>45575</v>
      </c>
    </row>
    <row r="1152" spans="1:9" x14ac:dyDescent="0.15">
      <c r="A1152" s="9">
        <v>1151</v>
      </c>
      <c r="B1152" s="9" t="s">
        <v>9</v>
      </c>
      <c r="C1152" s="9">
        <v>1917</v>
      </c>
      <c r="D1152" s="10">
        <v>45653</v>
      </c>
      <c r="E1152" s="9" t="str">
        <f>+HYPERLINK("http://trademark.i-assist.jp/data/china/image_1917th/81296273.pdf","81296273")</f>
        <v>81296273</v>
      </c>
      <c r="F1152" s="9" t="s">
        <v>3171</v>
      </c>
      <c r="G1152" s="9" t="s">
        <v>3172</v>
      </c>
      <c r="H1152" s="9" t="s">
        <v>3173</v>
      </c>
      <c r="I1152" s="10">
        <v>45575</v>
      </c>
    </row>
    <row r="1153" spans="1:9" x14ac:dyDescent="0.15">
      <c r="A1153" s="9">
        <v>1152</v>
      </c>
      <c r="B1153" s="9" t="s">
        <v>9</v>
      </c>
      <c r="C1153" s="9">
        <v>1917</v>
      </c>
      <c r="D1153" s="10">
        <v>45653</v>
      </c>
      <c r="E1153" s="9" t="str">
        <f>+HYPERLINK("http://trademark.i-assist.jp/data/china/image_1917th/81296278.pdf","81296278")</f>
        <v>81296278</v>
      </c>
      <c r="F1153" s="9" t="s">
        <v>3174</v>
      </c>
      <c r="G1153" s="9" t="s">
        <v>3172</v>
      </c>
      <c r="H1153" s="9" t="s">
        <v>3175</v>
      </c>
      <c r="I1153" s="10">
        <v>45575</v>
      </c>
    </row>
    <row r="1154" spans="1:9" x14ac:dyDescent="0.15">
      <c r="A1154" s="9">
        <v>1153</v>
      </c>
      <c r="B1154" s="9" t="s">
        <v>9</v>
      </c>
      <c r="C1154" s="9">
        <v>1917</v>
      </c>
      <c r="D1154" s="10">
        <v>45653</v>
      </c>
      <c r="E1154" s="9" t="str">
        <f>+HYPERLINK("http://trademark.i-assist.jp/data/china/image_1917th/81296508.pdf","81296508")</f>
        <v>81296508</v>
      </c>
      <c r="F1154" s="9" t="s">
        <v>3176</v>
      </c>
      <c r="G1154" s="9" t="s">
        <v>3177</v>
      </c>
      <c r="H1154" s="12" t="s">
        <v>3178</v>
      </c>
      <c r="I1154" s="10">
        <v>45575</v>
      </c>
    </row>
    <row r="1155" spans="1:9" x14ac:dyDescent="0.15">
      <c r="A1155" s="9">
        <v>1154</v>
      </c>
      <c r="B1155" s="9" t="s">
        <v>9</v>
      </c>
      <c r="C1155" s="9">
        <v>1917</v>
      </c>
      <c r="D1155" s="10">
        <v>45653</v>
      </c>
      <c r="E1155" s="9" t="str">
        <f>+HYPERLINK("http://trademark.i-assist.jp/data/china/image_1917th/81296765.pdf","81296765")</f>
        <v>81296765</v>
      </c>
      <c r="F1155" s="12" t="s">
        <v>3179</v>
      </c>
      <c r="G1155" s="9" t="s">
        <v>3180</v>
      </c>
      <c r="H1155" s="9" t="s">
        <v>3181</v>
      </c>
      <c r="I1155" s="10">
        <v>45575</v>
      </c>
    </row>
    <row r="1156" spans="1:9" x14ac:dyDescent="0.15">
      <c r="A1156" s="9">
        <v>1155</v>
      </c>
      <c r="B1156" s="9" t="s">
        <v>9</v>
      </c>
      <c r="C1156" s="9">
        <v>1917</v>
      </c>
      <c r="D1156" s="10">
        <v>45653</v>
      </c>
      <c r="E1156" s="9" t="str">
        <f>+HYPERLINK("http://trademark.i-assist.jp/data/china/image_1917th/81296897.pdf","81296897")</f>
        <v>81296897</v>
      </c>
      <c r="F1156" s="12" t="s">
        <v>3182</v>
      </c>
      <c r="G1156" s="9" t="s">
        <v>3183</v>
      </c>
      <c r="H1156" s="9" t="s">
        <v>3184</v>
      </c>
      <c r="I1156" s="10">
        <v>45575</v>
      </c>
    </row>
    <row r="1157" spans="1:9" x14ac:dyDescent="0.15">
      <c r="A1157" s="9">
        <v>1156</v>
      </c>
      <c r="B1157" s="9" t="s">
        <v>9</v>
      </c>
      <c r="C1157" s="9">
        <v>1917</v>
      </c>
      <c r="D1157" s="10">
        <v>45653</v>
      </c>
      <c r="E1157" s="9" t="str">
        <f>+HYPERLINK("http://trademark.i-assist.jp/data/china/image_1917th/81297078.pdf","81297078")</f>
        <v>81297078</v>
      </c>
      <c r="F1157" s="9" t="s">
        <v>3185</v>
      </c>
      <c r="G1157" s="12" t="s">
        <v>3186</v>
      </c>
      <c r="H1157" s="9" t="s">
        <v>3187</v>
      </c>
      <c r="I1157" s="10">
        <v>45575</v>
      </c>
    </row>
    <row r="1158" spans="1:9" x14ac:dyDescent="0.15">
      <c r="A1158" s="9">
        <v>1157</v>
      </c>
      <c r="B1158" s="9" t="s">
        <v>9</v>
      </c>
      <c r="C1158" s="9">
        <v>1917</v>
      </c>
      <c r="D1158" s="10">
        <v>45653</v>
      </c>
      <c r="E1158" s="9" t="str">
        <f>+HYPERLINK("http://trademark.i-assist.jp/data/china/image_1917th/81297148.pdf","81297148")</f>
        <v>81297148</v>
      </c>
      <c r="F1158" s="9" t="s">
        <v>3188</v>
      </c>
      <c r="G1158" s="9" t="s">
        <v>3172</v>
      </c>
      <c r="H1158" s="9" t="s">
        <v>3189</v>
      </c>
      <c r="I1158" s="10">
        <v>45575</v>
      </c>
    </row>
    <row r="1159" spans="1:9" x14ac:dyDescent="0.15">
      <c r="A1159" s="9">
        <v>1158</v>
      </c>
      <c r="B1159" s="9" t="s">
        <v>9</v>
      </c>
      <c r="C1159" s="9">
        <v>1917</v>
      </c>
      <c r="D1159" s="10">
        <v>45653</v>
      </c>
      <c r="E1159" s="9" t="str">
        <f>+HYPERLINK("http://trademark.i-assist.jp/data/china/image_1917th/81297167.pdf","81297167")</f>
        <v>81297167</v>
      </c>
      <c r="F1159" s="12" t="s">
        <v>3190</v>
      </c>
      <c r="G1159" s="12" t="s">
        <v>3191</v>
      </c>
      <c r="H1159" s="9" t="s">
        <v>3192</v>
      </c>
      <c r="I1159" s="10">
        <v>45575</v>
      </c>
    </row>
    <row r="1160" spans="1:9" x14ac:dyDescent="0.15">
      <c r="A1160" s="9">
        <v>1159</v>
      </c>
      <c r="B1160" s="9" t="s">
        <v>9</v>
      </c>
      <c r="C1160" s="9">
        <v>1917</v>
      </c>
      <c r="D1160" s="10">
        <v>45653</v>
      </c>
      <c r="E1160" s="9" t="str">
        <f>+HYPERLINK("http://trademark.i-assist.jp/data/china/image_1917th/81297596.pdf","81297596")</f>
        <v>81297596</v>
      </c>
      <c r="F1160" s="12" t="s">
        <v>3193</v>
      </c>
      <c r="G1160" s="9" t="s">
        <v>3180</v>
      </c>
      <c r="H1160" s="9" t="s">
        <v>3194</v>
      </c>
      <c r="I1160" s="10">
        <v>45575</v>
      </c>
    </row>
    <row r="1161" spans="1:9" x14ac:dyDescent="0.15">
      <c r="A1161" s="9">
        <v>1160</v>
      </c>
      <c r="B1161" s="9" t="s">
        <v>9</v>
      </c>
      <c r="C1161" s="9">
        <v>1917</v>
      </c>
      <c r="D1161" s="10">
        <v>45653</v>
      </c>
      <c r="E1161" s="9" t="str">
        <f>+HYPERLINK("http://trademark.i-assist.jp/data/china/image_1917th/81297897.pdf","81297897")</f>
        <v>81297897</v>
      </c>
      <c r="F1161" s="9" t="s">
        <v>3195</v>
      </c>
      <c r="G1161" s="12" t="s">
        <v>3196</v>
      </c>
      <c r="H1161" s="12" t="s">
        <v>3197</v>
      </c>
      <c r="I1161" s="10">
        <v>45575</v>
      </c>
    </row>
    <row r="1162" spans="1:9" x14ac:dyDescent="0.15">
      <c r="A1162" s="9">
        <v>1161</v>
      </c>
      <c r="B1162" s="9" t="s">
        <v>9</v>
      </c>
      <c r="C1162" s="9">
        <v>1917</v>
      </c>
      <c r="D1162" s="10">
        <v>45653</v>
      </c>
      <c r="E1162" s="9" t="str">
        <f>+HYPERLINK("http://trademark.i-assist.jp/data/china/image_1917th/81298172.pdf","81298172")</f>
        <v>81298172</v>
      </c>
      <c r="F1162" s="9" t="s">
        <v>3198</v>
      </c>
      <c r="G1162" s="9" t="s">
        <v>3199</v>
      </c>
      <c r="H1162" s="9" t="s">
        <v>3200</v>
      </c>
      <c r="I1162" s="10">
        <v>45575</v>
      </c>
    </row>
    <row r="1163" spans="1:9" x14ac:dyDescent="0.15">
      <c r="A1163" s="9">
        <v>1162</v>
      </c>
      <c r="B1163" s="9" t="s">
        <v>9</v>
      </c>
      <c r="C1163" s="9">
        <v>1917</v>
      </c>
      <c r="D1163" s="10">
        <v>45653</v>
      </c>
      <c r="E1163" s="9" t="str">
        <f>+HYPERLINK("http://trademark.i-assist.jp/data/china/image_1917th/81299078.pdf","81299078")</f>
        <v>81299078</v>
      </c>
      <c r="F1163" s="9" t="s">
        <v>3201</v>
      </c>
      <c r="G1163" s="9" t="s">
        <v>3114</v>
      </c>
      <c r="H1163" s="9" t="s">
        <v>3202</v>
      </c>
      <c r="I1163" s="10">
        <v>45575</v>
      </c>
    </row>
    <row r="1164" spans="1:9" x14ac:dyDescent="0.15">
      <c r="A1164" s="9">
        <v>1163</v>
      </c>
      <c r="B1164" s="9" t="s">
        <v>9</v>
      </c>
      <c r="C1164" s="9">
        <v>1917</v>
      </c>
      <c r="D1164" s="10">
        <v>45653</v>
      </c>
      <c r="E1164" s="9" t="str">
        <f>+HYPERLINK("http://trademark.i-assist.jp/data/china/image_1917th/81299283.pdf","81299283")</f>
        <v>81299283</v>
      </c>
      <c r="F1164" s="9" t="s">
        <v>3203</v>
      </c>
      <c r="G1164" s="12" t="s">
        <v>3204</v>
      </c>
      <c r="H1164" s="9" t="s">
        <v>3205</v>
      </c>
      <c r="I1164" s="10">
        <v>45575</v>
      </c>
    </row>
    <row r="1165" spans="1:9" x14ac:dyDescent="0.15">
      <c r="A1165" s="9">
        <v>1164</v>
      </c>
      <c r="B1165" s="9" t="s">
        <v>9</v>
      </c>
      <c r="C1165" s="9">
        <v>1917</v>
      </c>
      <c r="D1165" s="10">
        <v>45653</v>
      </c>
      <c r="E1165" s="9" t="str">
        <f>+HYPERLINK("http://trademark.i-assist.jp/data/china/image_1917th/81299447.pdf","81299447")</f>
        <v>81299447</v>
      </c>
      <c r="F1165" s="12" t="s">
        <v>3206</v>
      </c>
      <c r="G1165" s="9" t="s">
        <v>3207</v>
      </c>
      <c r="H1165" s="9" t="s">
        <v>3208</v>
      </c>
      <c r="I1165" s="10">
        <v>45575</v>
      </c>
    </row>
    <row r="1166" spans="1:9" x14ac:dyDescent="0.15">
      <c r="A1166" s="9">
        <v>1165</v>
      </c>
      <c r="B1166" s="9" t="s">
        <v>9</v>
      </c>
      <c r="C1166" s="9">
        <v>1917</v>
      </c>
      <c r="D1166" s="10">
        <v>45653</v>
      </c>
      <c r="E1166" s="9" t="str">
        <f>+HYPERLINK("http://trademark.i-assist.jp/data/china/image_1917th/81299543.pdf","81299543")</f>
        <v>81299543</v>
      </c>
      <c r="F1166" s="9" t="s">
        <v>3209</v>
      </c>
      <c r="G1166" s="12" t="s">
        <v>3084</v>
      </c>
      <c r="H1166" s="9" t="s">
        <v>3210</v>
      </c>
      <c r="I1166" s="10">
        <v>45575</v>
      </c>
    </row>
    <row r="1167" spans="1:9" x14ac:dyDescent="0.15">
      <c r="A1167" s="9">
        <v>1166</v>
      </c>
      <c r="B1167" s="9" t="s">
        <v>9</v>
      </c>
      <c r="C1167" s="9">
        <v>1917</v>
      </c>
      <c r="D1167" s="10">
        <v>45653</v>
      </c>
      <c r="E1167" s="9" t="str">
        <f>+HYPERLINK("http://trademark.i-assist.jp/data/china/image_1917th/81300355.pdf","81300355")</f>
        <v>81300355</v>
      </c>
      <c r="F1167" s="9" t="s">
        <v>3211</v>
      </c>
      <c r="G1167" s="9" t="s">
        <v>3183</v>
      </c>
      <c r="H1167" s="9" t="s">
        <v>3212</v>
      </c>
      <c r="I1167" s="10">
        <v>45575</v>
      </c>
    </row>
    <row r="1168" spans="1:9" x14ac:dyDescent="0.15">
      <c r="A1168" s="9">
        <v>1167</v>
      </c>
      <c r="B1168" s="9" t="s">
        <v>9</v>
      </c>
      <c r="C1168" s="9">
        <v>1917</v>
      </c>
      <c r="D1168" s="10">
        <v>45653</v>
      </c>
      <c r="E1168" s="9" t="str">
        <f>+HYPERLINK("http://trademark.i-assist.jp/data/china/image_1917th/81300363.pdf","81300363")</f>
        <v>81300363</v>
      </c>
      <c r="F1168" s="9" t="s">
        <v>3213</v>
      </c>
      <c r="G1168" s="9" t="s">
        <v>3214</v>
      </c>
      <c r="H1168" s="9" t="s">
        <v>3215</v>
      </c>
      <c r="I1168" s="10">
        <v>45575</v>
      </c>
    </row>
    <row r="1169" spans="1:9" x14ac:dyDescent="0.15">
      <c r="A1169" s="9">
        <v>1168</v>
      </c>
      <c r="B1169" s="9" t="s">
        <v>9</v>
      </c>
      <c r="C1169" s="9">
        <v>1917</v>
      </c>
      <c r="D1169" s="10">
        <v>45653</v>
      </c>
      <c r="E1169" s="9" t="str">
        <f>+HYPERLINK("http://trademark.i-assist.jp/data/china/image_1917th/81300951.pdf","81300951")</f>
        <v>81300951</v>
      </c>
      <c r="F1169" s="9" t="s">
        <v>3216</v>
      </c>
      <c r="G1169" s="9" t="s">
        <v>3217</v>
      </c>
      <c r="H1169" s="9" t="s">
        <v>3218</v>
      </c>
      <c r="I1169" s="10">
        <v>45575</v>
      </c>
    </row>
    <row r="1170" spans="1:9" x14ac:dyDescent="0.15">
      <c r="A1170" s="9">
        <v>1169</v>
      </c>
      <c r="B1170" s="9" t="s">
        <v>9</v>
      </c>
      <c r="C1170" s="9">
        <v>1917</v>
      </c>
      <c r="D1170" s="10">
        <v>45653</v>
      </c>
      <c r="E1170" s="9" t="str">
        <f>+HYPERLINK("http://trademark.i-assist.jp/data/china/image_1917th/81301131.pdf","81301131")</f>
        <v>81301131</v>
      </c>
      <c r="F1170" s="9" t="s">
        <v>3219</v>
      </c>
      <c r="G1170" s="9" t="s">
        <v>3220</v>
      </c>
      <c r="H1170" s="9" t="s">
        <v>3221</v>
      </c>
      <c r="I1170" s="10">
        <v>45575</v>
      </c>
    </row>
    <row r="1171" spans="1:9" x14ac:dyDescent="0.15">
      <c r="A1171" s="9">
        <v>1170</v>
      </c>
      <c r="B1171" s="9" t="s">
        <v>9</v>
      </c>
      <c r="C1171" s="9">
        <v>1917</v>
      </c>
      <c r="D1171" s="10">
        <v>45653</v>
      </c>
      <c r="E1171" s="9" t="str">
        <f>+HYPERLINK("http://trademark.i-assist.jp/data/china/image_1917th/81301360.pdf","81301360")</f>
        <v>81301360</v>
      </c>
      <c r="F1171" s="9" t="s">
        <v>3222</v>
      </c>
      <c r="G1171" s="12" t="s">
        <v>3223</v>
      </c>
      <c r="H1171" s="9" t="s">
        <v>3224</v>
      </c>
      <c r="I1171" s="10">
        <v>45575</v>
      </c>
    </row>
    <row r="1172" spans="1:9" x14ac:dyDescent="0.15">
      <c r="A1172" s="9">
        <v>1171</v>
      </c>
      <c r="B1172" s="9" t="s">
        <v>9</v>
      </c>
      <c r="C1172" s="9">
        <v>1917</v>
      </c>
      <c r="D1172" s="10">
        <v>45653</v>
      </c>
      <c r="E1172" s="9" t="str">
        <f>+HYPERLINK("http://trademark.i-assist.jp/data/china/image_1917th/81301509.pdf","81301509")</f>
        <v>81301509</v>
      </c>
      <c r="F1172" s="9" t="s">
        <v>3225</v>
      </c>
      <c r="G1172" s="9" t="s">
        <v>3226</v>
      </c>
      <c r="H1172" s="9" t="s">
        <v>3227</v>
      </c>
      <c r="I1172" s="10">
        <v>45575</v>
      </c>
    </row>
    <row r="1173" spans="1:9" x14ac:dyDescent="0.15">
      <c r="A1173" s="9">
        <v>1172</v>
      </c>
      <c r="B1173" s="9" t="s">
        <v>9</v>
      </c>
      <c r="C1173" s="9">
        <v>1917</v>
      </c>
      <c r="D1173" s="10">
        <v>45653</v>
      </c>
      <c r="E1173" s="9" t="str">
        <f>+HYPERLINK("http://trademark.i-assist.jp/data/china/image_1917th/81301539.pdf","81301539")</f>
        <v>81301539</v>
      </c>
      <c r="F1173" s="9" t="s">
        <v>3228</v>
      </c>
      <c r="G1173" s="9" t="s">
        <v>3229</v>
      </c>
      <c r="H1173" s="9" t="s">
        <v>3230</v>
      </c>
      <c r="I1173" s="10">
        <v>45575</v>
      </c>
    </row>
    <row r="1174" spans="1:9" x14ac:dyDescent="0.15">
      <c r="A1174" s="9">
        <v>1173</v>
      </c>
      <c r="B1174" s="9" t="s">
        <v>9</v>
      </c>
      <c r="C1174" s="9">
        <v>1917</v>
      </c>
      <c r="D1174" s="10">
        <v>45653</v>
      </c>
      <c r="E1174" s="9" t="str">
        <f>+HYPERLINK("http://trademark.i-assist.jp/data/china/image_1917th/81301576.pdf","81301576")</f>
        <v>81301576</v>
      </c>
      <c r="F1174" s="9" t="s">
        <v>3231</v>
      </c>
      <c r="G1174" s="9" t="s">
        <v>3112</v>
      </c>
      <c r="H1174" s="9" t="s">
        <v>3232</v>
      </c>
      <c r="I1174" s="10">
        <v>45575</v>
      </c>
    </row>
    <row r="1175" spans="1:9" x14ac:dyDescent="0.15">
      <c r="A1175" s="9">
        <v>1174</v>
      </c>
      <c r="B1175" s="9" t="s">
        <v>9</v>
      </c>
      <c r="C1175" s="9">
        <v>1917</v>
      </c>
      <c r="D1175" s="10">
        <v>45653</v>
      </c>
      <c r="E1175" s="9" t="str">
        <f>+HYPERLINK("http://trademark.i-assist.jp/data/china/image_1917th/81302213.pdf","81302213")</f>
        <v>81302213</v>
      </c>
      <c r="F1175" s="9" t="s">
        <v>3233</v>
      </c>
      <c r="G1175" s="9" t="s">
        <v>344</v>
      </c>
      <c r="H1175" s="9" t="s">
        <v>3234</v>
      </c>
      <c r="I1175" s="10">
        <v>45575</v>
      </c>
    </row>
    <row r="1176" spans="1:9" x14ac:dyDescent="0.15">
      <c r="A1176" s="9">
        <v>1175</v>
      </c>
      <c r="B1176" s="9" t="s">
        <v>9</v>
      </c>
      <c r="C1176" s="9">
        <v>1917</v>
      </c>
      <c r="D1176" s="10">
        <v>45653</v>
      </c>
      <c r="E1176" s="9" t="str">
        <f>+HYPERLINK("http://trademark.i-assist.jp/data/china/image_1917th/81303526.pdf","81303526")</f>
        <v>81303526</v>
      </c>
      <c r="F1176" s="9" t="s">
        <v>3235</v>
      </c>
      <c r="G1176" s="12" t="s">
        <v>3236</v>
      </c>
      <c r="H1176" s="9" t="s">
        <v>3237</v>
      </c>
      <c r="I1176" s="10">
        <v>45575</v>
      </c>
    </row>
    <row r="1177" spans="1:9" x14ac:dyDescent="0.15">
      <c r="A1177" s="9">
        <v>1176</v>
      </c>
      <c r="B1177" s="9" t="s">
        <v>9</v>
      </c>
      <c r="C1177" s="9">
        <v>1917</v>
      </c>
      <c r="D1177" s="10">
        <v>45653</v>
      </c>
      <c r="E1177" s="9" t="str">
        <f>+HYPERLINK("http://trademark.i-assist.jp/data/china/image_1917th/81303610.pdf","81303610")</f>
        <v>81303610</v>
      </c>
      <c r="F1177" s="9" t="s">
        <v>3238</v>
      </c>
      <c r="G1177" s="9" t="s">
        <v>3239</v>
      </c>
      <c r="H1177" s="9" t="s">
        <v>3240</v>
      </c>
      <c r="I1177" s="10">
        <v>45575</v>
      </c>
    </row>
    <row r="1178" spans="1:9" x14ac:dyDescent="0.15">
      <c r="A1178" s="9">
        <v>1177</v>
      </c>
      <c r="B1178" s="9" t="s">
        <v>9</v>
      </c>
      <c r="C1178" s="9">
        <v>1917</v>
      </c>
      <c r="D1178" s="10">
        <v>45653</v>
      </c>
      <c r="E1178" s="9" t="str">
        <f>+HYPERLINK("http://trademark.i-assist.jp/data/china/image_1917th/81303735.pdf","81303735")</f>
        <v>81303735</v>
      </c>
      <c r="F1178" s="9" t="s">
        <v>3241</v>
      </c>
      <c r="G1178" s="9" t="s">
        <v>3242</v>
      </c>
      <c r="H1178" s="9" t="s">
        <v>3243</v>
      </c>
      <c r="I1178" s="10">
        <v>45575</v>
      </c>
    </row>
    <row r="1179" spans="1:9" x14ac:dyDescent="0.15">
      <c r="A1179" s="9">
        <v>1178</v>
      </c>
      <c r="B1179" s="9" t="s">
        <v>9</v>
      </c>
      <c r="C1179" s="9">
        <v>1917</v>
      </c>
      <c r="D1179" s="10">
        <v>45653</v>
      </c>
      <c r="E1179" s="9" t="str">
        <f>+HYPERLINK("http://trademark.i-assist.jp/data/china/image_1917th/81303980.pdf","81303980")</f>
        <v>81303980</v>
      </c>
      <c r="F1179" s="9" t="s">
        <v>3244</v>
      </c>
      <c r="G1179" s="9" t="s">
        <v>3112</v>
      </c>
      <c r="H1179" s="9" t="s">
        <v>3245</v>
      </c>
      <c r="I1179" s="10">
        <v>45575</v>
      </c>
    </row>
    <row r="1180" spans="1:9" x14ac:dyDescent="0.15">
      <c r="A1180" s="9">
        <v>1179</v>
      </c>
      <c r="B1180" s="9" t="s">
        <v>9</v>
      </c>
      <c r="C1180" s="9">
        <v>1917</v>
      </c>
      <c r="D1180" s="10">
        <v>45653</v>
      </c>
      <c r="E1180" s="9" t="str">
        <f>+HYPERLINK("http://trademark.i-assist.jp/data/china/image_1917th/81304055.pdf","81304055")</f>
        <v>81304055</v>
      </c>
      <c r="F1180" s="12" t="s">
        <v>12</v>
      </c>
      <c r="G1180" s="12" t="s">
        <v>2595</v>
      </c>
      <c r="H1180" s="9" t="s">
        <v>3246</v>
      </c>
      <c r="I1180" s="10">
        <v>45575</v>
      </c>
    </row>
    <row r="1181" spans="1:9" x14ac:dyDescent="0.15">
      <c r="A1181" s="9">
        <v>1180</v>
      </c>
      <c r="B1181" s="9" t="s">
        <v>9</v>
      </c>
      <c r="C1181" s="9">
        <v>1917</v>
      </c>
      <c r="D1181" s="10">
        <v>45653</v>
      </c>
      <c r="E1181" s="9" t="str">
        <f>+HYPERLINK("http://trademark.i-assist.jp/data/china/image_1917th/81304316.pdf","81304316")</f>
        <v>81304316</v>
      </c>
      <c r="F1181" s="12" t="s">
        <v>12</v>
      </c>
      <c r="G1181" s="9" t="s">
        <v>3247</v>
      </c>
      <c r="H1181" s="9" t="s">
        <v>3248</v>
      </c>
      <c r="I1181" s="10">
        <v>45575</v>
      </c>
    </row>
    <row r="1182" spans="1:9" x14ac:dyDescent="0.15">
      <c r="A1182" s="9">
        <v>1181</v>
      </c>
      <c r="B1182" s="9" t="s">
        <v>9</v>
      </c>
      <c r="C1182" s="9">
        <v>1917</v>
      </c>
      <c r="D1182" s="10">
        <v>45653</v>
      </c>
      <c r="E1182" s="9" t="str">
        <f>+HYPERLINK("http://trademark.i-assist.jp/data/china/image_1917th/81304482.pdf","81304482")</f>
        <v>81304482</v>
      </c>
      <c r="F1182" s="9" t="s">
        <v>3249</v>
      </c>
      <c r="G1182" s="9" t="s">
        <v>3250</v>
      </c>
      <c r="H1182" s="9" t="s">
        <v>3251</v>
      </c>
      <c r="I1182" s="10">
        <v>45575</v>
      </c>
    </row>
    <row r="1183" spans="1:9" x14ac:dyDescent="0.15">
      <c r="A1183" s="9">
        <v>1182</v>
      </c>
      <c r="B1183" s="9" t="s">
        <v>9</v>
      </c>
      <c r="C1183" s="9">
        <v>1917</v>
      </c>
      <c r="D1183" s="10">
        <v>45653</v>
      </c>
      <c r="E1183" s="9" t="str">
        <f>+HYPERLINK("http://trademark.i-assist.jp/data/china/image_1917th/81304893.pdf","81304893")</f>
        <v>81304893</v>
      </c>
      <c r="F1183" s="12" t="s">
        <v>3252</v>
      </c>
      <c r="G1183" s="9" t="s">
        <v>3180</v>
      </c>
      <c r="H1183" s="9" t="s">
        <v>3253</v>
      </c>
      <c r="I1183" s="10">
        <v>45575</v>
      </c>
    </row>
    <row r="1184" spans="1:9" x14ac:dyDescent="0.15">
      <c r="A1184" s="9">
        <v>1183</v>
      </c>
      <c r="B1184" s="9" t="s">
        <v>9</v>
      </c>
      <c r="C1184" s="9">
        <v>1917</v>
      </c>
      <c r="D1184" s="10">
        <v>45653</v>
      </c>
      <c r="E1184" s="9" t="str">
        <f>+HYPERLINK("http://trademark.i-assist.jp/data/china/image_1917th/81305051.pdf","81305051")</f>
        <v>81305051</v>
      </c>
      <c r="F1184" s="9" t="s">
        <v>3254</v>
      </c>
      <c r="G1184" s="9" t="s">
        <v>3255</v>
      </c>
      <c r="H1184" s="9" t="s">
        <v>3256</v>
      </c>
      <c r="I1184" s="10">
        <v>45575</v>
      </c>
    </row>
    <row r="1185" spans="1:9" x14ac:dyDescent="0.15">
      <c r="A1185" s="9">
        <v>1184</v>
      </c>
      <c r="B1185" s="9" t="s">
        <v>9</v>
      </c>
      <c r="C1185" s="9">
        <v>1917</v>
      </c>
      <c r="D1185" s="10">
        <v>45653</v>
      </c>
      <c r="E1185" s="9" t="str">
        <f>+HYPERLINK("http://trademark.i-assist.jp/data/china/image_1917th/81305553.pdf","81305553")</f>
        <v>81305553</v>
      </c>
      <c r="F1185" s="9" t="s">
        <v>3257</v>
      </c>
      <c r="G1185" s="12" t="s">
        <v>3084</v>
      </c>
      <c r="H1185" s="9" t="s">
        <v>3258</v>
      </c>
      <c r="I1185" s="10">
        <v>45575</v>
      </c>
    </row>
    <row r="1186" spans="1:9" x14ac:dyDescent="0.15">
      <c r="A1186" s="9">
        <v>1185</v>
      </c>
      <c r="B1186" s="9" t="s">
        <v>9</v>
      </c>
      <c r="C1186" s="9">
        <v>1917</v>
      </c>
      <c r="D1186" s="10">
        <v>45653</v>
      </c>
      <c r="E1186" s="9" t="str">
        <f>+HYPERLINK("http://trademark.i-assist.jp/data/china/image_1917th/81305564.pdf","81305564")</f>
        <v>81305564</v>
      </c>
      <c r="F1186" s="12" t="s">
        <v>3259</v>
      </c>
      <c r="G1186" s="12" t="s">
        <v>3084</v>
      </c>
      <c r="H1186" s="9" t="s">
        <v>3260</v>
      </c>
      <c r="I1186" s="10">
        <v>45575</v>
      </c>
    </row>
    <row r="1187" spans="1:9" x14ac:dyDescent="0.15">
      <c r="A1187" s="9">
        <v>1186</v>
      </c>
      <c r="B1187" s="9" t="s">
        <v>9</v>
      </c>
      <c r="C1187" s="9">
        <v>1917</v>
      </c>
      <c r="D1187" s="10">
        <v>45653</v>
      </c>
      <c r="E1187" s="9" t="str">
        <f>+HYPERLINK("http://trademark.i-assist.jp/data/china/image_1917th/81305858.pdf","81305858")</f>
        <v>81305858</v>
      </c>
      <c r="F1187" s="9" t="s">
        <v>3261</v>
      </c>
      <c r="G1187" s="9" t="s">
        <v>3262</v>
      </c>
      <c r="H1187" s="9" t="s">
        <v>3263</v>
      </c>
      <c r="I1187" s="10">
        <v>45575</v>
      </c>
    </row>
    <row r="1188" spans="1:9" x14ac:dyDescent="0.15">
      <c r="A1188" s="9">
        <v>1187</v>
      </c>
      <c r="B1188" s="9" t="s">
        <v>9</v>
      </c>
      <c r="C1188" s="9">
        <v>1917</v>
      </c>
      <c r="D1188" s="10">
        <v>45653</v>
      </c>
      <c r="E1188" s="9" t="str">
        <f>+HYPERLINK("http://trademark.i-assist.jp/data/china/image_1917th/81306008.pdf","81306008")</f>
        <v>81306008</v>
      </c>
      <c r="F1188" s="12" t="s">
        <v>3264</v>
      </c>
      <c r="G1188" s="9" t="s">
        <v>3112</v>
      </c>
      <c r="H1188" s="9" t="s">
        <v>3265</v>
      </c>
      <c r="I1188" s="10">
        <v>45575</v>
      </c>
    </row>
    <row r="1189" spans="1:9" x14ac:dyDescent="0.15">
      <c r="A1189" s="9">
        <v>1188</v>
      </c>
      <c r="B1189" s="9" t="s">
        <v>9</v>
      </c>
      <c r="C1189" s="9">
        <v>1917</v>
      </c>
      <c r="D1189" s="10">
        <v>45653</v>
      </c>
      <c r="E1189" s="9" t="str">
        <f>+HYPERLINK("http://trademark.i-assist.jp/data/china/image_1917th/81306023.pdf","81306023")</f>
        <v>81306023</v>
      </c>
      <c r="F1189" s="12" t="s">
        <v>3266</v>
      </c>
      <c r="G1189" s="9" t="s">
        <v>3112</v>
      </c>
      <c r="H1189" s="9" t="s">
        <v>3267</v>
      </c>
      <c r="I1189" s="10">
        <v>45575</v>
      </c>
    </row>
    <row r="1190" spans="1:9" x14ac:dyDescent="0.15">
      <c r="A1190" s="9">
        <v>1189</v>
      </c>
      <c r="B1190" s="9" t="s">
        <v>9</v>
      </c>
      <c r="C1190" s="9">
        <v>1917</v>
      </c>
      <c r="D1190" s="10">
        <v>45653</v>
      </c>
      <c r="E1190" s="9" t="str">
        <f>+HYPERLINK("http://trademark.i-assist.jp/data/china/image_1917th/81306239.pdf","81306239")</f>
        <v>81306239</v>
      </c>
      <c r="F1190" s="9" t="s">
        <v>3268</v>
      </c>
      <c r="G1190" s="9" t="s">
        <v>3269</v>
      </c>
      <c r="H1190" s="9" t="s">
        <v>3270</v>
      </c>
      <c r="I1190" s="10">
        <v>45575</v>
      </c>
    </row>
    <row r="1191" spans="1:9" x14ac:dyDescent="0.15">
      <c r="A1191" s="9">
        <v>1190</v>
      </c>
      <c r="B1191" s="9" t="s">
        <v>9</v>
      </c>
      <c r="C1191" s="9">
        <v>1917</v>
      </c>
      <c r="D1191" s="10">
        <v>45653</v>
      </c>
      <c r="E1191" s="9" t="str">
        <f>+HYPERLINK("http://trademark.i-assist.jp/data/china/image_1917th/81306266.pdf","81306266")</f>
        <v>81306266</v>
      </c>
      <c r="F1191" s="9" t="s">
        <v>3271</v>
      </c>
      <c r="G1191" s="12" t="s">
        <v>3272</v>
      </c>
      <c r="H1191" s="9" t="s">
        <v>3273</v>
      </c>
      <c r="I1191" s="10">
        <v>45575</v>
      </c>
    </row>
    <row r="1192" spans="1:9" x14ac:dyDescent="0.15">
      <c r="A1192" s="9">
        <v>1191</v>
      </c>
      <c r="B1192" s="9" t="s">
        <v>9</v>
      </c>
      <c r="C1192" s="9">
        <v>1917</v>
      </c>
      <c r="D1192" s="10">
        <v>45653</v>
      </c>
      <c r="E1192" s="9" t="str">
        <f>+HYPERLINK("http://trademark.i-assist.jp/data/china/image_1917th/81306290.pdf","81306290")</f>
        <v>81306290</v>
      </c>
      <c r="F1192" s="12" t="s">
        <v>3274</v>
      </c>
      <c r="G1192" s="9" t="s">
        <v>3275</v>
      </c>
      <c r="H1192" s="9" t="s">
        <v>3276</v>
      </c>
      <c r="I1192" s="10">
        <v>45575</v>
      </c>
    </row>
    <row r="1193" spans="1:9" x14ac:dyDescent="0.15">
      <c r="A1193" s="9">
        <v>1192</v>
      </c>
      <c r="B1193" s="9" t="s">
        <v>9</v>
      </c>
      <c r="C1193" s="9">
        <v>1917</v>
      </c>
      <c r="D1193" s="10">
        <v>45653</v>
      </c>
      <c r="E1193" s="9" t="str">
        <f>+HYPERLINK("http://trademark.i-assist.jp/data/china/image_1917th/81306366.pdf","81306366")</f>
        <v>81306366</v>
      </c>
      <c r="F1193" s="9" t="s">
        <v>3277</v>
      </c>
      <c r="G1193" s="9" t="s">
        <v>21</v>
      </c>
      <c r="H1193" s="9" t="s">
        <v>3278</v>
      </c>
      <c r="I1193" s="10">
        <v>45575</v>
      </c>
    </row>
    <row r="1194" spans="1:9" x14ac:dyDescent="0.15">
      <c r="A1194" s="9">
        <v>1193</v>
      </c>
      <c r="B1194" s="9" t="s">
        <v>9</v>
      </c>
      <c r="C1194" s="9">
        <v>1917</v>
      </c>
      <c r="D1194" s="10">
        <v>45653</v>
      </c>
      <c r="E1194" s="9" t="str">
        <f>+HYPERLINK("http://trademark.i-assist.jp/data/china/image_1917th/81306497.pdf","81306497")</f>
        <v>81306497</v>
      </c>
      <c r="F1194" s="9" t="s">
        <v>3279</v>
      </c>
      <c r="G1194" s="9" t="s">
        <v>3280</v>
      </c>
      <c r="H1194" s="9" t="s">
        <v>3281</v>
      </c>
      <c r="I1194" s="10">
        <v>45575</v>
      </c>
    </row>
    <row r="1195" spans="1:9" x14ac:dyDescent="0.15">
      <c r="A1195" s="9">
        <v>1194</v>
      </c>
      <c r="B1195" s="9" t="s">
        <v>9</v>
      </c>
      <c r="C1195" s="9">
        <v>1917</v>
      </c>
      <c r="D1195" s="10">
        <v>45653</v>
      </c>
      <c r="E1195" s="9" t="str">
        <f>+HYPERLINK("http://trademark.i-assist.jp/data/china/image_1917th/81306975.pdf","81306975")</f>
        <v>81306975</v>
      </c>
      <c r="F1195" s="9" t="s">
        <v>3282</v>
      </c>
      <c r="G1195" s="12" t="s">
        <v>3166</v>
      </c>
      <c r="H1195" s="9" t="s">
        <v>3283</v>
      </c>
      <c r="I1195" s="10">
        <v>45575</v>
      </c>
    </row>
    <row r="1196" spans="1:9" x14ac:dyDescent="0.15">
      <c r="A1196" s="9">
        <v>1195</v>
      </c>
      <c r="B1196" s="9" t="s">
        <v>9</v>
      </c>
      <c r="C1196" s="9">
        <v>1917</v>
      </c>
      <c r="D1196" s="10">
        <v>45653</v>
      </c>
      <c r="E1196" s="9" t="str">
        <f>+HYPERLINK("http://trademark.i-assist.jp/data/china/image_1917th/81307138.pdf","81307138")</f>
        <v>81307138</v>
      </c>
      <c r="F1196" s="9" t="s">
        <v>3284</v>
      </c>
      <c r="G1196" s="9" t="s">
        <v>3285</v>
      </c>
      <c r="H1196" s="9" t="s">
        <v>3286</v>
      </c>
      <c r="I1196" s="10">
        <v>45575</v>
      </c>
    </row>
    <row r="1197" spans="1:9" x14ac:dyDescent="0.15">
      <c r="A1197" s="9">
        <v>1196</v>
      </c>
      <c r="B1197" s="9" t="s">
        <v>9</v>
      </c>
      <c r="C1197" s="9">
        <v>1917</v>
      </c>
      <c r="D1197" s="10">
        <v>45653</v>
      </c>
      <c r="E1197" s="9" t="str">
        <f>+HYPERLINK("http://trademark.i-assist.jp/data/china/image_1917th/81307377.pdf","81307377")</f>
        <v>81307377</v>
      </c>
      <c r="F1197" s="9" t="s">
        <v>3287</v>
      </c>
      <c r="G1197" s="9" t="s">
        <v>3288</v>
      </c>
      <c r="H1197" s="9" t="s">
        <v>3289</v>
      </c>
      <c r="I1197" s="10">
        <v>45575</v>
      </c>
    </row>
    <row r="1198" spans="1:9" x14ac:dyDescent="0.15">
      <c r="A1198" s="9">
        <v>1197</v>
      </c>
      <c r="B1198" s="9" t="s">
        <v>9</v>
      </c>
      <c r="C1198" s="9">
        <v>1917</v>
      </c>
      <c r="D1198" s="10">
        <v>45653</v>
      </c>
      <c r="E1198" s="9" t="str">
        <f>+HYPERLINK("http://trademark.i-assist.jp/data/china/image_1917th/81307547.pdf","81307547")</f>
        <v>81307547</v>
      </c>
      <c r="F1198" s="12" t="s">
        <v>3290</v>
      </c>
      <c r="G1198" s="9" t="s">
        <v>3183</v>
      </c>
      <c r="H1198" s="12" t="s">
        <v>3291</v>
      </c>
      <c r="I1198" s="10">
        <v>45575</v>
      </c>
    </row>
    <row r="1199" spans="1:9" x14ac:dyDescent="0.15">
      <c r="A1199" s="9">
        <v>1198</v>
      </c>
      <c r="B1199" s="9" t="s">
        <v>9</v>
      </c>
      <c r="C1199" s="9">
        <v>1917</v>
      </c>
      <c r="D1199" s="10">
        <v>45653</v>
      </c>
      <c r="E1199" s="9" t="str">
        <f>+HYPERLINK("http://trademark.i-assist.jp/data/china/image_1917th/81308129.pdf","81308129")</f>
        <v>81308129</v>
      </c>
      <c r="F1199" s="9" t="s">
        <v>3292</v>
      </c>
      <c r="G1199" s="9" t="s">
        <v>3180</v>
      </c>
      <c r="H1199" s="12" t="s">
        <v>3293</v>
      </c>
      <c r="I1199" s="10">
        <v>45575</v>
      </c>
    </row>
    <row r="1200" spans="1:9" x14ac:dyDescent="0.15">
      <c r="A1200" s="9">
        <v>1199</v>
      </c>
      <c r="B1200" s="9" t="s">
        <v>9</v>
      </c>
      <c r="C1200" s="9">
        <v>1917</v>
      </c>
      <c r="D1200" s="10">
        <v>45653</v>
      </c>
      <c r="E1200" s="9" t="str">
        <f>+HYPERLINK("http://trademark.i-assist.jp/data/china/image_1917th/81309173.pdf","81309173")</f>
        <v>81309173</v>
      </c>
      <c r="F1200" s="9" t="s">
        <v>3294</v>
      </c>
      <c r="G1200" s="9" t="s">
        <v>3172</v>
      </c>
      <c r="H1200" s="9" t="s">
        <v>3295</v>
      </c>
      <c r="I1200" s="10">
        <v>45575</v>
      </c>
    </row>
    <row r="1201" spans="1:9" x14ac:dyDescent="0.15">
      <c r="A1201" s="9">
        <v>1200</v>
      </c>
      <c r="B1201" s="9" t="s">
        <v>9</v>
      </c>
      <c r="C1201" s="9">
        <v>1917</v>
      </c>
      <c r="D1201" s="10">
        <v>45653</v>
      </c>
      <c r="E1201" s="9" t="str">
        <f>+HYPERLINK("http://trademark.i-assist.jp/data/china/image_1917th/81309835.pdf","81309835")</f>
        <v>81309835</v>
      </c>
      <c r="F1201" s="9" t="s">
        <v>3296</v>
      </c>
      <c r="G1201" s="9" t="s">
        <v>3107</v>
      </c>
      <c r="H1201" s="9" t="s">
        <v>3297</v>
      </c>
      <c r="I1201" s="10">
        <v>45575</v>
      </c>
    </row>
    <row r="1202" spans="1:9" x14ac:dyDescent="0.15">
      <c r="A1202" s="9">
        <v>1201</v>
      </c>
      <c r="B1202" s="9" t="s">
        <v>9</v>
      </c>
      <c r="C1202" s="9">
        <v>1917</v>
      </c>
      <c r="D1202" s="10">
        <v>45653</v>
      </c>
      <c r="E1202" s="9" t="str">
        <f>+HYPERLINK("http://trademark.i-assist.jp/data/china/image_1917th/81310278.pdf","81310278")</f>
        <v>81310278</v>
      </c>
      <c r="F1202" s="9" t="s">
        <v>3298</v>
      </c>
      <c r="G1202" s="9" t="s">
        <v>3180</v>
      </c>
      <c r="H1202" s="9" t="s">
        <v>3299</v>
      </c>
      <c r="I1202" s="10">
        <v>45575</v>
      </c>
    </row>
    <row r="1203" spans="1:9" x14ac:dyDescent="0.15">
      <c r="A1203" s="9">
        <v>1202</v>
      </c>
      <c r="B1203" s="9" t="s">
        <v>9</v>
      </c>
      <c r="C1203" s="9">
        <v>1917</v>
      </c>
      <c r="D1203" s="10">
        <v>45653</v>
      </c>
      <c r="E1203" s="9" t="str">
        <f>+HYPERLINK("http://trademark.i-assist.jp/data/china/image_1917th/81310730.pdf","81310730")</f>
        <v>81310730</v>
      </c>
      <c r="F1203" s="12" t="s">
        <v>3300</v>
      </c>
      <c r="G1203" s="12" t="s">
        <v>3084</v>
      </c>
      <c r="H1203" s="9" t="s">
        <v>3301</v>
      </c>
      <c r="I1203" s="10">
        <v>45576</v>
      </c>
    </row>
    <row r="1204" spans="1:9" x14ac:dyDescent="0.15">
      <c r="A1204" s="9">
        <v>1203</v>
      </c>
      <c r="B1204" s="9" t="s">
        <v>9</v>
      </c>
      <c r="C1204" s="9">
        <v>1917</v>
      </c>
      <c r="D1204" s="10">
        <v>45653</v>
      </c>
      <c r="E1204" s="9" t="str">
        <f>+HYPERLINK("http://trademark.i-assist.jp/data/china/image_1917th/81310985.pdf","81310985")</f>
        <v>81310985</v>
      </c>
      <c r="F1204" s="12" t="s">
        <v>3302</v>
      </c>
      <c r="G1204" s="12" t="s">
        <v>3302</v>
      </c>
      <c r="H1204" s="9" t="s">
        <v>3303</v>
      </c>
      <c r="I1204" s="10">
        <v>45576</v>
      </c>
    </row>
    <row r="1205" spans="1:9" x14ac:dyDescent="0.15">
      <c r="A1205" s="9">
        <v>1204</v>
      </c>
      <c r="B1205" s="9" t="s">
        <v>9</v>
      </c>
      <c r="C1205" s="9">
        <v>1917</v>
      </c>
      <c r="D1205" s="10">
        <v>45653</v>
      </c>
      <c r="E1205" s="9" t="str">
        <f>+HYPERLINK("http://trademark.i-assist.jp/data/china/image_1917th/81311229.pdf","81311229")</f>
        <v>81311229</v>
      </c>
      <c r="F1205" s="12" t="s">
        <v>12</v>
      </c>
      <c r="G1205" s="9" t="s">
        <v>3304</v>
      </c>
      <c r="H1205" s="9" t="s">
        <v>3305</v>
      </c>
      <c r="I1205" s="10">
        <v>45576</v>
      </c>
    </row>
    <row r="1206" spans="1:9" x14ac:dyDescent="0.15">
      <c r="A1206" s="9">
        <v>1205</v>
      </c>
      <c r="B1206" s="9" t="s">
        <v>9</v>
      </c>
      <c r="C1206" s="9">
        <v>1917</v>
      </c>
      <c r="D1206" s="10">
        <v>45653</v>
      </c>
      <c r="E1206" s="9" t="str">
        <f>+HYPERLINK("http://trademark.i-assist.jp/data/china/image_1917th/81311312.pdf","81311312")</f>
        <v>81311312</v>
      </c>
      <c r="F1206" s="12" t="s">
        <v>3306</v>
      </c>
      <c r="G1206" s="9" t="s">
        <v>31</v>
      </c>
      <c r="H1206" s="9" t="s">
        <v>3307</v>
      </c>
      <c r="I1206" s="10">
        <v>45576</v>
      </c>
    </row>
    <row r="1207" spans="1:9" x14ac:dyDescent="0.15">
      <c r="A1207" s="9">
        <v>1206</v>
      </c>
      <c r="B1207" s="9" t="s">
        <v>9</v>
      </c>
      <c r="C1207" s="9">
        <v>1917</v>
      </c>
      <c r="D1207" s="10">
        <v>45653</v>
      </c>
      <c r="E1207" s="9" t="str">
        <f>+HYPERLINK("http://trademark.i-assist.jp/data/china/image_1917th/81311815.pdf","81311815")</f>
        <v>81311815</v>
      </c>
      <c r="F1207" s="9" t="s">
        <v>3308</v>
      </c>
      <c r="G1207" s="9" t="s">
        <v>3309</v>
      </c>
      <c r="H1207" s="9" t="s">
        <v>3310</v>
      </c>
      <c r="I1207" s="10">
        <v>45576</v>
      </c>
    </row>
    <row r="1208" spans="1:9" x14ac:dyDescent="0.15">
      <c r="A1208" s="9">
        <v>1207</v>
      </c>
      <c r="B1208" s="9" t="s">
        <v>9</v>
      </c>
      <c r="C1208" s="9">
        <v>1917</v>
      </c>
      <c r="D1208" s="10">
        <v>45653</v>
      </c>
      <c r="E1208" s="9" t="str">
        <f>+HYPERLINK("http://trademark.i-assist.jp/data/china/image_1917th/81312845.pdf","81312845")</f>
        <v>81312845</v>
      </c>
      <c r="F1208" s="9" t="s">
        <v>3311</v>
      </c>
      <c r="G1208" s="9" t="s">
        <v>3312</v>
      </c>
      <c r="H1208" s="9" t="s">
        <v>3313</v>
      </c>
      <c r="I1208" s="10">
        <v>45576</v>
      </c>
    </row>
    <row r="1209" spans="1:9" x14ac:dyDescent="0.15">
      <c r="A1209" s="9">
        <v>1208</v>
      </c>
      <c r="B1209" s="9" t="s">
        <v>9</v>
      </c>
      <c r="C1209" s="9">
        <v>1917</v>
      </c>
      <c r="D1209" s="10">
        <v>45653</v>
      </c>
      <c r="E1209" s="9" t="str">
        <f>+HYPERLINK("http://trademark.i-assist.jp/data/china/image_1917th/81312908.pdf","81312908")</f>
        <v>81312908</v>
      </c>
      <c r="F1209" s="9" t="s">
        <v>3314</v>
      </c>
      <c r="G1209" s="9" t="s">
        <v>3315</v>
      </c>
      <c r="H1209" s="12" t="s">
        <v>3316</v>
      </c>
      <c r="I1209" s="10">
        <v>45576</v>
      </c>
    </row>
    <row r="1210" spans="1:9" x14ac:dyDescent="0.15">
      <c r="A1210" s="9">
        <v>1209</v>
      </c>
      <c r="B1210" s="9" t="s">
        <v>9</v>
      </c>
      <c r="C1210" s="9">
        <v>1917</v>
      </c>
      <c r="D1210" s="10">
        <v>45653</v>
      </c>
      <c r="E1210" s="9" t="str">
        <f>+HYPERLINK("http://trademark.i-assist.jp/data/china/image_1917th/81313533.pdf","81313533")</f>
        <v>81313533</v>
      </c>
      <c r="F1210" s="9" t="s">
        <v>3317</v>
      </c>
      <c r="G1210" s="12" t="s">
        <v>3318</v>
      </c>
      <c r="H1210" s="12" t="s">
        <v>3319</v>
      </c>
      <c r="I1210" s="10">
        <v>45576</v>
      </c>
    </row>
    <row r="1211" spans="1:9" x14ac:dyDescent="0.15">
      <c r="A1211" s="9">
        <v>1210</v>
      </c>
      <c r="B1211" s="9" t="s">
        <v>9</v>
      </c>
      <c r="C1211" s="9">
        <v>1917</v>
      </c>
      <c r="D1211" s="10">
        <v>45653</v>
      </c>
      <c r="E1211" s="9" t="str">
        <f>+HYPERLINK("http://trademark.i-assist.jp/data/china/image_1917th/81313539.pdf","81313539")</f>
        <v>81313539</v>
      </c>
      <c r="F1211" s="9" t="s">
        <v>3320</v>
      </c>
      <c r="G1211" s="12" t="s">
        <v>3321</v>
      </c>
      <c r="H1211" s="12" t="s">
        <v>3322</v>
      </c>
      <c r="I1211" s="10">
        <v>45576</v>
      </c>
    </row>
    <row r="1212" spans="1:9" x14ac:dyDescent="0.15">
      <c r="A1212" s="9">
        <v>1211</v>
      </c>
      <c r="B1212" s="9" t="s">
        <v>9</v>
      </c>
      <c r="C1212" s="9">
        <v>1917</v>
      </c>
      <c r="D1212" s="10">
        <v>45653</v>
      </c>
      <c r="E1212" s="9" t="str">
        <f>+HYPERLINK("http://trademark.i-assist.jp/data/china/image_1917th/81314032.pdf","81314032")</f>
        <v>81314032</v>
      </c>
      <c r="F1212" s="9" t="s">
        <v>3323</v>
      </c>
      <c r="G1212" s="9" t="s">
        <v>3324</v>
      </c>
      <c r="H1212" s="9" t="s">
        <v>3325</v>
      </c>
      <c r="I1212" s="10">
        <v>45576</v>
      </c>
    </row>
    <row r="1213" spans="1:9" x14ac:dyDescent="0.15">
      <c r="A1213" s="9">
        <v>1212</v>
      </c>
      <c r="B1213" s="9" t="s">
        <v>9</v>
      </c>
      <c r="C1213" s="9">
        <v>1917</v>
      </c>
      <c r="D1213" s="10">
        <v>45653</v>
      </c>
      <c r="E1213" s="9" t="str">
        <f>+HYPERLINK("http://trademark.i-assist.jp/data/china/image_1917th/81314425.pdf","81314425")</f>
        <v>81314425</v>
      </c>
      <c r="F1213" s="12" t="s">
        <v>3326</v>
      </c>
      <c r="G1213" s="9" t="s">
        <v>3183</v>
      </c>
      <c r="H1213" s="12" t="s">
        <v>3327</v>
      </c>
      <c r="I1213" s="10">
        <v>45576</v>
      </c>
    </row>
    <row r="1214" spans="1:9" x14ac:dyDescent="0.15">
      <c r="A1214" s="9">
        <v>1213</v>
      </c>
      <c r="B1214" s="9" t="s">
        <v>9</v>
      </c>
      <c r="C1214" s="9">
        <v>1917</v>
      </c>
      <c r="D1214" s="10">
        <v>45653</v>
      </c>
      <c r="E1214" s="9" t="str">
        <f>+HYPERLINK("http://trademark.i-assist.jp/data/china/image_1917th/81314632.pdf","81314632")</f>
        <v>81314632</v>
      </c>
      <c r="F1214" s="9" t="s">
        <v>3328</v>
      </c>
      <c r="G1214" s="9" t="s">
        <v>3329</v>
      </c>
      <c r="H1214" s="9" t="s">
        <v>3330</v>
      </c>
      <c r="I1214" s="10">
        <v>45576</v>
      </c>
    </row>
    <row r="1215" spans="1:9" x14ac:dyDescent="0.15">
      <c r="A1215" s="9">
        <v>1214</v>
      </c>
      <c r="B1215" s="9" t="s">
        <v>9</v>
      </c>
      <c r="C1215" s="9">
        <v>1917</v>
      </c>
      <c r="D1215" s="10">
        <v>45653</v>
      </c>
      <c r="E1215" s="9" t="str">
        <f>+HYPERLINK("http://trademark.i-assist.jp/data/china/image_1917th/81314833.pdf","81314833")</f>
        <v>81314833</v>
      </c>
      <c r="F1215" s="12" t="s">
        <v>3331</v>
      </c>
      <c r="G1215" s="9" t="s">
        <v>3180</v>
      </c>
      <c r="H1215" s="9" t="s">
        <v>3332</v>
      </c>
      <c r="I1215" s="10">
        <v>45576</v>
      </c>
    </row>
    <row r="1216" spans="1:9" x14ac:dyDescent="0.15">
      <c r="A1216" s="9">
        <v>1215</v>
      </c>
      <c r="B1216" s="9" t="s">
        <v>9</v>
      </c>
      <c r="C1216" s="9">
        <v>1917</v>
      </c>
      <c r="D1216" s="10">
        <v>45653</v>
      </c>
      <c r="E1216" s="9" t="str">
        <f>+HYPERLINK("http://trademark.i-assist.jp/data/china/image_1917th/81315119.pdf","81315119")</f>
        <v>81315119</v>
      </c>
      <c r="F1216" s="9" t="s">
        <v>3333</v>
      </c>
      <c r="G1216" s="12" t="s">
        <v>3334</v>
      </c>
      <c r="H1216" s="9" t="s">
        <v>3335</v>
      </c>
      <c r="I1216" s="10">
        <v>45576</v>
      </c>
    </row>
    <row r="1217" spans="1:9" x14ac:dyDescent="0.15">
      <c r="A1217" s="9">
        <v>1216</v>
      </c>
      <c r="B1217" s="9" t="s">
        <v>9</v>
      </c>
      <c r="C1217" s="9">
        <v>1917</v>
      </c>
      <c r="D1217" s="10">
        <v>45653</v>
      </c>
      <c r="E1217" s="9" t="str">
        <f>+HYPERLINK("http://trademark.i-assist.jp/data/china/image_1917th/81315221.pdf","81315221")</f>
        <v>81315221</v>
      </c>
      <c r="F1217" s="12" t="s">
        <v>12</v>
      </c>
      <c r="G1217" s="9" t="s">
        <v>3336</v>
      </c>
      <c r="H1217" s="12" t="s">
        <v>3337</v>
      </c>
      <c r="I1217" s="10">
        <v>45576</v>
      </c>
    </row>
    <row r="1218" spans="1:9" x14ac:dyDescent="0.15">
      <c r="A1218" s="9">
        <v>1217</v>
      </c>
      <c r="B1218" s="9" t="s">
        <v>9</v>
      </c>
      <c r="C1218" s="9">
        <v>1917</v>
      </c>
      <c r="D1218" s="10">
        <v>45653</v>
      </c>
      <c r="E1218" s="9" t="str">
        <f>+HYPERLINK("http://trademark.i-assist.jp/data/china/image_1917th/81315231.pdf","81315231")</f>
        <v>81315231</v>
      </c>
      <c r="F1218" s="9" t="s">
        <v>3338</v>
      </c>
      <c r="G1218" s="12" t="s">
        <v>3339</v>
      </c>
      <c r="H1218" s="9" t="s">
        <v>3340</v>
      </c>
      <c r="I1218" s="10">
        <v>45576</v>
      </c>
    </row>
    <row r="1219" spans="1:9" x14ac:dyDescent="0.15">
      <c r="A1219" s="9">
        <v>1218</v>
      </c>
      <c r="B1219" s="9" t="s">
        <v>9</v>
      </c>
      <c r="C1219" s="9">
        <v>1917</v>
      </c>
      <c r="D1219" s="10">
        <v>45653</v>
      </c>
      <c r="E1219" s="9" t="str">
        <f>+HYPERLINK("http://trademark.i-assist.jp/data/china/image_1917th/81315624.pdf","81315624")</f>
        <v>81315624</v>
      </c>
      <c r="F1219" s="9" t="s">
        <v>3341</v>
      </c>
      <c r="G1219" s="9" t="s">
        <v>3342</v>
      </c>
      <c r="H1219" s="9" t="s">
        <v>3343</v>
      </c>
      <c r="I1219" s="10">
        <v>45576</v>
      </c>
    </row>
    <row r="1220" spans="1:9" x14ac:dyDescent="0.15">
      <c r="A1220" s="9">
        <v>1219</v>
      </c>
      <c r="B1220" s="9" t="s">
        <v>9</v>
      </c>
      <c r="C1220" s="9">
        <v>1917</v>
      </c>
      <c r="D1220" s="10">
        <v>45653</v>
      </c>
      <c r="E1220" s="9" t="str">
        <f>+HYPERLINK("http://trademark.i-assist.jp/data/china/image_1917th/81316958.pdf","81316958")</f>
        <v>81316958</v>
      </c>
      <c r="F1220" s="9" t="s">
        <v>3344</v>
      </c>
      <c r="G1220" s="12" t="s">
        <v>3345</v>
      </c>
      <c r="H1220" s="9" t="s">
        <v>3346</v>
      </c>
      <c r="I1220" s="10">
        <v>45576</v>
      </c>
    </row>
    <row r="1221" spans="1:9" x14ac:dyDescent="0.15">
      <c r="A1221" s="9">
        <v>1220</v>
      </c>
      <c r="B1221" s="9" t="s">
        <v>9</v>
      </c>
      <c r="C1221" s="9">
        <v>1917</v>
      </c>
      <c r="D1221" s="10">
        <v>45653</v>
      </c>
      <c r="E1221" s="9" t="str">
        <f>+HYPERLINK("http://trademark.i-assist.jp/data/china/image_1917th/81318413.pdf","81318413")</f>
        <v>81318413</v>
      </c>
      <c r="F1221" s="12" t="s">
        <v>3347</v>
      </c>
      <c r="G1221" s="12" t="s">
        <v>3348</v>
      </c>
      <c r="H1221" s="9" t="s">
        <v>3349</v>
      </c>
      <c r="I1221" s="10">
        <v>45576</v>
      </c>
    </row>
    <row r="1222" spans="1:9" x14ac:dyDescent="0.15">
      <c r="A1222" s="9">
        <v>1221</v>
      </c>
      <c r="B1222" s="9" t="s">
        <v>9</v>
      </c>
      <c r="C1222" s="9">
        <v>1917</v>
      </c>
      <c r="D1222" s="10">
        <v>45653</v>
      </c>
      <c r="E1222" s="9" t="str">
        <f>+HYPERLINK("http://trademark.i-assist.jp/data/china/image_1917th/81318441.pdf","81318441")</f>
        <v>81318441</v>
      </c>
      <c r="F1222" s="9" t="s">
        <v>3350</v>
      </c>
      <c r="G1222" s="9" t="s">
        <v>3351</v>
      </c>
      <c r="H1222" s="9" t="s">
        <v>3352</v>
      </c>
      <c r="I1222" s="10">
        <v>45576</v>
      </c>
    </row>
    <row r="1223" spans="1:9" x14ac:dyDescent="0.15">
      <c r="A1223" s="9">
        <v>1222</v>
      </c>
      <c r="B1223" s="9" t="s">
        <v>9</v>
      </c>
      <c r="C1223" s="9">
        <v>1917</v>
      </c>
      <c r="D1223" s="10">
        <v>45653</v>
      </c>
      <c r="E1223" s="9" t="str">
        <f>+HYPERLINK("http://trademark.i-assist.jp/data/china/image_1917th/81319210.pdf","81319210")</f>
        <v>81319210</v>
      </c>
      <c r="F1223" s="12" t="s">
        <v>12</v>
      </c>
      <c r="G1223" s="9" t="s">
        <v>3304</v>
      </c>
      <c r="H1223" s="9" t="s">
        <v>3353</v>
      </c>
      <c r="I1223" s="10">
        <v>45576</v>
      </c>
    </row>
    <row r="1224" spans="1:9" x14ac:dyDescent="0.15">
      <c r="A1224" s="9">
        <v>1223</v>
      </c>
      <c r="B1224" s="9" t="s">
        <v>9</v>
      </c>
      <c r="C1224" s="9">
        <v>1917</v>
      </c>
      <c r="D1224" s="10">
        <v>45653</v>
      </c>
      <c r="E1224" s="9" t="str">
        <f>+HYPERLINK("http://trademark.i-assist.jp/data/china/image_1917th/81320060.pdf","81320060")</f>
        <v>81320060</v>
      </c>
      <c r="F1224" s="12" t="s">
        <v>3354</v>
      </c>
      <c r="G1224" s="12" t="s">
        <v>3355</v>
      </c>
      <c r="H1224" s="9" t="s">
        <v>3356</v>
      </c>
      <c r="I1224" s="10">
        <v>45576</v>
      </c>
    </row>
    <row r="1225" spans="1:9" x14ac:dyDescent="0.15">
      <c r="A1225" s="9">
        <v>1224</v>
      </c>
      <c r="B1225" s="9" t="s">
        <v>9</v>
      </c>
      <c r="C1225" s="9">
        <v>1917</v>
      </c>
      <c r="D1225" s="10">
        <v>45653</v>
      </c>
      <c r="E1225" s="9" t="str">
        <f>+HYPERLINK("http://trademark.i-assist.jp/data/china/image_1917th/81320217.pdf","81320217")</f>
        <v>81320217</v>
      </c>
      <c r="F1225" s="12" t="s">
        <v>3357</v>
      </c>
      <c r="G1225" s="9" t="s">
        <v>3358</v>
      </c>
      <c r="H1225" s="9" t="s">
        <v>3359</v>
      </c>
      <c r="I1225" s="10">
        <v>45576</v>
      </c>
    </row>
    <row r="1226" spans="1:9" x14ac:dyDescent="0.15">
      <c r="A1226" s="9">
        <v>1225</v>
      </c>
      <c r="B1226" s="9" t="s">
        <v>9</v>
      </c>
      <c r="C1226" s="9">
        <v>1917</v>
      </c>
      <c r="D1226" s="10">
        <v>45653</v>
      </c>
      <c r="E1226" s="9" t="str">
        <f>+HYPERLINK("http://trademark.i-assist.jp/data/china/image_1917th/81320781.pdf","81320781")</f>
        <v>81320781</v>
      </c>
      <c r="F1226" s="9" t="s">
        <v>3341</v>
      </c>
      <c r="G1226" s="9" t="s">
        <v>3342</v>
      </c>
      <c r="H1226" s="9" t="s">
        <v>3360</v>
      </c>
      <c r="I1226" s="10">
        <v>45576</v>
      </c>
    </row>
    <row r="1227" spans="1:9" x14ac:dyDescent="0.15">
      <c r="A1227" s="9">
        <v>1226</v>
      </c>
      <c r="B1227" s="9" t="s">
        <v>9</v>
      </c>
      <c r="C1227" s="9">
        <v>1917</v>
      </c>
      <c r="D1227" s="10">
        <v>45653</v>
      </c>
      <c r="E1227" s="9" t="str">
        <f>+HYPERLINK("http://trademark.i-assist.jp/data/china/image_1917th/81320823.pdf","81320823")</f>
        <v>81320823</v>
      </c>
      <c r="F1227" s="9" t="s">
        <v>3361</v>
      </c>
      <c r="G1227" s="9" t="s">
        <v>3329</v>
      </c>
      <c r="H1227" s="9" t="s">
        <v>3362</v>
      </c>
      <c r="I1227" s="10">
        <v>45576</v>
      </c>
    </row>
    <row r="1228" spans="1:9" x14ac:dyDescent="0.15">
      <c r="A1228" s="9">
        <v>1227</v>
      </c>
      <c r="B1228" s="9" t="s">
        <v>9</v>
      </c>
      <c r="C1228" s="9">
        <v>1917</v>
      </c>
      <c r="D1228" s="10">
        <v>45653</v>
      </c>
      <c r="E1228" s="9" t="str">
        <f>+HYPERLINK("http://trademark.i-assist.jp/data/china/image_1917th/81320874.pdf","81320874")</f>
        <v>81320874</v>
      </c>
      <c r="F1228" s="9" t="s">
        <v>3363</v>
      </c>
      <c r="G1228" s="9" t="s">
        <v>3364</v>
      </c>
      <c r="H1228" s="9" t="s">
        <v>3365</v>
      </c>
      <c r="I1228" s="10">
        <v>45576</v>
      </c>
    </row>
    <row r="1229" spans="1:9" x14ac:dyDescent="0.15">
      <c r="A1229" s="9">
        <v>1228</v>
      </c>
      <c r="B1229" s="9" t="s">
        <v>9</v>
      </c>
      <c r="C1229" s="9">
        <v>1917</v>
      </c>
      <c r="D1229" s="10">
        <v>45653</v>
      </c>
      <c r="E1229" s="9" t="str">
        <f>+HYPERLINK("http://trademark.i-assist.jp/data/china/image_1917th/81321464.pdf","81321464")</f>
        <v>81321464</v>
      </c>
      <c r="F1229" s="9" t="s">
        <v>3366</v>
      </c>
      <c r="G1229" s="9" t="s">
        <v>27</v>
      </c>
      <c r="H1229" s="9" t="s">
        <v>3367</v>
      </c>
      <c r="I1229" s="10">
        <v>45576</v>
      </c>
    </row>
    <row r="1230" spans="1:9" x14ac:dyDescent="0.15">
      <c r="A1230" s="9">
        <v>1229</v>
      </c>
      <c r="B1230" s="9" t="s">
        <v>9</v>
      </c>
      <c r="C1230" s="9">
        <v>1917</v>
      </c>
      <c r="D1230" s="10">
        <v>45653</v>
      </c>
      <c r="E1230" s="9" t="str">
        <f>+HYPERLINK("http://trademark.i-assist.jp/data/china/image_1917th/81321559.pdf","81321559")</f>
        <v>81321559</v>
      </c>
      <c r="F1230" s="9" t="s">
        <v>3368</v>
      </c>
      <c r="G1230" s="9" t="s">
        <v>3369</v>
      </c>
      <c r="H1230" s="9" t="s">
        <v>3370</v>
      </c>
      <c r="I1230" s="10">
        <v>45576</v>
      </c>
    </row>
    <row r="1231" spans="1:9" x14ac:dyDescent="0.15">
      <c r="A1231" s="9">
        <v>1230</v>
      </c>
      <c r="B1231" s="9" t="s">
        <v>9</v>
      </c>
      <c r="C1231" s="9">
        <v>1917</v>
      </c>
      <c r="D1231" s="10">
        <v>45653</v>
      </c>
      <c r="E1231" s="9" t="str">
        <f>+HYPERLINK("http://trademark.i-assist.jp/data/china/image_1917th/81321730.pdf","81321730")</f>
        <v>81321730</v>
      </c>
      <c r="F1231" s="9" t="s">
        <v>3371</v>
      </c>
      <c r="G1231" s="12" t="s">
        <v>3372</v>
      </c>
      <c r="H1231" s="9" t="s">
        <v>3373</v>
      </c>
      <c r="I1231" s="10">
        <v>45576</v>
      </c>
    </row>
    <row r="1232" spans="1:9" x14ac:dyDescent="0.15">
      <c r="A1232" s="9">
        <v>1231</v>
      </c>
      <c r="B1232" s="9" t="s">
        <v>9</v>
      </c>
      <c r="C1232" s="9">
        <v>1917</v>
      </c>
      <c r="D1232" s="10">
        <v>45653</v>
      </c>
      <c r="E1232" s="9" t="str">
        <f>+HYPERLINK("http://trademark.i-assist.jp/data/china/image_1917th/81321840.pdf","81321840")</f>
        <v>81321840</v>
      </c>
      <c r="F1232" s="9" t="s">
        <v>3374</v>
      </c>
      <c r="G1232" s="9" t="s">
        <v>3375</v>
      </c>
      <c r="H1232" s="9" t="s">
        <v>3376</v>
      </c>
      <c r="I1232" s="10">
        <v>45576</v>
      </c>
    </row>
    <row r="1233" spans="1:9" x14ac:dyDescent="0.15">
      <c r="A1233" s="9">
        <v>1232</v>
      </c>
      <c r="B1233" s="9" t="s">
        <v>9</v>
      </c>
      <c r="C1233" s="9">
        <v>1917</v>
      </c>
      <c r="D1233" s="10">
        <v>45653</v>
      </c>
      <c r="E1233" s="9" t="str">
        <f>+HYPERLINK("http://trademark.i-assist.jp/data/china/image_1917th/81321886.pdf","81321886")</f>
        <v>81321886</v>
      </c>
      <c r="F1233" s="9" t="s">
        <v>3377</v>
      </c>
      <c r="G1233" s="9" t="s">
        <v>3369</v>
      </c>
      <c r="H1233" s="9" t="s">
        <v>3378</v>
      </c>
      <c r="I1233" s="10">
        <v>45576</v>
      </c>
    </row>
    <row r="1234" spans="1:9" x14ac:dyDescent="0.15">
      <c r="A1234" s="9">
        <v>1233</v>
      </c>
      <c r="B1234" s="9" t="s">
        <v>9</v>
      </c>
      <c r="C1234" s="9">
        <v>1917</v>
      </c>
      <c r="D1234" s="10">
        <v>45653</v>
      </c>
      <c r="E1234" s="9" t="str">
        <f>+HYPERLINK("http://trademark.i-assist.jp/data/china/image_1917th/81322017.pdf","81322017")</f>
        <v>81322017</v>
      </c>
      <c r="F1234" s="12" t="s">
        <v>12</v>
      </c>
      <c r="G1234" s="9" t="s">
        <v>3379</v>
      </c>
      <c r="H1234" s="9" t="s">
        <v>3380</v>
      </c>
      <c r="I1234" s="10">
        <v>45576</v>
      </c>
    </row>
    <row r="1235" spans="1:9" x14ac:dyDescent="0.15">
      <c r="A1235" s="9">
        <v>1234</v>
      </c>
      <c r="B1235" s="9" t="s">
        <v>9</v>
      </c>
      <c r="C1235" s="9">
        <v>1917</v>
      </c>
      <c r="D1235" s="10">
        <v>45653</v>
      </c>
      <c r="E1235" s="9" t="str">
        <f>+HYPERLINK("http://trademark.i-assist.jp/data/china/image_1917th/81322573.pdf","81322573")</f>
        <v>81322573</v>
      </c>
      <c r="F1235" s="12" t="s">
        <v>3381</v>
      </c>
      <c r="G1235" s="9" t="s">
        <v>3382</v>
      </c>
      <c r="H1235" s="9" t="s">
        <v>3383</v>
      </c>
      <c r="I1235" s="10">
        <v>45576</v>
      </c>
    </row>
    <row r="1236" spans="1:9" x14ac:dyDescent="0.15">
      <c r="A1236" s="9">
        <v>1235</v>
      </c>
      <c r="B1236" s="9" t="s">
        <v>9</v>
      </c>
      <c r="C1236" s="9">
        <v>1917</v>
      </c>
      <c r="D1236" s="10">
        <v>45653</v>
      </c>
      <c r="E1236" s="9" t="str">
        <f>+HYPERLINK("http://trademark.i-assist.jp/data/china/image_1917th/81322763.pdf","81322763")</f>
        <v>81322763</v>
      </c>
      <c r="F1236" s="9" t="s">
        <v>3384</v>
      </c>
      <c r="G1236" s="9" t="s">
        <v>3385</v>
      </c>
      <c r="H1236" s="9" t="s">
        <v>3386</v>
      </c>
      <c r="I1236" s="10">
        <v>45576</v>
      </c>
    </row>
    <row r="1237" spans="1:9" x14ac:dyDescent="0.15">
      <c r="A1237" s="9">
        <v>1236</v>
      </c>
      <c r="B1237" s="9" t="s">
        <v>9</v>
      </c>
      <c r="C1237" s="9">
        <v>1917</v>
      </c>
      <c r="D1237" s="10">
        <v>45653</v>
      </c>
      <c r="E1237" s="9" t="str">
        <f>+HYPERLINK("http://trademark.i-assist.jp/data/china/image_1917th/81323694.pdf","81323694")</f>
        <v>81323694</v>
      </c>
      <c r="F1237" s="9" t="s">
        <v>3387</v>
      </c>
      <c r="G1237" s="9" t="s">
        <v>3324</v>
      </c>
      <c r="H1237" s="9" t="s">
        <v>3388</v>
      </c>
      <c r="I1237" s="10">
        <v>45576</v>
      </c>
    </row>
    <row r="1238" spans="1:9" x14ac:dyDescent="0.15">
      <c r="A1238" s="9">
        <v>1237</v>
      </c>
      <c r="B1238" s="9" t="s">
        <v>9</v>
      </c>
      <c r="C1238" s="9">
        <v>1917</v>
      </c>
      <c r="D1238" s="10">
        <v>45653</v>
      </c>
      <c r="E1238" s="9" t="str">
        <f>+HYPERLINK("http://trademark.i-assist.jp/data/china/image_1917th/81323951.pdf","81323951")</f>
        <v>81323951</v>
      </c>
      <c r="F1238" s="9" t="s">
        <v>3389</v>
      </c>
      <c r="G1238" s="12" t="s">
        <v>3390</v>
      </c>
      <c r="H1238" s="9" t="s">
        <v>3391</v>
      </c>
      <c r="I1238" s="10">
        <v>45576</v>
      </c>
    </row>
    <row r="1239" spans="1:9" x14ac:dyDescent="0.15">
      <c r="A1239" s="9">
        <v>1238</v>
      </c>
      <c r="B1239" s="9" t="s">
        <v>9</v>
      </c>
      <c r="C1239" s="9">
        <v>1917</v>
      </c>
      <c r="D1239" s="10">
        <v>45653</v>
      </c>
      <c r="E1239" s="9" t="str">
        <f>+HYPERLINK("http://trademark.i-assist.jp/data/china/image_1917th/81324020.pdf","81324020")</f>
        <v>81324020</v>
      </c>
      <c r="F1239" s="9" t="s">
        <v>3392</v>
      </c>
      <c r="G1239" s="9" t="s">
        <v>3180</v>
      </c>
      <c r="H1239" s="9" t="s">
        <v>3393</v>
      </c>
      <c r="I1239" s="10">
        <v>45576</v>
      </c>
    </row>
    <row r="1240" spans="1:9" x14ac:dyDescent="0.15">
      <c r="A1240" s="9">
        <v>1239</v>
      </c>
      <c r="B1240" s="9" t="s">
        <v>9</v>
      </c>
      <c r="C1240" s="9">
        <v>1917</v>
      </c>
      <c r="D1240" s="10">
        <v>45653</v>
      </c>
      <c r="E1240" s="9" t="str">
        <f>+HYPERLINK("http://trademark.i-assist.jp/data/china/image_1917th/81324023.pdf","81324023")</f>
        <v>81324023</v>
      </c>
      <c r="F1240" s="12" t="s">
        <v>3394</v>
      </c>
      <c r="G1240" s="9" t="s">
        <v>3180</v>
      </c>
      <c r="H1240" s="9" t="s">
        <v>3395</v>
      </c>
      <c r="I1240" s="10">
        <v>45576</v>
      </c>
    </row>
    <row r="1241" spans="1:9" x14ac:dyDescent="0.15">
      <c r="A1241" s="9">
        <v>1240</v>
      </c>
      <c r="B1241" s="9" t="s">
        <v>9</v>
      </c>
      <c r="C1241" s="9">
        <v>1917</v>
      </c>
      <c r="D1241" s="10">
        <v>45653</v>
      </c>
      <c r="E1241" s="9" t="str">
        <f>+HYPERLINK("http://trademark.i-assist.jp/data/china/image_1917th/81324045.pdf","81324045")</f>
        <v>81324045</v>
      </c>
      <c r="F1241" s="9" t="s">
        <v>3396</v>
      </c>
      <c r="G1241" s="9" t="s">
        <v>3180</v>
      </c>
      <c r="H1241" s="9" t="s">
        <v>3397</v>
      </c>
      <c r="I1241" s="10">
        <v>45576</v>
      </c>
    </row>
    <row r="1242" spans="1:9" x14ac:dyDescent="0.15">
      <c r="A1242" s="9">
        <v>1241</v>
      </c>
      <c r="B1242" s="9" t="s">
        <v>9</v>
      </c>
      <c r="C1242" s="9">
        <v>1917</v>
      </c>
      <c r="D1242" s="10">
        <v>45653</v>
      </c>
      <c r="E1242" s="9" t="str">
        <f>+HYPERLINK("http://trademark.i-assist.jp/data/china/image_1917th/81324356.pdf","81324356")</f>
        <v>81324356</v>
      </c>
      <c r="F1242" s="9" t="s">
        <v>3398</v>
      </c>
      <c r="G1242" s="9" t="s">
        <v>3399</v>
      </c>
      <c r="H1242" s="9" t="s">
        <v>3400</v>
      </c>
      <c r="I1242" s="10">
        <v>45576</v>
      </c>
    </row>
    <row r="1243" spans="1:9" x14ac:dyDescent="0.15">
      <c r="A1243" s="9">
        <v>1242</v>
      </c>
      <c r="B1243" s="9" t="s">
        <v>9</v>
      </c>
      <c r="C1243" s="9">
        <v>1917</v>
      </c>
      <c r="D1243" s="10">
        <v>45653</v>
      </c>
      <c r="E1243" s="9" t="str">
        <f>+HYPERLINK("http://trademark.i-assist.jp/data/china/image_1917th/81324729.pdf","81324729")</f>
        <v>81324729</v>
      </c>
      <c r="F1243" s="12" t="s">
        <v>3401</v>
      </c>
      <c r="G1243" s="9" t="s">
        <v>3402</v>
      </c>
      <c r="H1243" s="9" t="s">
        <v>3403</v>
      </c>
      <c r="I1243" s="10">
        <v>45576</v>
      </c>
    </row>
    <row r="1244" spans="1:9" x14ac:dyDescent="0.15">
      <c r="A1244" s="9">
        <v>1243</v>
      </c>
      <c r="B1244" s="9" t="s">
        <v>9</v>
      </c>
      <c r="C1244" s="9">
        <v>1917</v>
      </c>
      <c r="D1244" s="10">
        <v>45653</v>
      </c>
      <c r="E1244" s="9" t="str">
        <f>+HYPERLINK("http://trademark.i-assist.jp/data/china/image_1917th/81325119.pdf","81325119")</f>
        <v>81325119</v>
      </c>
      <c r="F1244" s="9" t="s">
        <v>3404</v>
      </c>
      <c r="G1244" s="9" t="s">
        <v>3405</v>
      </c>
      <c r="H1244" s="12" t="s">
        <v>3406</v>
      </c>
      <c r="I1244" s="10">
        <v>45576</v>
      </c>
    </row>
    <row r="1245" spans="1:9" x14ac:dyDescent="0.15">
      <c r="A1245" s="9">
        <v>1244</v>
      </c>
      <c r="B1245" s="9" t="s">
        <v>9</v>
      </c>
      <c r="C1245" s="9">
        <v>1917</v>
      </c>
      <c r="D1245" s="10">
        <v>45653</v>
      </c>
      <c r="E1245" s="9" t="str">
        <f>+HYPERLINK("http://trademark.i-assist.jp/data/china/image_1917th/81325528.pdf","81325528")</f>
        <v>81325528</v>
      </c>
      <c r="F1245" s="9" t="s">
        <v>3407</v>
      </c>
      <c r="G1245" s="9" t="s">
        <v>3180</v>
      </c>
      <c r="H1245" s="9" t="s">
        <v>3408</v>
      </c>
      <c r="I1245" s="10">
        <v>45576</v>
      </c>
    </row>
    <row r="1246" spans="1:9" x14ac:dyDescent="0.15">
      <c r="A1246" s="9">
        <v>1245</v>
      </c>
      <c r="B1246" s="9" t="s">
        <v>9</v>
      </c>
      <c r="C1246" s="9">
        <v>1917</v>
      </c>
      <c r="D1246" s="10">
        <v>45653</v>
      </c>
      <c r="E1246" s="9" t="str">
        <f>+HYPERLINK("http://trademark.i-assist.jp/data/china/image_1917th/81325965.pdf","81325965")</f>
        <v>81325965</v>
      </c>
      <c r="F1246" s="9" t="s">
        <v>3409</v>
      </c>
      <c r="G1246" s="9" t="s">
        <v>3410</v>
      </c>
      <c r="H1246" s="9" t="s">
        <v>3411</v>
      </c>
      <c r="I1246" s="10">
        <v>45576</v>
      </c>
    </row>
    <row r="1247" spans="1:9" x14ac:dyDescent="0.15">
      <c r="A1247" s="9">
        <v>1246</v>
      </c>
      <c r="B1247" s="9" t="s">
        <v>9</v>
      </c>
      <c r="C1247" s="9">
        <v>1917</v>
      </c>
      <c r="D1247" s="10">
        <v>45653</v>
      </c>
      <c r="E1247" s="9" t="str">
        <f>+HYPERLINK("http://trademark.i-assist.jp/data/china/image_1917th/81326019.pdf","81326019")</f>
        <v>81326019</v>
      </c>
      <c r="F1247" s="9" t="s">
        <v>3412</v>
      </c>
      <c r="G1247" s="9" t="s">
        <v>3405</v>
      </c>
      <c r="H1247" s="9" t="s">
        <v>3413</v>
      </c>
      <c r="I1247" s="10">
        <v>45576</v>
      </c>
    </row>
    <row r="1248" spans="1:9" x14ac:dyDescent="0.15">
      <c r="A1248" s="9">
        <v>1247</v>
      </c>
      <c r="B1248" s="9" t="s">
        <v>9</v>
      </c>
      <c r="C1248" s="9">
        <v>1917</v>
      </c>
      <c r="D1248" s="10">
        <v>45653</v>
      </c>
      <c r="E1248" s="9" t="str">
        <f>+HYPERLINK("http://trademark.i-assist.jp/data/china/image_1917th/81326053.pdf","81326053")</f>
        <v>81326053</v>
      </c>
      <c r="F1248" s="9" t="s">
        <v>3414</v>
      </c>
      <c r="G1248" s="9" t="s">
        <v>3415</v>
      </c>
      <c r="H1248" s="9" t="s">
        <v>3416</v>
      </c>
      <c r="I1248" s="10">
        <v>45576</v>
      </c>
    </row>
    <row r="1249" spans="1:9" x14ac:dyDescent="0.15">
      <c r="A1249" s="9">
        <v>1248</v>
      </c>
      <c r="B1249" s="9" t="s">
        <v>9</v>
      </c>
      <c r="C1249" s="9">
        <v>1917</v>
      </c>
      <c r="D1249" s="10">
        <v>45653</v>
      </c>
      <c r="E1249" s="9" t="str">
        <f>+HYPERLINK("http://trademark.i-assist.jp/data/china/image_1917th/81326395.pdf","81326395")</f>
        <v>81326395</v>
      </c>
      <c r="F1249" s="12" t="s">
        <v>3417</v>
      </c>
      <c r="G1249" s="9" t="s">
        <v>3418</v>
      </c>
      <c r="H1249" s="9" t="s">
        <v>3419</v>
      </c>
      <c r="I1249" s="10">
        <v>45576</v>
      </c>
    </row>
    <row r="1250" spans="1:9" x14ac:dyDescent="0.15">
      <c r="A1250" s="9">
        <v>1249</v>
      </c>
      <c r="B1250" s="9" t="s">
        <v>9</v>
      </c>
      <c r="C1250" s="9">
        <v>1917</v>
      </c>
      <c r="D1250" s="10">
        <v>45653</v>
      </c>
      <c r="E1250" s="9" t="str">
        <f>+HYPERLINK("http://trademark.i-assist.jp/data/china/image_1917th/81327445.pdf","81327445")</f>
        <v>81327445</v>
      </c>
      <c r="F1250" s="9" t="s">
        <v>3420</v>
      </c>
      <c r="G1250" s="12" t="s">
        <v>3421</v>
      </c>
      <c r="H1250" s="9" t="s">
        <v>3422</v>
      </c>
      <c r="I1250" s="10">
        <v>45576</v>
      </c>
    </row>
    <row r="1251" spans="1:9" x14ac:dyDescent="0.15">
      <c r="A1251" s="9">
        <v>1250</v>
      </c>
      <c r="B1251" s="9" t="s">
        <v>9</v>
      </c>
      <c r="C1251" s="9">
        <v>1917</v>
      </c>
      <c r="D1251" s="10">
        <v>45653</v>
      </c>
      <c r="E1251" s="9" t="str">
        <f>+HYPERLINK("http://trademark.i-assist.jp/data/china/image_1917th/81327911.pdf","81327911")</f>
        <v>81327911</v>
      </c>
      <c r="F1251" s="9" t="s">
        <v>3423</v>
      </c>
      <c r="G1251" s="9" t="s">
        <v>3415</v>
      </c>
      <c r="H1251" s="9" t="s">
        <v>3424</v>
      </c>
      <c r="I1251" s="10">
        <v>45576</v>
      </c>
    </row>
    <row r="1252" spans="1:9" x14ac:dyDescent="0.15">
      <c r="A1252" s="9">
        <v>1251</v>
      </c>
      <c r="B1252" s="9" t="s">
        <v>9</v>
      </c>
      <c r="C1252" s="9">
        <v>1917</v>
      </c>
      <c r="D1252" s="10">
        <v>45653</v>
      </c>
      <c r="E1252" s="9" t="str">
        <f>+HYPERLINK("http://trademark.i-assist.jp/data/china/image_1917th/81327982.pdf","81327982")</f>
        <v>81327982</v>
      </c>
      <c r="F1252" s="9" t="s">
        <v>3425</v>
      </c>
      <c r="G1252" s="12" t="s">
        <v>3426</v>
      </c>
      <c r="H1252" s="12" t="s">
        <v>3427</v>
      </c>
      <c r="I1252" s="10">
        <v>45576</v>
      </c>
    </row>
    <row r="1253" spans="1:9" x14ac:dyDescent="0.15">
      <c r="A1253" s="9">
        <v>1252</v>
      </c>
      <c r="B1253" s="9" t="s">
        <v>9</v>
      </c>
      <c r="C1253" s="9">
        <v>1917</v>
      </c>
      <c r="D1253" s="10">
        <v>45653</v>
      </c>
      <c r="E1253" s="9" t="str">
        <f>+HYPERLINK("http://trademark.i-assist.jp/data/china/image_1917th/81328212.pdf","81328212")</f>
        <v>81328212</v>
      </c>
      <c r="F1253" s="12" t="s">
        <v>3428</v>
      </c>
      <c r="G1253" s="12" t="s">
        <v>3429</v>
      </c>
      <c r="H1253" s="9" t="s">
        <v>3430</v>
      </c>
      <c r="I1253" s="10">
        <v>45576</v>
      </c>
    </row>
    <row r="1254" spans="1:9" x14ac:dyDescent="0.15">
      <c r="A1254" s="9">
        <v>1253</v>
      </c>
      <c r="B1254" s="9" t="s">
        <v>9</v>
      </c>
      <c r="C1254" s="9">
        <v>1917</v>
      </c>
      <c r="D1254" s="10">
        <v>45653</v>
      </c>
      <c r="E1254" s="9" t="str">
        <f>+HYPERLINK("http://trademark.i-assist.jp/data/china/image_1917th/81328288.pdf","81328288")</f>
        <v>81328288</v>
      </c>
      <c r="F1254" s="9" t="s">
        <v>3431</v>
      </c>
      <c r="G1254" s="9" t="s">
        <v>3312</v>
      </c>
      <c r="H1254" s="9" t="s">
        <v>3432</v>
      </c>
      <c r="I1254" s="10">
        <v>45576</v>
      </c>
    </row>
    <row r="1255" spans="1:9" x14ac:dyDescent="0.15">
      <c r="A1255" s="9">
        <v>1254</v>
      </c>
      <c r="B1255" s="9" t="s">
        <v>9</v>
      </c>
      <c r="C1255" s="9">
        <v>1917</v>
      </c>
      <c r="D1255" s="10">
        <v>45653</v>
      </c>
      <c r="E1255" s="9" t="str">
        <f>+HYPERLINK("http://trademark.i-assist.jp/data/china/image_1917th/81328566.pdf","81328566")</f>
        <v>81328566</v>
      </c>
      <c r="F1255" s="9" t="s">
        <v>3433</v>
      </c>
      <c r="G1255" s="9" t="s">
        <v>3434</v>
      </c>
      <c r="H1255" s="9" t="s">
        <v>3435</v>
      </c>
      <c r="I1255" s="10">
        <v>45576</v>
      </c>
    </row>
    <row r="1256" spans="1:9" x14ac:dyDescent="0.15">
      <c r="A1256" s="9">
        <v>1255</v>
      </c>
      <c r="B1256" s="9" t="s">
        <v>9</v>
      </c>
      <c r="C1256" s="9">
        <v>1917</v>
      </c>
      <c r="D1256" s="10">
        <v>45653</v>
      </c>
      <c r="E1256" s="9" t="str">
        <f>+HYPERLINK("http://trademark.i-assist.jp/data/china/image_1917th/81328586.pdf","81328586")</f>
        <v>81328586</v>
      </c>
      <c r="F1256" s="9" t="s">
        <v>3436</v>
      </c>
      <c r="G1256" s="9" t="s">
        <v>3410</v>
      </c>
      <c r="H1256" s="9" t="s">
        <v>3437</v>
      </c>
      <c r="I1256" s="10">
        <v>45576</v>
      </c>
    </row>
    <row r="1257" spans="1:9" x14ac:dyDescent="0.15">
      <c r="A1257" s="9">
        <v>1256</v>
      </c>
      <c r="B1257" s="9" t="s">
        <v>9</v>
      </c>
      <c r="C1257" s="9">
        <v>1917</v>
      </c>
      <c r="D1257" s="10">
        <v>45653</v>
      </c>
      <c r="E1257" s="9" t="str">
        <f>+HYPERLINK("http://trademark.i-assist.jp/data/china/image_1917th/81329054.pdf","81329054")</f>
        <v>81329054</v>
      </c>
      <c r="F1257" s="12" t="s">
        <v>3438</v>
      </c>
      <c r="G1257" s="9" t="s">
        <v>3439</v>
      </c>
      <c r="H1257" s="9" t="s">
        <v>3440</v>
      </c>
      <c r="I1257" s="10">
        <v>45576</v>
      </c>
    </row>
    <row r="1258" spans="1:9" x14ac:dyDescent="0.15">
      <c r="A1258" s="9">
        <v>1257</v>
      </c>
      <c r="B1258" s="9" t="s">
        <v>9</v>
      </c>
      <c r="C1258" s="9">
        <v>1917</v>
      </c>
      <c r="D1258" s="10">
        <v>45653</v>
      </c>
      <c r="E1258" s="9" t="str">
        <f>+HYPERLINK("http://trademark.i-assist.jp/data/china/image_1917th/81329467.pdf","81329467")</f>
        <v>81329467</v>
      </c>
      <c r="F1258" s="9" t="s">
        <v>3441</v>
      </c>
      <c r="G1258" s="9" t="s">
        <v>3382</v>
      </c>
      <c r="H1258" s="9" t="s">
        <v>3442</v>
      </c>
      <c r="I1258" s="10">
        <v>45576</v>
      </c>
    </row>
    <row r="1259" spans="1:9" x14ac:dyDescent="0.15">
      <c r="A1259" s="9">
        <v>1258</v>
      </c>
      <c r="B1259" s="9" t="s">
        <v>9</v>
      </c>
      <c r="C1259" s="9">
        <v>1917</v>
      </c>
      <c r="D1259" s="10">
        <v>45653</v>
      </c>
      <c r="E1259" s="9" t="str">
        <f>+HYPERLINK("http://trademark.i-assist.jp/data/china/image_1917th/81329507.pdf","81329507")</f>
        <v>81329507</v>
      </c>
      <c r="F1259" s="9" t="s">
        <v>3443</v>
      </c>
      <c r="G1259" s="12" t="s">
        <v>3444</v>
      </c>
      <c r="H1259" s="12" t="s">
        <v>3445</v>
      </c>
      <c r="I1259" s="10">
        <v>45576</v>
      </c>
    </row>
    <row r="1260" spans="1:9" x14ac:dyDescent="0.15">
      <c r="A1260" s="9">
        <v>1259</v>
      </c>
      <c r="B1260" s="9" t="s">
        <v>9</v>
      </c>
      <c r="C1260" s="9">
        <v>1917</v>
      </c>
      <c r="D1260" s="10">
        <v>45653</v>
      </c>
      <c r="E1260" s="9" t="str">
        <f>+HYPERLINK("http://trademark.i-assist.jp/data/china/image_1917th/81329623.pdf","81329623")</f>
        <v>81329623</v>
      </c>
      <c r="F1260" s="9" t="s">
        <v>3446</v>
      </c>
      <c r="G1260" s="12" t="s">
        <v>3447</v>
      </c>
      <c r="H1260" s="9" t="s">
        <v>3448</v>
      </c>
      <c r="I1260" s="10">
        <v>45576</v>
      </c>
    </row>
    <row r="1261" spans="1:9" x14ac:dyDescent="0.15">
      <c r="A1261" s="9">
        <v>1260</v>
      </c>
      <c r="B1261" s="9" t="s">
        <v>9</v>
      </c>
      <c r="C1261" s="9">
        <v>1917</v>
      </c>
      <c r="D1261" s="10">
        <v>45653</v>
      </c>
      <c r="E1261" s="9" t="str">
        <f>+HYPERLINK("http://trademark.i-assist.jp/data/china/image_1917th/81329624.pdf","81329624")</f>
        <v>81329624</v>
      </c>
      <c r="F1261" s="9" t="s">
        <v>3449</v>
      </c>
      <c r="G1261" s="9" t="s">
        <v>3112</v>
      </c>
      <c r="H1261" s="9" t="s">
        <v>3450</v>
      </c>
      <c r="I1261" s="10">
        <v>45576</v>
      </c>
    </row>
    <row r="1262" spans="1:9" x14ac:dyDescent="0.15">
      <c r="A1262" s="9">
        <v>1261</v>
      </c>
      <c r="B1262" s="9" t="s">
        <v>9</v>
      </c>
      <c r="C1262" s="9">
        <v>1917</v>
      </c>
      <c r="D1262" s="10">
        <v>45653</v>
      </c>
      <c r="E1262" s="9" t="str">
        <f>+HYPERLINK("http://trademark.i-assist.jp/data/china/image_1917th/81330074.pdf","81330074")</f>
        <v>81330074</v>
      </c>
      <c r="F1262" s="9" t="s">
        <v>3451</v>
      </c>
      <c r="G1262" s="12" t="s">
        <v>3452</v>
      </c>
      <c r="H1262" s="9" t="s">
        <v>3453</v>
      </c>
      <c r="I1262" s="10">
        <v>45576</v>
      </c>
    </row>
    <row r="1263" spans="1:9" x14ac:dyDescent="0.15">
      <c r="A1263" s="9">
        <v>1262</v>
      </c>
      <c r="B1263" s="9" t="s">
        <v>9</v>
      </c>
      <c r="C1263" s="9">
        <v>1917</v>
      </c>
      <c r="D1263" s="10">
        <v>45653</v>
      </c>
      <c r="E1263" s="9" t="str">
        <f>+HYPERLINK("http://trademark.i-assist.jp/data/china/image_1917th/81330138.pdf","81330138")</f>
        <v>81330138</v>
      </c>
      <c r="F1263" s="9" t="s">
        <v>3454</v>
      </c>
      <c r="G1263" s="9" t="s">
        <v>3402</v>
      </c>
      <c r="H1263" s="9" t="s">
        <v>3455</v>
      </c>
      <c r="I1263" s="10">
        <v>45576</v>
      </c>
    </row>
    <row r="1264" spans="1:9" x14ac:dyDescent="0.15">
      <c r="A1264" s="9">
        <v>1263</v>
      </c>
      <c r="B1264" s="9" t="s">
        <v>9</v>
      </c>
      <c r="C1264" s="9">
        <v>1917</v>
      </c>
      <c r="D1264" s="10">
        <v>45653</v>
      </c>
      <c r="E1264" s="9" t="str">
        <f>+HYPERLINK("http://trademark.i-assist.jp/data/china/image_1917th/81331618.pdf","81331618")</f>
        <v>81331618</v>
      </c>
      <c r="F1264" s="9" t="s">
        <v>3456</v>
      </c>
      <c r="G1264" s="9" t="s">
        <v>3457</v>
      </c>
      <c r="H1264" s="9" t="s">
        <v>3458</v>
      </c>
      <c r="I1264" s="10">
        <v>45576</v>
      </c>
    </row>
    <row r="1265" spans="1:9" x14ac:dyDescent="0.15">
      <c r="A1265" s="9">
        <v>1264</v>
      </c>
      <c r="B1265" s="9" t="s">
        <v>9</v>
      </c>
      <c r="C1265" s="9">
        <v>1917</v>
      </c>
      <c r="D1265" s="10">
        <v>45653</v>
      </c>
      <c r="E1265" s="9" t="str">
        <f>+HYPERLINK("http://trademark.i-assist.jp/data/china/image_1917th/81331655.pdf","81331655")</f>
        <v>81331655</v>
      </c>
      <c r="F1265" s="12" t="s">
        <v>3459</v>
      </c>
      <c r="G1265" s="12" t="s">
        <v>3460</v>
      </c>
      <c r="H1265" s="9" t="s">
        <v>3461</v>
      </c>
      <c r="I1265" s="10">
        <v>45576</v>
      </c>
    </row>
    <row r="1266" spans="1:9" x14ac:dyDescent="0.15">
      <c r="A1266" s="9">
        <v>1265</v>
      </c>
      <c r="B1266" s="9" t="s">
        <v>9</v>
      </c>
      <c r="C1266" s="9">
        <v>1917</v>
      </c>
      <c r="D1266" s="10">
        <v>45653</v>
      </c>
      <c r="E1266" s="9" t="str">
        <f>+HYPERLINK("http://trademark.i-assist.jp/data/china/image_1917th/81331848.pdf","81331848")</f>
        <v>81331848</v>
      </c>
      <c r="F1266" s="12" t="s">
        <v>12</v>
      </c>
      <c r="G1266" s="9" t="s">
        <v>3369</v>
      </c>
      <c r="H1266" s="9" t="s">
        <v>3462</v>
      </c>
      <c r="I1266" s="10">
        <v>45576</v>
      </c>
    </row>
    <row r="1267" spans="1:9" x14ac:dyDescent="0.15">
      <c r="A1267" s="9">
        <v>1266</v>
      </c>
      <c r="B1267" s="9" t="s">
        <v>9</v>
      </c>
      <c r="C1267" s="9">
        <v>1917</v>
      </c>
      <c r="D1267" s="10">
        <v>45653</v>
      </c>
      <c r="E1267" s="9" t="str">
        <f>+HYPERLINK("http://trademark.i-assist.jp/data/china/image_1917th/81331931.pdf","81331931")</f>
        <v>81331931</v>
      </c>
      <c r="F1267" s="12" t="s">
        <v>12</v>
      </c>
      <c r="G1267" s="9" t="s">
        <v>3463</v>
      </c>
      <c r="H1267" s="9" t="s">
        <v>3464</v>
      </c>
      <c r="I1267" s="10">
        <v>45576</v>
      </c>
    </row>
    <row r="1268" spans="1:9" x14ac:dyDescent="0.15">
      <c r="A1268" s="9">
        <v>1267</v>
      </c>
      <c r="B1268" s="9" t="s">
        <v>9</v>
      </c>
      <c r="C1268" s="9">
        <v>1917</v>
      </c>
      <c r="D1268" s="10">
        <v>45653</v>
      </c>
      <c r="E1268" s="9" t="str">
        <f>+HYPERLINK("http://trademark.i-assist.jp/data/china/image_1917th/81331971.pdf","81331971")</f>
        <v>81331971</v>
      </c>
      <c r="F1268" s="9" t="s">
        <v>3465</v>
      </c>
      <c r="G1268" s="9" t="s">
        <v>3466</v>
      </c>
      <c r="H1268" s="12" t="s">
        <v>3467</v>
      </c>
      <c r="I1268" s="10">
        <v>45576</v>
      </c>
    </row>
    <row r="1269" spans="1:9" x14ac:dyDescent="0.15">
      <c r="A1269" s="9">
        <v>1268</v>
      </c>
      <c r="B1269" s="9" t="s">
        <v>9</v>
      </c>
      <c r="C1269" s="9">
        <v>1917</v>
      </c>
      <c r="D1269" s="10">
        <v>45653</v>
      </c>
      <c r="E1269" s="9" t="str">
        <f>+HYPERLINK("http://trademark.i-assist.jp/data/china/image_1917th/81332009.pdf","81332009")</f>
        <v>81332009</v>
      </c>
      <c r="F1269" s="9" t="s">
        <v>3468</v>
      </c>
      <c r="G1269" s="9" t="s">
        <v>3469</v>
      </c>
      <c r="H1269" s="9" t="s">
        <v>3470</v>
      </c>
      <c r="I1269" s="10">
        <v>45576</v>
      </c>
    </row>
    <row r="1270" spans="1:9" x14ac:dyDescent="0.15">
      <c r="A1270" s="9">
        <v>1269</v>
      </c>
      <c r="B1270" s="9" t="s">
        <v>9</v>
      </c>
      <c r="C1270" s="9">
        <v>1917</v>
      </c>
      <c r="D1270" s="10">
        <v>45653</v>
      </c>
      <c r="E1270" s="9" t="str">
        <f>+HYPERLINK("http://trademark.i-assist.jp/data/china/image_1917th/81332136.pdf","81332136")</f>
        <v>81332136</v>
      </c>
      <c r="F1270" s="12" t="s">
        <v>3471</v>
      </c>
      <c r="G1270" s="12" t="s">
        <v>3348</v>
      </c>
      <c r="H1270" s="9" t="s">
        <v>3472</v>
      </c>
      <c r="I1270" s="10">
        <v>45576</v>
      </c>
    </row>
    <row r="1271" spans="1:9" x14ac:dyDescent="0.15">
      <c r="A1271" s="9">
        <v>1270</v>
      </c>
      <c r="B1271" s="9" t="s">
        <v>9</v>
      </c>
      <c r="C1271" s="9">
        <v>1917</v>
      </c>
      <c r="D1271" s="10">
        <v>45653</v>
      </c>
      <c r="E1271" s="9" t="str">
        <f>+HYPERLINK("http://trademark.i-assist.jp/data/china/image_1917th/81332275.pdf","81332275")</f>
        <v>81332275</v>
      </c>
      <c r="F1271" s="9" t="s">
        <v>3473</v>
      </c>
      <c r="G1271" s="9" t="s">
        <v>3474</v>
      </c>
      <c r="H1271" s="9" t="s">
        <v>3475</v>
      </c>
      <c r="I1271" s="10">
        <v>45576</v>
      </c>
    </row>
    <row r="1272" spans="1:9" x14ac:dyDescent="0.15">
      <c r="A1272" s="9">
        <v>1271</v>
      </c>
      <c r="B1272" s="9" t="s">
        <v>9</v>
      </c>
      <c r="C1272" s="9">
        <v>1917</v>
      </c>
      <c r="D1272" s="10">
        <v>45653</v>
      </c>
      <c r="E1272" s="9" t="str">
        <f>+HYPERLINK("http://trademark.i-assist.jp/data/china/image_1917th/81332540.pdf","81332540")</f>
        <v>81332540</v>
      </c>
      <c r="F1272" s="9" t="s">
        <v>3476</v>
      </c>
      <c r="G1272" s="9" t="s">
        <v>3477</v>
      </c>
      <c r="H1272" s="9" t="s">
        <v>3478</v>
      </c>
      <c r="I1272" s="10">
        <v>45576</v>
      </c>
    </row>
    <row r="1273" spans="1:9" x14ac:dyDescent="0.15">
      <c r="A1273" s="9">
        <v>1272</v>
      </c>
      <c r="B1273" s="9" t="s">
        <v>9</v>
      </c>
      <c r="C1273" s="9">
        <v>1917</v>
      </c>
      <c r="D1273" s="10">
        <v>45653</v>
      </c>
      <c r="E1273" s="9" t="str">
        <f>+HYPERLINK("http://trademark.i-assist.jp/data/china/image_1917th/81333070.pdf","81333070")</f>
        <v>81333070</v>
      </c>
      <c r="F1273" s="12" t="s">
        <v>3479</v>
      </c>
      <c r="G1273" s="9" t="s">
        <v>3410</v>
      </c>
      <c r="H1273" s="9" t="s">
        <v>3480</v>
      </c>
      <c r="I1273" s="10">
        <v>45576</v>
      </c>
    </row>
    <row r="1274" spans="1:9" x14ac:dyDescent="0.15">
      <c r="A1274" s="9">
        <v>1273</v>
      </c>
      <c r="B1274" s="9" t="s">
        <v>9</v>
      </c>
      <c r="C1274" s="9">
        <v>1917</v>
      </c>
      <c r="D1274" s="10">
        <v>45653</v>
      </c>
      <c r="E1274" s="9" t="str">
        <f>+HYPERLINK("http://trademark.i-assist.jp/data/china/image_1917th/81333091.pdf","81333091")</f>
        <v>81333091</v>
      </c>
      <c r="F1274" s="9" t="s">
        <v>3481</v>
      </c>
      <c r="G1274" s="9" t="s">
        <v>3324</v>
      </c>
      <c r="H1274" s="9" t="s">
        <v>3482</v>
      </c>
      <c r="I1274" s="10">
        <v>45576</v>
      </c>
    </row>
    <row r="1275" spans="1:9" x14ac:dyDescent="0.15">
      <c r="A1275" s="9">
        <v>1274</v>
      </c>
      <c r="B1275" s="9" t="s">
        <v>9</v>
      </c>
      <c r="C1275" s="9">
        <v>1917</v>
      </c>
      <c r="D1275" s="10">
        <v>45653</v>
      </c>
      <c r="E1275" s="9" t="str">
        <f>+HYPERLINK("http://trademark.i-assist.jp/data/china/image_1917th/81333297.pdf","81333297")</f>
        <v>81333297</v>
      </c>
      <c r="F1275" s="12" t="s">
        <v>3483</v>
      </c>
      <c r="G1275" s="9" t="s">
        <v>3309</v>
      </c>
      <c r="H1275" s="9" t="s">
        <v>3484</v>
      </c>
      <c r="I1275" s="10">
        <v>45576</v>
      </c>
    </row>
    <row r="1276" spans="1:9" x14ac:dyDescent="0.15">
      <c r="A1276" s="9">
        <v>1275</v>
      </c>
      <c r="B1276" s="9" t="s">
        <v>9</v>
      </c>
      <c r="C1276" s="9">
        <v>1917</v>
      </c>
      <c r="D1276" s="10">
        <v>45653</v>
      </c>
      <c r="E1276" s="9" t="str">
        <f>+HYPERLINK("http://trademark.i-assist.jp/data/china/image_1917th/81334267.pdf","81334267")</f>
        <v>81334267</v>
      </c>
      <c r="F1276" s="9" t="s">
        <v>3485</v>
      </c>
      <c r="G1276" s="9" t="s">
        <v>61</v>
      </c>
      <c r="H1276" s="9" t="s">
        <v>3486</v>
      </c>
      <c r="I1276" s="10">
        <v>45577</v>
      </c>
    </row>
    <row r="1277" spans="1:9" x14ac:dyDescent="0.15">
      <c r="A1277" s="9">
        <v>1276</v>
      </c>
      <c r="B1277" s="9" t="s">
        <v>9</v>
      </c>
      <c r="C1277" s="9">
        <v>1917</v>
      </c>
      <c r="D1277" s="10">
        <v>45653</v>
      </c>
      <c r="E1277" s="9" t="str">
        <f>+HYPERLINK("http://trademark.i-assist.jp/data/china/image_1917th/81334362.pdf","81334362")</f>
        <v>81334362</v>
      </c>
      <c r="F1277" s="12" t="s">
        <v>3487</v>
      </c>
      <c r="G1277" s="9" t="s">
        <v>3488</v>
      </c>
      <c r="H1277" s="9" t="s">
        <v>3489</v>
      </c>
      <c r="I1277" s="10">
        <v>45577</v>
      </c>
    </row>
    <row r="1278" spans="1:9" x14ac:dyDescent="0.15">
      <c r="A1278" s="9">
        <v>1277</v>
      </c>
      <c r="B1278" s="9" t="s">
        <v>9</v>
      </c>
      <c r="C1278" s="9">
        <v>1917</v>
      </c>
      <c r="D1278" s="10">
        <v>45653</v>
      </c>
      <c r="E1278" s="9" t="str">
        <f>+HYPERLINK("http://trademark.i-assist.jp/data/china/image_1917th/81334588.pdf","81334588")</f>
        <v>81334588</v>
      </c>
      <c r="F1278" s="9" t="s">
        <v>3490</v>
      </c>
      <c r="G1278" s="9" t="s">
        <v>3491</v>
      </c>
      <c r="H1278" s="9" t="s">
        <v>3492</v>
      </c>
      <c r="I1278" s="10">
        <v>45577</v>
      </c>
    </row>
    <row r="1279" spans="1:9" x14ac:dyDescent="0.15">
      <c r="A1279" s="9">
        <v>1278</v>
      </c>
      <c r="B1279" s="9" t="s">
        <v>9</v>
      </c>
      <c r="C1279" s="9">
        <v>1917</v>
      </c>
      <c r="D1279" s="10">
        <v>45653</v>
      </c>
      <c r="E1279" s="9" t="str">
        <f>+HYPERLINK("http://trademark.i-assist.jp/data/china/image_1917th/81334972.pdf","81334972")</f>
        <v>81334972</v>
      </c>
      <c r="F1279" s="9" t="s">
        <v>3493</v>
      </c>
      <c r="G1279" s="9" t="s">
        <v>3494</v>
      </c>
      <c r="H1279" s="9" t="s">
        <v>3495</v>
      </c>
      <c r="I1279" s="10">
        <v>45577</v>
      </c>
    </row>
    <row r="1280" spans="1:9" x14ac:dyDescent="0.15">
      <c r="A1280" s="9">
        <v>1279</v>
      </c>
      <c r="B1280" s="9" t="s">
        <v>9</v>
      </c>
      <c r="C1280" s="9">
        <v>1917</v>
      </c>
      <c r="D1280" s="10">
        <v>45653</v>
      </c>
      <c r="E1280" s="9" t="str">
        <f>+HYPERLINK("http://trademark.i-assist.jp/data/china/image_1917th/81335068.pdf","81335068")</f>
        <v>81335068</v>
      </c>
      <c r="F1280" s="9" t="s">
        <v>3496</v>
      </c>
      <c r="G1280" s="12" t="s">
        <v>3497</v>
      </c>
      <c r="H1280" s="9" t="s">
        <v>3498</v>
      </c>
      <c r="I1280" s="10">
        <v>45577</v>
      </c>
    </row>
    <row r="1281" spans="1:9" x14ac:dyDescent="0.15">
      <c r="A1281" s="9">
        <v>1280</v>
      </c>
      <c r="B1281" s="9" t="s">
        <v>9</v>
      </c>
      <c r="C1281" s="9">
        <v>1917</v>
      </c>
      <c r="D1281" s="10">
        <v>45653</v>
      </c>
      <c r="E1281" s="9" t="str">
        <f>+HYPERLINK("http://trademark.i-assist.jp/data/china/image_1917th/81335093.pdf","81335093")</f>
        <v>81335093</v>
      </c>
      <c r="F1281" s="9" t="s">
        <v>3499</v>
      </c>
      <c r="G1281" s="9" t="s">
        <v>3500</v>
      </c>
      <c r="H1281" s="9" t="s">
        <v>3501</v>
      </c>
      <c r="I1281" s="10">
        <v>45577</v>
      </c>
    </row>
    <row r="1282" spans="1:9" x14ac:dyDescent="0.15">
      <c r="A1282" s="9">
        <v>1281</v>
      </c>
      <c r="B1282" s="9" t="s">
        <v>9</v>
      </c>
      <c r="C1282" s="9">
        <v>1917</v>
      </c>
      <c r="D1282" s="10">
        <v>45653</v>
      </c>
      <c r="E1282" s="9" t="str">
        <f>+HYPERLINK("http://trademark.i-assist.jp/data/china/image_1917th/81335187.pdf","81335187")</f>
        <v>81335187</v>
      </c>
      <c r="F1282" s="9" t="s">
        <v>3502</v>
      </c>
      <c r="G1282" s="9" t="s">
        <v>3503</v>
      </c>
      <c r="H1282" s="9" t="s">
        <v>3504</v>
      </c>
      <c r="I1282" s="10">
        <v>45577</v>
      </c>
    </row>
    <row r="1283" spans="1:9" x14ac:dyDescent="0.15">
      <c r="A1283" s="9">
        <v>1282</v>
      </c>
      <c r="B1283" s="9" t="s">
        <v>9</v>
      </c>
      <c r="C1283" s="9">
        <v>1917</v>
      </c>
      <c r="D1283" s="10">
        <v>45653</v>
      </c>
      <c r="E1283" s="9" t="str">
        <f>+HYPERLINK("http://trademark.i-assist.jp/data/china/image_1917th/81335957.pdf","81335957")</f>
        <v>81335957</v>
      </c>
      <c r="F1283" s="9" t="s">
        <v>3505</v>
      </c>
      <c r="G1283" s="12" t="s">
        <v>3506</v>
      </c>
      <c r="H1283" s="9" t="s">
        <v>3507</v>
      </c>
      <c r="I1283" s="10">
        <v>45577</v>
      </c>
    </row>
    <row r="1284" spans="1:9" x14ac:dyDescent="0.15">
      <c r="A1284" s="9">
        <v>1283</v>
      </c>
      <c r="B1284" s="9" t="s">
        <v>9</v>
      </c>
      <c r="C1284" s="9">
        <v>1917</v>
      </c>
      <c r="D1284" s="10">
        <v>45653</v>
      </c>
      <c r="E1284" s="9" t="str">
        <f>+HYPERLINK("http://trademark.i-assist.jp/data/china/image_1917th/81336168.pdf","81336168")</f>
        <v>81336168</v>
      </c>
      <c r="F1284" s="9" t="s">
        <v>3508</v>
      </c>
      <c r="G1284" s="12" t="s">
        <v>3509</v>
      </c>
      <c r="H1284" s="9" t="s">
        <v>3510</v>
      </c>
      <c r="I1284" s="10">
        <v>45577</v>
      </c>
    </row>
    <row r="1285" spans="1:9" x14ac:dyDescent="0.15">
      <c r="A1285" s="9">
        <v>1284</v>
      </c>
      <c r="B1285" s="9" t="s">
        <v>9</v>
      </c>
      <c r="C1285" s="9">
        <v>1917</v>
      </c>
      <c r="D1285" s="10">
        <v>45653</v>
      </c>
      <c r="E1285" s="9" t="str">
        <f>+HYPERLINK("http://trademark.i-assist.jp/data/china/image_1917th/81336825.pdf","81336825")</f>
        <v>81336825</v>
      </c>
      <c r="F1285" s="9" t="s">
        <v>3511</v>
      </c>
      <c r="G1285" s="9" t="s">
        <v>3512</v>
      </c>
      <c r="H1285" s="9" t="s">
        <v>3513</v>
      </c>
      <c r="I1285" s="10">
        <v>45577</v>
      </c>
    </row>
    <row r="1286" spans="1:9" x14ac:dyDescent="0.15">
      <c r="A1286" s="9">
        <v>1285</v>
      </c>
      <c r="B1286" s="9" t="s">
        <v>9</v>
      </c>
      <c r="C1286" s="9">
        <v>1917</v>
      </c>
      <c r="D1286" s="10">
        <v>45653</v>
      </c>
      <c r="E1286" s="9" t="str">
        <f>+HYPERLINK("http://trademark.i-assist.jp/data/china/image_1917th/81336832.pdf","81336832")</f>
        <v>81336832</v>
      </c>
      <c r="F1286" s="9" t="s">
        <v>3514</v>
      </c>
      <c r="G1286" s="9" t="s">
        <v>3515</v>
      </c>
      <c r="H1286" s="9" t="s">
        <v>3516</v>
      </c>
      <c r="I1286" s="10">
        <v>45577</v>
      </c>
    </row>
    <row r="1287" spans="1:9" x14ac:dyDescent="0.15">
      <c r="A1287" s="9">
        <v>1286</v>
      </c>
      <c r="B1287" s="9" t="s">
        <v>9</v>
      </c>
      <c r="C1287" s="9">
        <v>1917</v>
      </c>
      <c r="D1287" s="10">
        <v>45653</v>
      </c>
      <c r="E1287" s="9" t="str">
        <f>+HYPERLINK("http://trademark.i-assist.jp/data/china/image_1917th/81337052.pdf","81337052")</f>
        <v>81337052</v>
      </c>
      <c r="F1287" s="12" t="s">
        <v>3517</v>
      </c>
      <c r="G1287" s="9" t="s">
        <v>3518</v>
      </c>
      <c r="H1287" s="9" t="s">
        <v>3519</v>
      </c>
      <c r="I1287" s="10">
        <v>45577</v>
      </c>
    </row>
    <row r="1288" spans="1:9" x14ac:dyDescent="0.15">
      <c r="A1288" s="9">
        <v>1287</v>
      </c>
      <c r="B1288" s="9" t="s">
        <v>9</v>
      </c>
      <c r="C1288" s="9">
        <v>1917</v>
      </c>
      <c r="D1288" s="10">
        <v>45653</v>
      </c>
      <c r="E1288" s="9" t="str">
        <f>+HYPERLINK("http://trademark.i-assist.jp/data/china/image_1917th/81337189.pdf","81337189")</f>
        <v>81337189</v>
      </c>
      <c r="F1288" s="9" t="s">
        <v>3520</v>
      </c>
      <c r="G1288" s="9" t="s">
        <v>3521</v>
      </c>
      <c r="H1288" s="12" t="s">
        <v>3522</v>
      </c>
      <c r="I1288" s="10">
        <v>45577</v>
      </c>
    </row>
    <row r="1289" spans="1:9" x14ac:dyDescent="0.15">
      <c r="A1289" s="9">
        <v>1288</v>
      </c>
      <c r="B1289" s="9" t="s">
        <v>9</v>
      </c>
      <c r="C1289" s="9">
        <v>1917</v>
      </c>
      <c r="D1289" s="10">
        <v>45653</v>
      </c>
      <c r="E1289" s="9" t="str">
        <f>+HYPERLINK("http://trademark.i-assist.jp/data/china/image_1917th/81337441.pdf","81337441")</f>
        <v>81337441</v>
      </c>
      <c r="F1289" s="9" t="s">
        <v>3523</v>
      </c>
      <c r="G1289" s="9" t="s">
        <v>3524</v>
      </c>
      <c r="H1289" s="9" t="s">
        <v>3525</v>
      </c>
      <c r="I1289" s="10">
        <v>45577</v>
      </c>
    </row>
    <row r="1290" spans="1:9" x14ac:dyDescent="0.15">
      <c r="A1290" s="9">
        <v>1289</v>
      </c>
      <c r="B1290" s="9" t="s">
        <v>9</v>
      </c>
      <c r="C1290" s="9">
        <v>1917</v>
      </c>
      <c r="D1290" s="10">
        <v>45653</v>
      </c>
      <c r="E1290" s="9" t="str">
        <f>+HYPERLINK("http://trademark.i-assist.jp/data/china/image_1917th/81338250.pdf","81338250")</f>
        <v>81338250</v>
      </c>
      <c r="F1290" s="9" t="s">
        <v>3526</v>
      </c>
      <c r="G1290" s="12" t="s">
        <v>3527</v>
      </c>
      <c r="H1290" s="9" t="s">
        <v>3528</v>
      </c>
      <c r="I1290" s="10">
        <v>45577</v>
      </c>
    </row>
    <row r="1291" spans="1:9" x14ac:dyDescent="0.15">
      <c r="A1291" s="9">
        <v>1290</v>
      </c>
      <c r="B1291" s="9" t="s">
        <v>9</v>
      </c>
      <c r="C1291" s="9">
        <v>1917</v>
      </c>
      <c r="D1291" s="10">
        <v>45653</v>
      </c>
      <c r="E1291" s="9" t="str">
        <f>+HYPERLINK("http://trademark.i-assist.jp/data/china/image_1917th/81338651.pdf","81338651")</f>
        <v>81338651</v>
      </c>
      <c r="F1291" s="9" t="s">
        <v>3529</v>
      </c>
      <c r="G1291" s="9" t="s">
        <v>3530</v>
      </c>
      <c r="H1291" s="9" t="s">
        <v>3531</v>
      </c>
      <c r="I1291" s="10">
        <v>45577</v>
      </c>
    </row>
    <row r="1292" spans="1:9" x14ac:dyDescent="0.15">
      <c r="A1292" s="9">
        <v>1291</v>
      </c>
      <c r="B1292" s="9" t="s">
        <v>9</v>
      </c>
      <c r="C1292" s="9">
        <v>1917</v>
      </c>
      <c r="D1292" s="10">
        <v>45653</v>
      </c>
      <c r="E1292" s="9" t="str">
        <f>+HYPERLINK("http://trademark.i-assist.jp/data/china/image_1917th/81339545.pdf","81339545")</f>
        <v>81339545</v>
      </c>
      <c r="F1292" s="12" t="s">
        <v>3532</v>
      </c>
      <c r="G1292" s="12" t="s">
        <v>3533</v>
      </c>
      <c r="H1292" s="9" t="s">
        <v>3534</v>
      </c>
      <c r="I1292" s="10">
        <v>45577</v>
      </c>
    </row>
    <row r="1293" spans="1:9" x14ac:dyDescent="0.15">
      <c r="A1293" s="9">
        <v>1292</v>
      </c>
      <c r="B1293" s="9" t="s">
        <v>9</v>
      </c>
      <c r="C1293" s="9">
        <v>1917</v>
      </c>
      <c r="D1293" s="10">
        <v>45653</v>
      </c>
      <c r="E1293" s="9" t="str">
        <f>+HYPERLINK("http://trademark.i-assist.jp/data/china/image_1917th/81339546.pdf","81339546")</f>
        <v>81339546</v>
      </c>
      <c r="F1293" s="9" t="s">
        <v>3535</v>
      </c>
      <c r="G1293" s="9" t="s">
        <v>3536</v>
      </c>
      <c r="H1293" s="12" t="s">
        <v>3537</v>
      </c>
      <c r="I1293" s="10">
        <v>45577</v>
      </c>
    </row>
    <row r="1294" spans="1:9" x14ac:dyDescent="0.15">
      <c r="A1294" s="9">
        <v>1293</v>
      </c>
      <c r="B1294" s="9" t="s">
        <v>9</v>
      </c>
      <c r="C1294" s="9">
        <v>1917</v>
      </c>
      <c r="D1294" s="10">
        <v>45653</v>
      </c>
      <c r="E1294" s="9" t="str">
        <f>+HYPERLINK("http://trademark.i-assist.jp/data/china/image_1917th/81339745.pdf","81339745")</f>
        <v>81339745</v>
      </c>
      <c r="F1294" s="9" t="s">
        <v>3538</v>
      </c>
      <c r="G1294" s="12" t="s">
        <v>3539</v>
      </c>
      <c r="H1294" s="12" t="s">
        <v>3540</v>
      </c>
      <c r="I1294" s="10">
        <v>45577</v>
      </c>
    </row>
    <row r="1295" spans="1:9" x14ac:dyDescent="0.15">
      <c r="A1295" s="9">
        <v>1294</v>
      </c>
      <c r="B1295" s="9" t="s">
        <v>9</v>
      </c>
      <c r="C1295" s="9">
        <v>1917</v>
      </c>
      <c r="D1295" s="10">
        <v>45653</v>
      </c>
      <c r="E1295" s="9" t="str">
        <f>+HYPERLINK("http://trademark.i-assist.jp/data/china/image_1917th/81340058.pdf","81340058")</f>
        <v>81340058</v>
      </c>
      <c r="F1295" s="9" t="s">
        <v>3541</v>
      </c>
      <c r="G1295" s="12" t="s">
        <v>3497</v>
      </c>
      <c r="H1295" s="9" t="s">
        <v>3542</v>
      </c>
      <c r="I1295" s="10">
        <v>45577</v>
      </c>
    </row>
    <row r="1296" spans="1:9" x14ac:dyDescent="0.15">
      <c r="A1296" s="9">
        <v>1295</v>
      </c>
      <c r="B1296" s="9" t="s">
        <v>9</v>
      </c>
      <c r="C1296" s="9">
        <v>1917</v>
      </c>
      <c r="D1296" s="10">
        <v>45653</v>
      </c>
      <c r="E1296" s="9" t="str">
        <f>+HYPERLINK("http://trademark.i-assist.jp/data/china/image_1917th/81340917.pdf","81340917")</f>
        <v>81340917</v>
      </c>
      <c r="F1296" s="9" t="s">
        <v>3543</v>
      </c>
      <c r="G1296" s="9" t="s">
        <v>3544</v>
      </c>
      <c r="H1296" s="9" t="s">
        <v>3545</v>
      </c>
      <c r="I1296" s="10">
        <v>45577</v>
      </c>
    </row>
    <row r="1297" spans="1:9" x14ac:dyDescent="0.15">
      <c r="A1297" s="9">
        <v>1296</v>
      </c>
      <c r="B1297" s="9" t="s">
        <v>9</v>
      </c>
      <c r="C1297" s="9">
        <v>1917</v>
      </c>
      <c r="D1297" s="10">
        <v>45653</v>
      </c>
      <c r="E1297" s="9" t="str">
        <f>+HYPERLINK("http://trademark.i-assist.jp/data/china/image_1917th/81340960.pdf","81340960")</f>
        <v>81340960</v>
      </c>
      <c r="F1297" s="9" t="s">
        <v>3546</v>
      </c>
      <c r="G1297" s="9" t="s">
        <v>3547</v>
      </c>
      <c r="H1297" s="9" t="s">
        <v>3548</v>
      </c>
      <c r="I1297" s="10">
        <v>45577</v>
      </c>
    </row>
    <row r="1298" spans="1:9" x14ac:dyDescent="0.15">
      <c r="A1298" s="9">
        <v>1297</v>
      </c>
      <c r="B1298" s="9" t="s">
        <v>9</v>
      </c>
      <c r="C1298" s="9">
        <v>1917</v>
      </c>
      <c r="D1298" s="10">
        <v>45653</v>
      </c>
      <c r="E1298" s="9" t="str">
        <f>+HYPERLINK("http://trademark.i-assist.jp/data/china/image_1917th/81341427.pdf","81341427")</f>
        <v>81341427</v>
      </c>
      <c r="F1298" s="9" t="s">
        <v>3549</v>
      </c>
      <c r="G1298" s="12" t="s">
        <v>3550</v>
      </c>
      <c r="H1298" s="9" t="s">
        <v>3551</v>
      </c>
      <c r="I1298" s="10">
        <v>45577</v>
      </c>
    </row>
    <row r="1299" spans="1:9" x14ac:dyDescent="0.15">
      <c r="A1299" s="9">
        <v>1298</v>
      </c>
      <c r="B1299" s="9" t="s">
        <v>9</v>
      </c>
      <c r="C1299" s="9">
        <v>1917</v>
      </c>
      <c r="D1299" s="10">
        <v>45653</v>
      </c>
      <c r="E1299" s="9" t="str">
        <f>+HYPERLINK("http://trademark.i-assist.jp/data/china/image_1917th/81341532.pdf","81341532")</f>
        <v>81341532</v>
      </c>
      <c r="F1299" s="9" t="s">
        <v>3552</v>
      </c>
      <c r="G1299" s="9" t="s">
        <v>3553</v>
      </c>
      <c r="H1299" s="9" t="s">
        <v>3554</v>
      </c>
      <c r="I1299" s="10">
        <v>45577</v>
      </c>
    </row>
    <row r="1300" spans="1:9" x14ac:dyDescent="0.15">
      <c r="A1300" s="9">
        <v>1299</v>
      </c>
      <c r="B1300" s="9" t="s">
        <v>9</v>
      </c>
      <c r="C1300" s="9">
        <v>1917</v>
      </c>
      <c r="D1300" s="10">
        <v>45653</v>
      </c>
      <c r="E1300" s="9" t="str">
        <f>+HYPERLINK("http://trademark.i-assist.jp/data/china/image_1917th/81341801.pdf","81341801")</f>
        <v>81341801</v>
      </c>
      <c r="F1300" s="9" t="s">
        <v>3555</v>
      </c>
      <c r="G1300" s="9" t="s">
        <v>3556</v>
      </c>
      <c r="H1300" s="9" t="s">
        <v>3557</v>
      </c>
      <c r="I1300" s="10">
        <v>45577</v>
      </c>
    </row>
    <row r="1301" spans="1:9" x14ac:dyDescent="0.15">
      <c r="A1301" s="9">
        <v>1300</v>
      </c>
      <c r="B1301" s="9" t="s">
        <v>9</v>
      </c>
      <c r="C1301" s="9">
        <v>1917</v>
      </c>
      <c r="D1301" s="10">
        <v>45653</v>
      </c>
      <c r="E1301" s="9" t="str">
        <f>+HYPERLINK("http://trademark.i-assist.jp/data/china/image_1917th/81341833.pdf","81341833")</f>
        <v>81341833</v>
      </c>
      <c r="F1301" s="12" t="s">
        <v>12</v>
      </c>
      <c r="G1301" s="12" t="s">
        <v>3558</v>
      </c>
      <c r="H1301" s="9" t="s">
        <v>3559</v>
      </c>
      <c r="I1301" s="10">
        <v>45577</v>
      </c>
    </row>
    <row r="1302" spans="1:9" x14ac:dyDescent="0.15">
      <c r="A1302" s="9">
        <v>1301</v>
      </c>
      <c r="B1302" s="9" t="s">
        <v>9</v>
      </c>
      <c r="C1302" s="9">
        <v>1917</v>
      </c>
      <c r="D1302" s="10">
        <v>45653</v>
      </c>
      <c r="E1302" s="9" t="str">
        <f>+HYPERLINK("http://trademark.i-assist.jp/data/china/image_1917th/81341839.pdf","81341839")</f>
        <v>81341839</v>
      </c>
      <c r="F1302" s="11" t="s">
        <v>3560</v>
      </c>
      <c r="G1302" s="9" t="s">
        <v>3561</v>
      </c>
      <c r="H1302" s="9" t="s">
        <v>3562</v>
      </c>
      <c r="I1302" s="10">
        <v>45577</v>
      </c>
    </row>
    <row r="1303" spans="1:9" x14ac:dyDescent="0.15">
      <c r="A1303" s="9">
        <v>1302</v>
      </c>
      <c r="B1303" s="9" t="s">
        <v>9</v>
      </c>
      <c r="C1303" s="9">
        <v>1917</v>
      </c>
      <c r="D1303" s="10">
        <v>45653</v>
      </c>
      <c r="E1303" s="9" t="str">
        <f>+HYPERLINK("http://trademark.i-assist.jp/data/china/image_1917th/81342063.pdf","81342063")</f>
        <v>81342063</v>
      </c>
      <c r="F1303" s="9" t="s">
        <v>3563</v>
      </c>
      <c r="G1303" s="12" t="s">
        <v>3564</v>
      </c>
      <c r="H1303" s="9" t="s">
        <v>3565</v>
      </c>
      <c r="I1303" s="10">
        <v>45577</v>
      </c>
    </row>
    <row r="1304" spans="1:9" x14ac:dyDescent="0.15">
      <c r="A1304" s="9">
        <v>1303</v>
      </c>
      <c r="B1304" s="9" t="s">
        <v>9</v>
      </c>
      <c r="C1304" s="9">
        <v>1917</v>
      </c>
      <c r="D1304" s="10">
        <v>45653</v>
      </c>
      <c r="E1304" s="9" t="str">
        <f>+HYPERLINK("http://trademark.i-assist.jp/data/china/image_1917th/81342748.pdf","81342748")</f>
        <v>81342748</v>
      </c>
      <c r="F1304" s="11" t="s">
        <v>3566</v>
      </c>
      <c r="G1304" s="9" t="s">
        <v>3567</v>
      </c>
      <c r="H1304" s="12" t="s">
        <v>3568</v>
      </c>
      <c r="I1304" s="10">
        <v>45577</v>
      </c>
    </row>
    <row r="1305" spans="1:9" x14ac:dyDescent="0.15">
      <c r="A1305" s="9">
        <v>1304</v>
      </c>
      <c r="B1305" s="9" t="s">
        <v>9</v>
      </c>
      <c r="C1305" s="9">
        <v>1917</v>
      </c>
      <c r="D1305" s="10">
        <v>45653</v>
      </c>
      <c r="E1305" s="9" t="str">
        <f>+HYPERLINK("http://trademark.i-assist.jp/data/china/image_1917th/81343179.pdf","81343179")</f>
        <v>81343179</v>
      </c>
      <c r="F1305" s="9" t="s">
        <v>3569</v>
      </c>
      <c r="G1305" s="12" t="s">
        <v>3570</v>
      </c>
      <c r="H1305" s="9" t="s">
        <v>3571</v>
      </c>
      <c r="I1305" s="10">
        <v>45577</v>
      </c>
    </row>
    <row r="1306" spans="1:9" x14ac:dyDescent="0.15">
      <c r="A1306" s="9">
        <v>1305</v>
      </c>
      <c r="B1306" s="9" t="s">
        <v>9</v>
      </c>
      <c r="C1306" s="9">
        <v>1917</v>
      </c>
      <c r="D1306" s="10">
        <v>45653</v>
      </c>
      <c r="E1306" s="9" t="str">
        <f>+HYPERLINK("http://trademark.i-assist.jp/data/china/image_1917th/81343351.pdf","81343351")</f>
        <v>81343351</v>
      </c>
      <c r="F1306" s="9" t="s">
        <v>3572</v>
      </c>
      <c r="G1306" s="9" t="s">
        <v>3573</v>
      </c>
      <c r="H1306" s="9" t="s">
        <v>3574</v>
      </c>
      <c r="I1306" s="10">
        <v>45577</v>
      </c>
    </row>
    <row r="1307" spans="1:9" x14ac:dyDescent="0.15">
      <c r="A1307" s="9">
        <v>1306</v>
      </c>
      <c r="B1307" s="9" t="s">
        <v>9</v>
      </c>
      <c r="C1307" s="9">
        <v>1917</v>
      </c>
      <c r="D1307" s="10">
        <v>45653</v>
      </c>
      <c r="E1307" s="9" t="str">
        <f>+HYPERLINK("http://trademark.i-assist.jp/data/china/image_1917th/81344147.pdf","81344147")</f>
        <v>81344147</v>
      </c>
      <c r="F1307" s="9" t="s">
        <v>3575</v>
      </c>
      <c r="G1307" s="9" t="s">
        <v>3576</v>
      </c>
      <c r="H1307" s="12" t="s">
        <v>3577</v>
      </c>
      <c r="I1307" s="10">
        <v>45577</v>
      </c>
    </row>
    <row r="1308" spans="1:9" x14ac:dyDescent="0.15">
      <c r="A1308" s="9">
        <v>1307</v>
      </c>
      <c r="B1308" s="9" t="s">
        <v>9</v>
      </c>
      <c r="C1308" s="9">
        <v>1917</v>
      </c>
      <c r="D1308" s="10">
        <v>45653</v>
      </c>
      <c r="E1308" s="9" t="str">
        <f>+HYPERLINK("http://trademark.i-assist.jp/data/china/image_1917th/81345154.pdf","81345154")</f>
        <v>81345154</v>
      </c>
      <c r="F1308" s="9" t="s">
        <v>3578</v>
      </c>
      <c r="G1308" s="12" t="s">
        <v>3579</v>
      </c>
      <c r="H1308" s="9" t="s">
        <v>3580</v>
      </c>
      <c r="I1308" s="10">
        <v>45577</v>
      </c>
    </row>
    <row r="1309" spans="1:9" x14ac:dyDescent="0.15">
      <c r="A1309" s="9">
        <v>1308</v>
      </c>
      <c r="B1309" s="9" t="s">
        <v>9</v>
      </c>
      <c r="C1309" s="9">
        <v>1917</v>
      </c>
      <c r="D1309" s="10">
        <v>45653</v>
      </c>
      <c r="E1309" s="9" t="str">
        <f>+HYPERLINK("http://trademark.i-assist.jp/data/china/image_1917th/81345477.pdf","81345477")</f>
        <v>81345477</v>
      </c>
      <c r="F1309" s="12" t="s">
        <v>12</v>
      </c>
      <c r="G1309" s="9" t="s">
        <v>3405</v>
      </c>
      <c r="H1309" s="9" t="s">
        <v>3581</v>
      </c>
      <c r="I1309" s="10">
        <v>45577</v>
      </c>
    </row>
    <row r="1310" spans="1:9" x14ac:dyDescent="0.15">
      <c r="A1310" s="9">
        <v>1309</v>
      </c>
      <c r="B1310" s="9" t="s">
        <v>9</v>
      </c>
      <c r="C1310" s="9">
        <v>1917</v>
      </c>
      <c r="D1310" s="10">
        <v>45653</v>
      </c>
      <c r="E1310" s="9" t="str">
        <f>+HYPERLINK("http://trademark.i-assist.jp/data/china/image_1917th/81346199.pdf","81346199")</f>
        <v>81346199</v>
      </c>
      <c r="F1310" s="9" t="s">
        <v>3582</v>
      </c>
      <c r="G1310" s="9" t="s">
        <v>3583</v>
      </c>
      <c r="H1310" s="9" t="s">
        <v>3584</v>
      </c>
      <c r="I1310" s="10">
        <v>45577</v>
      </c>
    </row>
    <row r="1311" spans="1:9" x14ac:dyDescent="0.15">
      <c r="A1311" s="9">
        <v>1310</v>
      </c>
      <c r="B1311" s="9" t="s">
        <v>9</v>
      </c>
      <c r="C1311" s="9">
        <v>1917</v>
      </c>
      <c r="D1311" s="10">
        <v>45653</v>
      </c>
      <c r="E1311" s="9" t="str">
        <f>+HYPERLINK("http://trademark.i-assist.jp/data/china/image_1917th/81346428.pdf","81346428")</f>
        <v>81346428</v>
      </c>
      <c r="F1311" s="9" t="s">
        <v>3585</v>
      </c>
      <c r="G1311" s="9" t="s">
        <v>3586</v>
      </c>
      <c r="H1311" s="12" t="s">
        <v>3587</v>
      </c>
      <c r="I1311" s="10">
        <v>45577</v>
      </c>
    </row>
    <row r="1312" spans="1:9" x14ac:dyDescent="0.15">
      <c r="A1312" s="9">
        <v>1311</v>
      </c>
      <c r="B1312" s="9" t="s">
        <v>9</v>
      </c>
      <c r="C1312" s="9">
        <v>1917</v>
      </c>
      <c r="D1312" s="10">
        <v>45653</v>
      </c>
      <c r="E1312" s="9" t="str">
        <f>+HYPERLINK("http://trademark.i-assist.jp/data/china/image_1917th/81346653.pdf","81346653")</f>
        <v>81346653</v>
      </c>
      <c r="F1312" s="9" t="s">
        <v>3588</v>
      </c>
      <c r="G1312" s="9" t="s">
        <v>3589</v>
      </c>
      <c r="H1312" s="9" t="s">
        <v>3590</v>
      </c>
      <c r="I1312" s="10">
        <v>45577</v>
      </c>
    </row>
    <row r="1313" spans="1:9" x14ac:dyDescent="0.15">
      <c r="A1313" s="9">
        <v>1312</v>
      </c>
      <c r="B1313" s="9" t="s">
        <v>9</v>
      </c>
      <c r="C1313" s="9">
        <v>1917</v>
      </c>
      <c r="D1313" s="10">
        <v>45653</v>
      </c>
      <c r="E1313" s="9" t="str">
        <f>+HYPERLINK("http://trademark.i-assist.jp/data/china/image_1917th/81346658.pdf","81346658")</f>
        <v>81346658</v>
      </c>
      <c r="F1313" s="9" t="s">
        <v>3591</v>
      </c>
      <c r="G1313" s="9" t="s">
        <v>3592</v>
      </c>
      <c r="H1313" s="9" t="s">
        <v>3593</v>
      </c>
      <c r="I1313" s="10">
        <v>45577</v>
      </c>
    </row>
    <row r="1314" spans="1:9" x14ac:dyDescent="0.15">
      <c r="A1314" s="9">
        <v>1313</v>
      </c>
      <c r="B1314" s="9" t="s">
        <v>9</v>
      </c>
      <c r="C1314" s="9">
        <v>1917</v>
      </c>
      <c r="D1314" s="10">
        <v>45653</v>
      </c>
      <c r="E1314" s="9" t="str">
        <f>+HYPERLINK("http://trademark.i-assist.jp/data/china/image_1917th/81347070.pdf","81347070")</f>
        <v>81347070</v>
      </c>
      <c r="F1314" s="9" t="s">
        <v>3594</v>
      </c>
      <c r="G1314" s="9" t="s">
        <v>3595</v>
      </c>
      <c r="H1314" s="12" t="s">
        <v>3596</v>
      </c>
      <c r="I1314" s="10">
        <v>45577</v>
      </c>
    </row>
    <row r="1315" spans="1:9" x14ac:dyDescent="0.15">
      <c r="A1315" s="9">
        <v>1314</v>
      </c>
      <c r="B1315" s="9" t="s">
        <v>9</v>
      </c>
      <c r="C1315" s="9">
        <v>1917</v>
      </c>
      <c r="D1315" s="10">
        <v>45653</v>
      </c>
      <c r="E1315" s="9" t="str">
        <f>+HYPERLINK("http://trademark.i-assist.jp/data/china/image_1917th/81347557.pdf","81347557")</f>
        <v>81347557</v>
      </c>
      <c r="F1315" s="9" t="s">
        <v>3597</v>
      </c>
      <c r="G1315" s="9" t="s">
        <v>3583</v>
      </c>
      <c r="H1315" s="9" t="s">
        <v>3598</v>
      </c>
      <c r="I1315" s="10">
        <v>45577</v>
      </c>
    </row>
    <row r="1316" spans="1:9" x14ac:dyDescent="0.15">
      <c r="A1316" s="9">
        <v>1315</v>
      </c>
      <c r="B1316" s="9" t="s">
        <v>9</v>
      </c>
      <c r="C1316" s="9">
        <v>1917</v>
      </c>
      <c r="D1316" s="10">
        <v>45653</v>
      </c>
      <c r="E1316" s="9" t="str">
        <f>+HYPERLINK("http://trademark.i-assist.jp/data/china/image_1917th/81347594.pdf","81347594")</f>
        <v>81347594</v>
      </c>
      <c r="F1316" s="9" t="s">
        <v>3599</v>
      </c>
      <c r="G1316" s="9" t="s">
        <v>3600</v>
      </c>
      <c r="H1316" s="9" t="s">
        <v>3601</v>
      </c>
      <c r="I1316" s="10">
        <v>45577</v>
      </c>
    </row>
    <row r="1317" spans="1:9" x14ac:dyDescent="0.15">
      <c r="A1317" s="9">
        <v>1316</v>
      </c>
      <c r="B1317" s="9" t="s">
        <v>9</v>
      </c>
      <c r="C1317" s="9">
        <v>1917</v>
      </c>
      <c r="D1317" s="10">
        <v>45653</v>
      </c>
      <c r="E1317" s="9" t="str">
        <f>+HYPERLINK("http://trademark.i-assist.jp/data/china/image_1917th/81348372.pdf","81348372")</f>
        <v>81348372</v>
      </c>
      <c r="F1317" s="9" t="s">
        <v>3602</v>
      </c>
      <c r="G1317" s="9" t="s">
        <v>3603</v>
      </c>
      <c r="H1317" s="9" t="s">
        <v>3604</v>
      </c>
      <c r="I1317" s="10">
        <v>45577</v>
      </c>
    </row>
    <row r="1318" spans="1:9" x14ac:dyDescent="0.15">
      <c r="A1318" s="9">
        <v>1317</v>
      </c>
      <c r="B1318" s="9" t="s">
        <v>9</v>
      </c>
      <c r="C1318" s="9">
        <v>1917</v>
      </c>
      <c r="D1318" s="10">
        <v>45653</v>
      </c>
      <c r="E1318" s="9" t="str">
        <f>+HYPERLINK("http://trademark.i-assist.jp/data/china/image_1917th/81348540.pdf","81348540")</f>
        <v>81348540</v>
      </c>
      <c r="F1318" s="9" t="s">
        <v>3605</v>
      </c>
      <c r="G1318" s="9" t="s">
        <v>3606</v>
      </c>
      <c r="H1318" s="12" t="s">
        <v>3607</v>
      </c>
      <c r="I1318" s="10">
        <v>45577</v>
      </c>
    </row>
    <row r="1319" spans="1:9" x14ac:dyDescent="0.15">
      <c r="A1319" s="9">
        <v>1318</v>
      </c>
      <c r="B1319" s="9" t="s">
        <v>9</v>
      </c>
      <c r="C1319" s="9">
        <v>1917</v>
      </c>
      <c r="D1319" s="10">
        <v>45653</v>
      </c>
      <c r="E1319" s="9" t="str">
        <f>+HYPERLINK("http://trademark.i-assist.jp/data/china/image_1917th/81349116.pdf","81349116")</f>
        <v>81349116</v>
      </c>
      <c r="F1319" s="9" t="s">
        <v>3608</v>
      </c>
      <c r="G1319" s="9" t="s">
        <v>3609</v>
      </c>
      <c r="H1319" s="9" t="s">
        <v>3610</v>
      </c>
      <c r="I1319" s="10">
        <v>45577</v>
      </c>
    </row>
    <row r="1320" spans="1:9" x14ac:dyDescent="0.15">
      <c r="A1320" s="9">
        <v>1319</v>
      </c>
      <c r="B1320" s="9" t="s">
        <v>9</v>
      </c>
      <c r="C1320" s="9">
        <v>1917</v>
      </c>
      <c r="D1320" s="10">
        <v>45653</v>
      </c>
      <c r="E1320" s="9" t="str">
        <f>+HYPERLINK("http://trademark.i-assist.jp/data/china/image_1917th/81349312.pdf","81349312")</f>
        <v>81349312</v>
      </c>
      <c r="F1320" s="9" t="s">
        <v>3611</v>
      </c>
      <c r="G1320" s="9" t="s">
        <v>3536</v>
      </c>
      <c r="H1320" s="9" t="s">
        <v>3612</v>
      </c>
      <c r="I1320" s="10">
        <v>45577</v>
      </c>
    </row>
    <row r="1321" spans="1:9" x14ac:dyDescent="0.15">
      <c r="A1321" s="9">
        <v>1320</v>
      </c>
      <c r="B1321" s="9" t="s">
        <v>9</v>
      </c>
      <c r="C1321" s="9">
        <v>1917</v>
      </c>
      <c r="D1321" s="10">
        <v>45653</v>
      </c>
      <c r="E1321" s="9" t="str">
        <f>+HYPERLINK("http://trademark.i-assist.jp/data/china/image_1917th/81349359.pdf","81349359")</f>
        <v>81349359</v>
      </c>
      <c r="F1321" s="9" t="s">
        <v>3613</v>
      </c>
      <c r="G1321" s="9" t="s">
        <v>3614</v>
      </c>
      <c r="H1321" s="9" t="s">
        <v>3615</v>
      </c>
      <c r="I1321" s="10">
        <v>45577</v>
      </c>
    </row>
    <row r="1322" spans="1:9" x14ac:dyDescent="0.15">
      <c r="A1322" s="9">
        <v>1321</v>
      </c>
      <c r="B1322" s="9" t="s">
        <v>9</v>
      </c>
      <c r="C1322" s="9">
        <v>1917</v>
      </c>
      <c r="D1322" s="10">
        <v>45653</v>
      </c>
      <c r="E1322" s="9" t="str">
        <f>+HYPERLINK("http://trademark.i-assist.jp/data/china/image_1917th/81350160.pdf","81350160")</f>
        <v>81350160</v>
      </c>
      <c r="F1322" s="9" t="s">
        <v>3616</v>
      </c>
      <c r="G1322" s="12" t="s">
        <v>3617</v>
      </c>
      <c r="H1322" s="9" t="s">
        <v>3618</v>
      </c>
      <c r="I1322" s="10">
        <v>45577</v>
      </c>
    </row>
    <row r="1323" spans="1:9" x14ac:dyDescent="0.15">
      <c r="A1323" s="9">
        <v>1322</v>
      </c>
      <c r="B1323" s="9" t="s">
        <v>9</v>
      </c>
      <c r="C1323" s="9">
        <v>1917</v>
      </c>
      <c r="D1323" s="10">
        <v>45653</v>
      </c>
      <c r="E1323" s="9" t="str">
        <f>+HYPERLINK("http://trademark.i-assist.jp/data/china/image_1917th/81350674.pdf","81350674")</f>
        <v>81350674</v>
      </c>
      <c r="F1323" s="9" t="s">
        <v>3619</v>
      </c>
      <c r="G1323" s="9" t="s">
        <v>3614</v>
      </c>
      <c r="H1323" s="9" t="s">
        <v>3620</v>
      </c>
      <c r="I1323" s="10">
        <v>45577</v>
      </c>
    </row>
    <row r="1324" spans="1:9" x14ac:dyDescent="0.15">
      <c r="A1324" s="9">
        <v>1323</v>
      </c>
      <c r="B1324" s="9" t="s">
        <v>9</v>
      </c>
      <c r="C1324" s="9">
        <v>1917</v>
      </c>
      <c r="D1324" s="10">
        <v>45653</v>
      </c>
      <c r="E1324" s="9" t="str">
        <f>+HYPERLINK("http://trademark.i-assist.jp/data/china/image_1917th/81350727.pdf","81350727")</f>
        <v>81350727</v>
      </c>
      <c r="F1324" s="9" t="s">
        <v>3621</v>
      </c>
      <c r="G1324" s="9" t="s">
        <v>3622</v>
      </c>
      <c r="H1324" s="12" t="s">
        <v>3623</v>
      </c>
      <c r="I1324" s="10">
        <v>45577</v>
      </c>
    </row>
    <row r="1325" spans="1:9" x14ac:dyDescent="0.15">
      <c r="A1325" s="9">
        <v>1324</v>
      </c>
      <c r="B1325" s="9" t="s">
        <v>9</v>
      </c>
      <c r="C1325" s="9">
        <v>1917</v>
      </c>
      <c r="D1325" s="10">
        <v>45653</v>
      </c>
      <c r="E1325" s="9" t="str">
        <f>+HYPERLINK("http://trademark.i-assist.jp/data/china/image_1917th/81351316.pdf","81351316")</f>
        <v>81351316</v>
      </c>
      <c r="F1325" s="9" t="s">
        <v>3624</v>
      </c>
      <c r="G1325" s="9" t="s">
        <v>3625</v>
      </c>
      <c r="H1325" s="9" t="s">
        <v>3626</v>
      </c>
      <c r="I1325" s="10">
        <v>45577</v>
      </c>
    </row>
    <row r="1326" spans="1:9" x14ac:dyDescent="0.15">
      <c r="A1326" s="9">
        <v>1325</v>
      </c>
      <c r="B1326" s="9" t="s">
        <v>9</v>
      </c>
      <c r="C1326" s="9">
        <v>1917</v>
      </c>
      <c r="D1326" s="10">
        <v>45653</v>
      </c>
      <c r="E1326" s="9" t="str">
        <f>+HYPERLINK("http://trademark.i-assist.jp/data/china/image_1917th/81351440.pdf","81351440")</f>
        <v>81351440</v>
      </c>
      <c r="F1326" s="9" t="s">
        <v>3627</v>
      </c>
      <c r="G1326" s="9" t="s">
        <v>3628</v>
      </c>
      <c r="H1326" s="12" t="s">
        <v>3629</v>
      </c>
      <c r="I1326" s="10">
        <v>45577</v>
      </c>
    </row>
    <row r="1327" spans="1:9" x14ac:dyDescent="0.15">
      <c r="A1327" s="9">
        <v>1326</v>
      </c>
      <c r="B1327" s="9" t="s">
        <v>9</v>
      </c>
      <c r="C1327" s="9">
        <v>1917</v>
      </c>
      <c r="D1327" s="10">
        <v>45653</v>
      </c>
      <c r="E1327" s="9" t="str">
        <f>+HYPERLINK("http://trademark.i-assist.jp/data/china/image_1917th/81352279.pdf","81352279")</f>
        <v>81352279</v>
      </c>
      <c r="F1327" s="9" t="s">
        <v>3630</v>
      </c>
      <c r="G1327" s="9" t="s">
        <v>3503</v>
      </c>
      <c r="H1327" s="9" t="s">
        <v>3631</v>
      </c>
      <c r="I1327" s="10">
        <v>45577</v>
      </c>
    </row>
    <row r="1328" spans="1:9" x14ac:dyDescent="0.15">
      <c r="A1328" s="9">
        <v>1327</v>
      </c>
      <c r="B1328" s="9" t="s">
        <v>9</v>
      </c>
      <c r="C1328" s="9">
        <v>1917</v>
      </c>
      <c r="D1328" s="10">
        <v>45653</v>
      </c>
      <c r="E1328" s="9" t="str">
        <f>+HYPERLINK("http://trademark.i-assist.jp/data/china/image_1917th/81352362.pdf","81352362")</f>
        <v>81352362</v>
      </c>
      <c r="F1328" s="9" t="s">
        <v>3632</v>
      </c>
      <c r="G1328" s="9" t="s">
        <v>3633</v>
      </c>
      <c r="H1328" s="9" t="s">
        <v>3634</v>
      </c>
      <c r="I1328" s="10">
        <v>45577</v>
      </c>
    </row>
    <row r="1329" spans="1:9" x14ac:dyDescent="0.15">
      <c r="A1329" s="9">
        <v>1328</v>
      </c>
      <c r="B1329" s="9" t="s">
        <v>9</v>
      </c>
      <c r="C1329" s="9">
        <v>1917</v>
      </c>
      <c r="D1329" s="10">
        <v>45653</v>
      </c>
      <c r="E1329" s="9" t="str">
        <f>+HYPERLINK("http://trademark.i-assist.jp/data/china/image_1917th/81353269.pdf","81353269")</f>
        <v>81353269</v>
      </c>
      <c r="F1329" s="9" t="s">
        <v>3635</v>
      </c>
      <c r="G1329" s="9" t="s">
        <v>3636</v>
      </c>
      <c r="H1329" s="9" t="s">
        <v>3637</v>
      </c>
      <c r="I1329" s="10">
        <v>45577</v>
      </c>
    </row>
    <row r="1330" spans="1:9" x14ac:dyDescent="0.15">
      <c r="A1330" s="9">
        <v>1329</v>
      </c>
      <c r="B1330" s="9" t="s">
        <v>9</v>
      </c>
      <c r="C1330" s="9">
        <v>1917</v>
      </c>
      <c r="D1330" s="10">
        <v>45653</v>
      </c>
      <c r="E1330" s="9" t="str">
        <f>+HYPERLINK("http://trademark.i-assist.jp/data/china/image_1917th/81353616.pdf","81353616")</f>
        <v>81353616</v>
      </c>
      <c r="F1330" s="12" t="s">
        <v>3638</v>
      </c>
      <c r="G1330" s="9" t="s">
        <v>3639</v>
      </c>
      <c r="H1330" s="9" t="s">
        <v>3640</v>
      </c>
      <c r="I1330" s="10">
        <v>45577</v>
      </c>
    </row>
    <row r="1331" spans="1:9" x14ac:dyDescent="0.15">
      <c r="A1331" s="9">
        <v>1330</v>
      </c>
      <c r="B1331" s="9" t="s">
        <v>9</v>
      </c>
      <c r="C1331" s="9">
        <v>1917</v>
      </c>
      <c r="D1331" s="10">
        <v>45653</v>
      </c>
      <c r="E1331" s="9" t="str">
        <f>+HYPERLINK("http://trademark.i-assist.jp/data/china/image_1917th/81353891.pdf","81353891")</f>
        <v>81353891</v>
      </c>
      <c r="F1331" s="9" t="s">
        <v>3641</v>
      </c>
      <c r="G1331" s="12" t="s">
        <v>3642</v>
      </c>
      <c r="H1331" s="9" t="s">
        <v>3643</v>
      </c>
      <c r="I1331" s="10">
        <v>45577</v>
      </c>
    </row>
    <row r="1332" spans="1:9" x14ac:dyDescent="0.15">
      <c r="A1332" s="9">
        <v>1331</v>
      </c>
      <c r="B1332" s="9" t="s">
        <v>9</v>
      </c>
      <c r="C1332" s="9">
        <v>1917</v>
      </c>
      <c r="D1332" s="10">
        <v>45653</v>
      </c>
      <c r="E1332" s="9" t="str">
        <f>+HYPERLINK("http://trademark.i-assist.jp/data/china/image_1917th/81355126.pdf","81355126")</f>
        <v>81355126</v>
      </c>
      <c r="F1332" s="9" t="s">
        <v>3644</v>
      </c>
      <c r="G1332" s="12" t="s">
        <v>3645</v>
      </c>
      <c r="H1332" s="9" t="s">
        <v>3646</v>
      </c>
      <c r="I1332" s="10">
        <v>45578</v>
      </c>
    </row>
    <row r="1333" spans="1:9" x14ac:dyDescent="0.15">
      <c r="A1333" s="9">
        <v>1332</v>
      </c>
      <c r="B1333" s="9" t="s">
        <v>9</v>
      </c>
      <c r="C1333" s="9">
        <v>1917</v>
      </c>
      <c r="D1333" s="10">
        <v>45653</v>
      </c>
      <c r="E1333" s="9" t="str">
        <f>+HYPERLINK("http://trademark.i-assist.jp/data/china/image_1917th/81356101.pdf","81356101")</f>
        <v>81356101</v>
      </c>
      <c r="F1333" s="9" t="s">
        <v>3647</v>
      </c>
      <c r="G1333" s="9" t="s">
        <v>3648</v>
      </c>
      <c r="H1333" s="9" t="s">
        <v>3649</v>
      </c>
      <c r="I1333" s="10">
        <v>45578</v>
      </c>
    </row>
    <row r="1334" spans="1:9" x14ac:dyDescent="0.15">
      <c r="A1334" s="9">
        <v>1333</v>
      </c>
      <c r="B1334" s="9" t="s">
        <v>9</v>
      </c>
      <c r="C1334" s="9">
        <v>1917</v>
      </c>
      <c r="D1334" s="10">
        <v>45653</v>
      </c>
      <c r="E1334" s="9" t="str">
        <f>+HYPERLINK("http://trademark.i-assist.jp/data/china/image_1917th/81356189.pdf","81356189")</f>
        <v>81356189</v>
      </c>
      <c r="F1334" s="9" t="s">
        <v>3650</v>
      </c>
      <c r="G1334" s="12" t="s">
        <v>758</v>
      </c>
      <c r="H1334" s="9" t="s">
        <v>3651</v>
      </c>
      <c r="I1334" s="10">
        <v>45578</v>
      </c>
    </row>
    <row r="1335" spans="1:9" x14ac:dyDescent="0.15">
      <c r="A1335" s="9">
        <v>1334</v>
      </c>
      <c r="B1335" s="9" t="s">
        <v>9</v>
      </c>
      <c r="C1335" s="9">
        <v>1917</v>
      </c>
      <c r="D1335" s="10">
        <v>45653</v>
      </c>
      <c r="E1335" s="9" t="str">
        <f>+HYPERLINK("http://trademark.i-assist.jp/data/china/image_1917th/81356532.pdf","81356532")</f>
        <v>81356532</v>
      </c>
      <c r="F1335" s="12" t="s">
        <v>3652</v>
      </c>
      <c r="G1335" s="9" t="s">
        <v>3653</v>
      </c>
      <c r="H1335" s="9" t="s">
        <v>3654</v>
      </c>
      <c r="I1335" s="10">
        <v>45578</v>
      </c>
    </row>
    <row r="1336" spans="1:9" x14ac:dyDescent="0.15">
      <c r="A1336" s="9">
        <v>1335</v>
      </c>
      <c r="B1336" s="9" t="s">
        <v>9</v>
      </c>
      <c r="C1336" s="9">
        <v>1917</v>
      </c>
      <c r="D1336" s="10">
        <v>45653</v>
      </c>
      <c r="E1336" s="9" t="str">
        <f>+HYPERLINK("http://trademark.i-assist.jp/data/china/image_1917th/81356606.pdf","81356606")</f>
        <v>81356606</v>
      </c>
      <c r="F1336" s="9" t="s">
        <v>3655</v>
      </c>
      <c r="G1336" s="9" t="s">
        <v>3656</v>
      </c>
      <c r="H1336" s="9" t="s">
        <v>3657</v>
      </c>
      <c r="I1336" s="10">
        <v>45578</v>
      </c>
    </row>
    <row r="1337" spans="1:9" x14ac:dyDescent="0.15">
      <c r="A1337" s="9">
        <v>1336</v>
      </c>
      <c r="B1337" s="9" t="s">
        <v>9</v>
      </c>
      <c r="C1337" s="9">
        <v>1917</v>
      </c>
      <c r="D1337" s="10">
        <v>45653</v>
      </c>
      <c r="E1337" s="9" t="str">
        <f>+HYPERLINK("http://trademark.i-assist.jp/data/china/image_1917th/81357322.pdf","81357322")</f>
        <v>81357322</v>
      </c>
      <c r="F1337" s="12" t="s">
        <v>3658</v>
      </c>
      <c r="G1337" s="9" t="s">
        <v>3653</v>
      </c>
      <c r="H1337" s="9" t="s">
        <v>3659</v>
      </c>
      <c r="I1337" s="10">
        <v>45578</v>
      </c>
    </row>
    <row r="1338" spans="1:9" x14ac:dyDescent="0.15">
      <c r="A1338" s="9">
        <v>1337</v>
      </c>
      <c r="B1338" s="9" t="s">
        <v>9</v>
      </c>
      <c r="C1338" s="9">
        <v>1917</v>
      </c>
      <c r="D1338" s="10">
        <v>45653</v>
      </c>
      <c r="E1338" s="9" t="str">
        <f>+HYPERLINK("http://trademark.i-assist.jp/data/china/image_1917th/81357458.pdf","81357458")</f>
        <v>81357458</v>
      </c>
      <c r="F1338" s="9" t="s">
        <v>3660</v>
      </c>
      <c r="G1338" s="9" t="s">
        <v>3661</v>
      </c>
      <c r="H1338" s="9" t="s">
        <v>3662</v>
      </c>
      <c r="I1338" s="10">
        <v>45578</v>
      </c>
    </row>
    <row r="1339" spans="1:9" x14ac:dyDescent="0.15">
      <c r="A1339" s="9">
        <v>1338</v>
      </c>
      <c r="B1339" s="9" t="s">
        <v>9</v>
      </c>
      <c r="C1339" s="9">
        <v>1917</v>
      </c>
      <c r="D1339" s="10">
        <v>45653</v>
      </c>
      <c r="E1339" s="9" t="str">
        <f>+HYPERLINK("http://trademark.i-assist.jp/data/china/image_1917th/81357558.pdf","81357558")</f>
        <v>81357558</v>
      </c>
      <c r="F1339" s="9" t="s">
        <v>3663</v>
      </c>
      <c r="G1339" s="9" t="s">
        <v>3664</v>
      </c>
      <c r="H1339" s="9" t="s">
        <v>3665</v>
      </c>
      <c r="I1339" s="10">
        <v>45578</v>
      </c>
    </row>
    <row r="1340" spans="1:9" x14ac:dyDescent="0.15">
      <c r="A1340" s="9">
        <v>1339</v>
      </c>
      <c r="B1340" s="9" t="s">
        <v>9</v>
      </c>
      <c r="C1340" s="9">
        <v>1917</v>
      </c>
      <c r="D1340" s="10">
        <v>45653</v>
      </c>
      <c r="E1340" s="9" t="str">
        <f>+HYPERLINK("http://trademark.i-assist.jp/data/china/image_1917th/81358175.pdf","81358175")</f>
        <v>81358175</v>
      </c>
      <c r="F1340" s="9" t="s">
        <v>3666</v>
      </c>
      <c r="G1340" s="12" t="s">
        <v>3645</v>
      </c>
      <c r="H1340" s="12" t="s">
        <v>3667</v>
      </c>
      <c r="I1340" s="10">
        <v>45578</v>
      </c>
    </row>
    <row r="1341" spans="1:9" x14ac:dyDescent="0.15">
      <c r="A1341" s="9">
        <v>1340</v>
      </c>
      <c r="B1341" s="9" t="s">
        <v>9</v>
      </c>
      <c r="C1341" s="9">
        <v>1917</v>
      </c>
      <c r="D1341" s="10">
        <v>45653</v>
      </c>
      <c r="E1341" s="9" t="str">
        <f>+HYPERLINK("http://trademark.i-assist.jp/data/china/image_1917th/81358178.pdf","81358178")</f>
        <v>81358178</v>
      </c>
      <c r="F1341" s="12" t="s">
        <v>3668</v>
      </c>
      <c r="G1341" s="12" t="s">
        <v>3645</v>
      </c>
      <c r="H1341" s="9" t="s">
        <v>3669</v>
      </c>
      <c r="I1341" s="10">
        <v>45578</v>
      </c>
    </row>
    <row r="1342" spans="1:9" x14ac:dyDescent="0.15">
      <c r="A1342" s="9">
        <v>1341</v>
      </c>
      <c r="B1342" s="9" t="s">
        <v>9</v>
      </c>
      <c r="C1342" s="9">
        <v>1917</v>
      </c>
      <c r="D1342" s="10">
        <v>45653</v>
      </c>
      <c r="E1342" s="9" t="str">
        <f>+HYPERLINK("http://trademark.i-assist.jp/data/china/image_1917th/81358198.pdf","81358198")</f>
        <v>81358198</v>
      </c>
      <c r="F1342" s="9" t="s">
        <v>3670</v>
      </c>
      <c r="G1342" s="9" t="s">
        <v>3671</v>
      </c>
      <c r="H1342" s="9" t="s">
        <v>3672</v>
      </c>
      <c r="I1342" s="10">
        <v>45578</v>
      </c>
    </row>
    <row r="1343" spans="1:9" x14ac:dyDescent="0.15">
      <c r="A1343" s="9">
        <v>1342</v>
      </c>
      <c r="B1343" s="9" t="s">
        <v>9</v>
      </c>
      <c r="C1343" s="9">
        <v>1917</v>
      </c>
      <c r="D1343" s="10">
        <v>45653</v>
      </c>
      <c r="E1343" s="9" t="str">
        <f>+HYPERLINK("http://trademark.i-assist.jp/data/china/image_1917th/81358923.pdf","81358923")</f>
        <v>81358923</v>
      </c>
      <c r="F1343" s="9" t="s">
        <v>3673</v>
      </c>
      <c r="G1343" s="9" t="s">
        <v>3674</v>
      </c>
      <c r="H1343" s="9" t="s">
        <v>3675</v>
      </c>
      <c r="I1343" s="10">
        <v>45579</v>
      </c>
    </row>
    <row r="1344" spans="1:9" x14ac:dyDescent="0.15">
      <c r="A1344" s="9">
        <v>1343</v>
      </c>
      <c r="B1344" s="9" t="s">
        <v>9</v>
      </c>
      <c r="C1344" s="9">
        <v>1917</v>
      </c>
      <c r="D1344" s="10">
        <v>45653</v>
      </c>
      <c r="E1344" s="9" t="str">
        <f>+HYPERLINK("http://trademark.i-assist.jp/data/china/image_1917th/81359725.pdf","81359725")</f>
        <v>81359725</v>
      </c>
      <c r="F1344" s="9" t="s">
        <v>3676</v>
      </c>
      <c r="G1344" s="9" t="s">
        <v>3677</v>
      </c>
      <c r="H1344" s="9" t="s">
        <v>3678</v>
      </c>
      <c r="I1344" s="10">
        <v>45579</v>
      </c>
    </row>
    <row r="1345" spans="1:9" x14ac:dyDescent="0.15">
      <c r="A1345" s="9">
        <v>1344</v>
      </c>
      <c r="B1345" s="9" t="s">
        <v>9</v>
      </c>
      <c r="C1345" s="9">
        <v>1917</v>
      </c>
      <c r="D1345" s="10">
        <v>45653</v>
      </c>
      <c r="E1345" s="9" t="str">
        <f>+HYPERLINK("http://trademark.i-assist.jp/data/china/image_1917th/81360476.pdf","81360476")</f>
        <v>81360476</v>
      </c>
      <c r="F1345" s="9" t="s">
        <v>3679</v>
      </c>
      <c r="G1345" s="12" t="s">
        <v>3680</v>
      </c>
      <c r="H1345" s="9" t="s">
        <v>3681</v>
      </c>
      <c r="I1345" s="10">
        <v>45579</v>
      </c>
    </row>
    <row r="1346" spans="1:9" x14ac:dyDescent="0.15">
      <c r="A1346" s="9">
        <v>1345</v>
      </c>
      <c r="B1346" s="9" t="s">
        <v>9</v>
      </c>
      <c r="C1346" s="9">
        <v>1917</v>
      </c>
      <c r="D1346" s="10">
        <v>45653</v>
      </c>
      <c r="E1346" s="9" t="str">
        <f>+HYPERLINK("http://trademark.i-assist.jp/data/china/image_1917th/81360870.pdf","81360870")</f>
        <v>81360870</v>
      </c>
      <c r="F1346" s="12" t="s">
        <v>12</v>
      </c>
      <c r="G1346" s="12" t="s">
        <v>3682</v>
      </c>
      <c r="H1346" s="9" t="s">
        <v>3683</v>
      </c>
      <c r="I1346" s="10">
        <v>45579</v>
      </c>
    </row>
    <row r="1347" spans="1:9" x14ac:dyDescent="0.15">
      <c r="A1347" s="9">
        <v>1346</v>
      </c>
      <c r="B1347" s="9" t="s">
        <v>9</v>
      </c>
      <c r="C1347" s="9">
        <v>1917</v>
      </c>
      <c r="D1347" s="10">
        <v>45653</v>
      </c>
      <c r="E1347" s="9" t="str">
        <f>+HYPERLINK("http://trademark.i-assist.jp/data/china/image_1917th/81361241.pdf","81361241")</f>
        <v>81361241</v>
      </c>
      <c r="F1347" s="9" t="s">
        <v>3684</v>
      </c>
      <c r="G1347" s="12" t="s">
        <v>3685</v>
      </c>
      <c r="H1347" s="9" t="s">
        <v>3686</v>
      </c>
      <c r="I1347" s="10">
        <v>45579</v>
      </c>
    </row>
    <row r="1348" spans="1:9" x14ac:dyDescent="0.15">
      <c r="A1348" s="9">
        <v>1347</v>
      </c>
      <c r="B1348" s="9" t="s">
        <v>9</v>
      </c>
      <c r="C1348" s="9">
        <v>1917</v>
      </c>
      <c r="D1348" s="10">
        <v>45653</v>
      </c>
      <c r="E1348" s="9" t="str">
        <f>+HYPERLINK("http://trademark.i-assist.jp/data/china/image_1917th/81361289.pdf","81361289")</f>
        <v>81361289</v>
      </c>
      <c r="F1348" s="9" t="s">
        <v>3687</v>
      </c>
      <c r="G1348" s="9" t="s">
        <v>52</v>
      </c>
      <c r="H1348" s="9" t="s">
        <v>3688</v>
      </c>
      <c r="I1348" s="10">
        <v>45579</v>
      </c>
    </row>
    <row r="1349" spans="1:9" x14ac:dyDescent="0.15">
      <c r="A1349" s="9">
        <v>1348</v>
      </c>
      <c r="B1349" s="9" t="s">
        <v>9</v>
      </c>
      <c r="C1349" s="9">
        <v>1917</v>
      </c>
      <c r="D1349" s="10">
        <v>45653</v>
      </c>
      <c r="E1349" s="9" t="str">
        <f>+HYPERLINK("http://trademark.i-assist.jp/data/china/image_1917th/81361824.pdf","81361824")</f>
        <v>81361824</v>
      </c>
      <c r="F1349" s="9" t="s">
        <v>3689</v>
      </c>
      <c r="G1349" s="9" t="s">
        <v>3690</v>
      </c>
      <c r="H1349" s="9" t="s">
        <v>3691</v>
      </c>
      <c r="I1349" s="10">
        <v>45579</v>
      </c>
    </row>
    <row r="1350" spans="1:9" x14ac:dyDescent="0.15">
      <c r="A1350" s="9">
        <v>1349</v>
      </c>
      <c r="B1350" s="9" t="s">
        <v>9</v>
      </c>
      <c r="C1350" s="9">
        <v>1917</v>
      </c>
      <c r="D1350" s="10">
        <v>45653</v>
      </c>
      <c r="E1350" s="9" t="str">
        <f>+HYPERLINK("http://trademark.i-assist.jp/data/china/image_1917th/81362167.pdf","81362167")</f>
        <v>81362167</v>
      </c>
      <c r="F1350" s="12" t="s">
        <v>12</v>
      </c>
      <c r="G1350" s="9" t="s">
        <v>3692</v>
      </c>
      <c r="H1350" s="9" t="s">
        <v>3693</v>
      </c>
      <c r="I1350" s="10">
        <v>45579</v>
      </c>
    </row>
    <row r="1351" spans="1:9" x14ac:dyDescent="0.15">
      <c r="A1351" s="9">
        <v>1350</v>
      </c>
      <c r="B1351" s="9" t="s">
        <v>9</v>
      </c>
      <c r="C1351" s="9">
        <v>1917</v>
      </c>
      <c r="D1351" s="10">
        <v>45653</v>
      </c>
      <c r="E1351" s="9" t="str">
        <f>+HYPERLINK("http://trademark.i-assist.jp/data/china/image_1917th/81362175.pdf","81362175")</f>
        <v>81362175</v>
      </c>
      <c r="F1351" s="9" t="s">
        <v>3694</v>
      </c>
      <c r="G1351" s="9" t="s">
        <v>3695</v>
      </c>
      <c r="H1351" s="9" t="s">
        <v>3696</v>
      </c>
      <c r="I1351" s="10">
        <v>45579</v>
      </c>
    </row>
    <row r="1352" spans="1:9" x14ac:dyDescent="0.15">
      <c r="A1352" s="9">
        <v>1351</v>
      </c>
      <c r="B1352" s="9" t="s">
        <v>9</v>
      </c>
      <c r="C1352" s="9">
        <v>1917</v>
      </c>
      <c r="D1352" s="10">
        <v>45653</v>
      </c>
      <c r="E1352" s="9" t="str">
        <f>+HYPERLINK("http://trademark.i-assist.jp/data/china/image_1917th/81362614.pdf","81362614")</f>
        <v>81362614</v>
      </c>
      <c r="F1352" s="9" t="s">
        <v>3697</v>
      </c>
      <c r="G1352" s="12" t="s">
        <v>3698</v>
      </c>
      <c r="H1352" s="9" t="s">
        <v>3699</v>
      </c>
      <c r="I1352" s="10">
        <v>45579</v>
      </c>
    </row>
    <row r="1353" spans="1:9" x14ac:dyDescent="0.15">
      <c r="A1353" s="9">
        <v>1352</v>
      </c>
      <c r="B1353" s="9" t="s">
        <v>9</v>
      </c>
      <c r="C1353" s="9">
        <v>1917</v>
      </c>
      <c r="D1353" s="10">
        <v>45653</v>
      </c>
      <c r="E1353" s="9" t="str">
        <f>+HYPERLINK("http://trademark.i-assist.jp/data/china/image_1917th/81362679.pdf","81362679")</f>
        <v>81362679</v>
      </c>
      <c r="F1353" s="12" t="s">
        <v>3700</v>
      </c>
      <c r="G1353" s="12" t="s">
        <v>3701</v>
      </c>
      <c r="H1353" s="9" t="s">
        <v>3702</v>
      </c>
      <c r="I1353" s="10">
        <v>45579</v>
      </c>
    </row>
    <row r="1354" spans="1:9" x14ac:dyDescent="0.15">
      <c r="A1354" s="9">
        <v>1353</v>
      </c>
      <c r="B1354" s="9" t="s">
        <v>9</v>
      </c>
      <c r="C1354" s="9">
        <v>1917</v>
      </c>
      <c r="D1354" s="10">
        <v>45653</v>
      </c>
      <c r="E1354" s="9" t="str">
        <f>+HYPERLINK("http://trademark.i-assist.jp/data/china/image_1917th/81362863.pdf","81362863")</f>
        <v>81362863</v>
      </c>
      <c r="F1354" s="12" t="s">
        <v>3703</v>
      </c>
      <c r="G1354" s="9" t="s">
        <v>3704</v>
      </c>
      <c r="H1354" s="9" t="s">
        <v>3705</v>
      </c>
      <c r="I1354" s="10">
        <v>45579</v>
      </c>
    </row>
    <row r="1355" spans="1:9" x14ac:dyDescent="0.15">
      <c r="A1355" s="9">
        <v>1354</v>
      </c>
      <c r="B1355" s="9" t="s">
        <v>9</v>
      </c>
      <c r="C1355" s="9">
        <v>1917</v>
      </c>
      <c r="D1355" s="10">
        <v>45653</v>
      </c>
      <c r="E1355" s="9" t="str">
        <f>+HYPERLINK("http://trademark.i-assist.jp/data/china/image_1917th/81363167.pdf","81363167")</f>
        <v>81363167</v>
      </c>
      <c r="F1355" s="9" t="s">
        <v>3706</v>
      </c>
      <c r="G1355" s="9" t="s">
        <v>3707</v>
      </c>
      <c r="H1355" s="9" t="s">
        <v>3708</v>
      </c>
      <c r="I1355" s="10">
        <v>45579</v>
      </c>
    </row>
    <row r="1356" spans="1:9" x14ac:dyDescent="0.15">
      <c r="A1356" s="9">
        <v>1355</v>
      </c>
      <c r="B1356" s="9" t="s">
        <v>9</v>
      </c>
      <c r="C1356" s="9">
        <v>1917</v>
      </c>
      <c r="D1356" s="10">
        <v>45653</v>
      </c>
      <c r="E1356" s="9" t="str">
        <f>+HYPERLINK("http://trademark.i-assist.jp/data/china/image_1917th/81363764.pdf","81363764")</f>
        <v>81363764</v>
      </c>
      <c r="F1356" s="9" t="s">
        <v>3709</v>
      </c>
      <c r="G1356" s="9" t="s">
        <v>3695</v>
      </c>
      <c r="H1356" s="9" t="s">
        <v>3710</v>
      </c>
      <c r="I1356" s="10">
        <v>45579</v>
      </c>
    </row>
    <row r="1357" spans="1:9" x14ac:dyDescent="0.15">
      <c r="A1357" s="9">
        <v>1356</v>
      </c>
      <c r="B1357" s="9" t="s">
        <v>9</v>
      </c>
      <c r="C1357" s="9">
        <v>1917</v>
      </c>
      <c r="D1357" s="10">
        <v>45653</v>
      </c>
      <c r="E1357" s="9" t="str">
        <f>+HYPERLINK("http://trademark.i-assist.jp/data/china/image_1917th/81363768.pdf","81363768")</f>
        <v>81363768</v>
      </c>
      <c r="F1357" s="9" t="s">
        <v>3711</v>
      </c>
      <c r="G1357" s="9" t="s">
        <v>3695</v>
      </c>
      <c r="H1357" s="9" t="s">
        <v>3712</v>
      </c>
      <c r="I1357" s="10">
        <v>45579</v>
      </c>
    </row>
    <row r="1358" spans="1:9" x14ac:dyDescent="0.15">
      <c r="A1358" s="9">
        <v>1357</v>
      </c>
      <c r="B1358" s="9" t="s">
        <v>9</v>
      </c>
      <c r="C1358" s="9">
        <v>1917</v>
      </c>
      <c r="D1358" s="10">
        <v>45653</v>
      </c>
      <c r="E1358" s="9" t="str">
        <f>+HYPERLINK("http://trademark.i-assist.jp/data/china/image_1917th/81364053.pdf","81364053")</f>
        <v>81364053</v>
      </c>
      <c r="F1358" s="9" t="s">
        <v>3713</v>
      </c>
      <c r="G1358" s="12" t="s">
        <v>53</v>
      </c>
      <c r="H1358" s="9" t="s">
        <v>3714</v>
      </c>
      <c r="I1358" s="10">
        <v>45579</v>
      </c>
    </row>
    <row r="1359" spans="1:9" x14ac:dyDescent="0.15">
      <c r="A1359" s="9">
        <v>1358</v>
      </c>
      <c r="B1359" s="9" t="s">
        <v>9</v>
      </c>
      <c r="C1359" s="9">
        <v>1917</v>
      </c>
      <c r="D1359" s="10">
        <v>45653</v>
      </c>
      <c r="E1359" s="9" t="str">
        <f>+HYPERLINK("http://trademark.i-assist.jp/data/china/image_1917th/81364093.pdf","81364093")</f>
        <v>81364093</v>
      </c>
      <c r="F1359" s="12" t="s">
        <v>3715</v>
      </c>
      <c r="G1359" s="12" t="s">
        <v>3716</v>
      </c>
      <c r="H1359" s="9" t="s">
        <v>3717</v>
      </c>
      <c r="I1359" s="10">
        <v>45579</v>
      </c>
    </row>
    <row r="1360" spans="1:9" x14ac:dyDescent="0.15">
      <c r="A1360" s="9">
        <v>1359</v>
      </c>
      <c r="B1360" s="9" t="s">
        <v>9</v>
      </c>
      <c r="C1360" s="9">
        <v>1917</v>
      </c>
      <c r="D1360" s="10">
        <v>45653</v>
      </c>
      <c r="E1360" s="9" t="str">
        <f>+HYPERLINK("http://trademark.i-assist.jp/data/china/image_1917th/81364655.pdf","81364655")</f>
        <v>81364655</v>
      </c>
      <c r="F1360" s="9" t="s">
        <v>3718</v>
      </c>
      <c r="G1360" s="9" t="s">
        <v>3719</v>
      </c>
      <c r="H1360" s="9" t="s">
        <v>3720</v>
      </c>
      <c r="I1360" s="10">
        <v>45579</v>
      </c>
    </row>
    <row r="1361" spans="1:9" x14ac:dyDescent="0.15">
      <c r="A1361" s="9">
        <v>1360</v>
      </c>
      <c r="B1361" s="9" t="s">
        <v>9</v>
      </c>
      <c r="C1361" s="9">
        <v>1917</v>
      </c>
      <c r="D1361" s="10">
        <v>45653</v>
      </c>
      <c r="E1361" s="9" t="str">
        <f>+HYPERLINK("http://trademark.i-assist.jp/data/china/image_1917th/81364717.pdf","81364717")</f>
        <v>81364717</v>
      </c>
      <c r="F1361" s="9" t="s">
        <v>3721</v>
      </c>
      <c r="G1361" s="12" t="s">
        <v>2487</v>
      </c>
      <c r="H1361" s="12" t="s">
        <v>3722</v>
      </c>
      <c r="I1361" s="10">
        <v>45579</v>
      </c>
    </row>
    <row r="1362" spans="1:9" x14ac:dyDescent="0.15">
      <c r="A1362" s="9">
        <v>1361</v>
      </c>
      <c r="B1362" s="9" t="s">
        <v>9</v>
      </c>
      <c r="C1362" s="9">
        <v>1917</v>
      </c>
      <c r="D1362" s="10">
        <v>45653</v>
      </c>
      <c r="E1362" s="9" t="str">
        <f>+HYPERLINK("http://trademark.i-assist.jp/data/china/image_1917th/81365084.pdf","81365084")</f>
        <v>81365084</v>
      </c>
      <c r="F1362" s="9" t="s">
        <v>3723</v>
      </c>
      <c r="G1362" s="9" t="s">
        <v>3707</v>
      </c>
      <c r="H1362" s="9" t="s">
        <v>3724</v>
      </c>
      <c r="I1362" s="10">
        <v>45579</v>
      </c>
    </row>
    <row r="1363" spans="1:9" x14ac:dyDescent="0.15">
      <c r="A1363" s="9">
        <v>1362</v>
      </c>
      <c r="B1363" s="9" t="s">
        <v>9</v>
      </c>
      <c r="C1363" s="9">
        <v>1917</v>
      </c>
      <c r="D1363" s="10">
        <v>45653</v>
      </c>
      <c r="E1363" s="9" t="str">
        <f>+HYPERLINK("http://trademark.i-assist.jp/data/china/image_1917th/81365490.pdf","81365490")</f>
        <v>81365490</v>
      </c>
      <c r="F1363" s="9" t="s">
        <v>3725</v>
      </c>
      <c r="G1363" s="9" t="s">
        <v>3726</v>
      </c>
      <c r="H1363" s="9" t="s">
        <v>3727</v>
      </c>
      <c r="I1363" s="10">
        <v>45579</v>
      </c>
    </row>
    <row r="1364" spans="1:9" x14ac:dyDescent="0.15">
      <c r="A1364" s="9">
        <v>1363</v>
      </c>
      <c r="B1364" s="9" t="s">
        <v>9</v>
      </c>
      <c r="C1364" s="9">
        <v>1917</v>
      </c>
      <c r="D1364" s="10">
        <v>45653</v>
      </c>
      <c r="E1364" s="9" t="str">
        <f>+HYPERLINK("http://trademark.i-assist.jp/data/china/image_1917th/81366326.pdf","81366326")</f>
        <v>81366326</v>
      </c>
      <c r="F1364" s="9" t="s">
        <v>3728</v>
      </c>
      <c r="G1364" s="9" t="s">
        <v>3729</v>
      </c>
      <c r="H1364" s="9" t="s">
        <v>3730</v>
      </c>
      <c r="I1364" s="10">
        <v>45579</v>
      </c>
    </row>
    <row r="1365" spans="1:9" x14ac:dyDescent="0.15">
      <c r="A1365" s="9">
        <v>1364</v>
      </c>
      <c r="B1365" s="9" t="s">
        <v>9</v>
      </c>
      <c r="C1365" s="9">
        <v>1917</v>
      </c>
      <c r="D1365" s="10">
        <v>45653</v>
      </c>
      <c r="E1365" s="9" t="str">
        <f>+HYPERLINK("http://trademark.i-assist.jp/data/china/image_1917th/81366343.pdf","81366343")</f>
        <v>81366343</v>
      </c>
      <c r="F1365" s="9" t="s">
        <v>3731</v>
      </c>
      <c r="G1365" s="9" t="s">
        <v>3729</v>
      </c>
      <c r="H1365" s="9" t="s">
        <v>3732</v>
      </c>
      <c r="I1365" s="10">
        <v>45579</v>
      </c>
    </row>
    <row r="1366" spans="1:9" x14ac:dyDescent="0.15">
      <c r="A1366" s="9">
        <v>1365</v>
      </c>
      <c r="B1366" s="9" t="s">
        <v>9</v>
      </c>
      <c r="C1366" s="9">
        <v>1917</v>
      </c>
      <c r="D1366" s="10">
        <v>45653</v>
      </c>
      <c r="E1366" s="9" t="str">
        <f>+HYPERLINK("http://trademark.i-assist.jp/data/china/image_1917th/81366825.pdf","81366825")</f>
        <v>81366825</v>
      </c>
      <c r="F1366" s="9" t="s">
        <v>3733</v>
      </c>
      <c r="G1366" s="12" t="s">
        <v>3680</v>
      </c>
      <c r="H1366" s="9" t="s">
        <v>3734</v>
      </c>
      <c r="I1366" s="10">
        <v>45579</v>
      </c>
    </row>
    <row r="1367" spans="1:9" x14ac:dyDescent="0.15">
      <c r="A1367" s="9">
        <v>1366</v>
      </c>
      <c r="B1367" s="9" t="s">
        <v>9</v>
      </c>
      <c r="C1367" s="9">
        <v>1917</v>
      </c>
      <c r="D1367" s="10">
        <v>45653</v>
      </c>
      <c r="E1367" s="9" t="str">
        <f>+HYPERLINK("http://trademark.i-assist.jp/data/china/image_1917th/81367064.pdf","81367064")</f>
        <v>81367064</v>
      </c>
      <c r="F1367" s="12" t="s">
        <v>3735</v>
      </c>
      <c r="G1367" s="9" t="s">
        <v>3736</v>
      </c>
      <c r="H1367" s="9" t="s">
        <v>3737</v>
      </c>
      <c r="I1367" s="10">
        <v>45579</v>
      </c>
    </row>
    <row r="1368" spans="1:9" x14ac:dyDescent="0.15">
      <c r="A1368" s="9">
        <v>1367</v>
      </c>
      <c r="B1368" s="9" t="s">
        <v>9</v>
      </c>
      <c r="C1368" s="9">
        <v>1917</v>
      </c>
      <c r="D1368" s="10">
        <v>45653</v>
      </c>
      <c r="E1368" s="9" t="str">
        <f>+HYPERLINK("http://trademark.i-assist.jp/data/china/image_1917th/81367711.pdf","81367711")</f>
        <v>81367711</v>
      </c>
      <c r="F1368" s="9" t="s">
        <v>3738</v>
      </c>
      <c r="G1368" s="12" t="s">
        <v>3739</v>
      </c>
      <c r="H1368" s="9" t="s">
        <v>3740</v>
      </c>
      <c r="I1368" s="10">
        <v>45579</v>
      </c>
    </row>
    <row r="1369" spans="1:9" x14ac:dyDescent="0.15">
      <c r="A1369" s="9">
        <v>1368</v>
      </c>
      <c r="B1369" s="9" t="s">
        <v>9</v>
      </c>
      <c r="C1369" s="9">
        <v>1917</v>
      </c>
      <c r="D1369" s="10">
        <v>45653</v>
      </c>
      <c r="E1369" s="9" t="str">
        <f>+HYPERLINK("http://trademark.i-assist.jp/data/china/image_1917th/81367730.pdf","81367730")</f>
        <v>81367730</v>
      </c>
      <c r="F1369" s="9" t="s">
        <v>3741</v>
      </c>
      <c r="G1369" s="9" t="s">
        <v>3695</v>
      </c>
      <c r="H1369" s="9" t="s">
        <v>3742</v>
      </c>
      <c r="I1369" s="10">
        <v>45579</v>
      </c>
    </row>
    <row r="1370" spans="1:9" x14ac:dyDescent="0.15">
      <c r="A1370" s="9">
        <v>1369</v>
      </c>
      <c r="B1370" s="9" t="s">
        <v>9</v>
      </c>
      <c r="C1370" s="9">
        <v>1917</v>
      </c>
      <c r="D1370" s="10">
        <v>45653</v>
      </c>
      <c r="E1370" s="9" t="str">
        <f>+HYPERLINK("http://trademark.i-assist.jp/data/china/image_1917th/81367993.pdf","81367993")</f>
        <v>81367993</v>
      </c>
      <c r="F1370" s="9" t="s">
        <v>3743</v>
      </c>
      <c r="G1370" s="12" t="s">
        <v>2487</v>
      </c>
      <c r="H1370" s="9" t="s">
        <v>3744</v>
      </c>
      <c r="I1370" s="10">
        <v>45579</v>
      </c>
    </row>
    <row r="1371" spans="1:9" x14ac:dyDescent="0.15">
      <c r="A1371" s="9">
        <v>1370</v>
      </c>
      <c r="B1371" s="9" t="s">
        <v>9</v>
      </c>
      <c r="C1371" s="9">
        <v>1917</v>
      </c>
      <c r="D1371" s="10">
        <v>45653</v>
      </c>
      <c r="E1371" s="9" t="str">
        <f>+HYPERLINK("http://trademark.i-assist.jp/data/china/image_1917th/81368766.pdf","81368766")</f>
        <v>81368766</v>
      </c>
      <c r="F1371" s="9" t="s">
        <v>3745</v>
      </c>
      <c r="G1371" s="9" t="s">
        <v>3746</v>
      </c>
      <c r="H1371" s="9" t="s">
        <v>3747</v>
      </c>
      <c r="I1371" s="10">
        <v>45579</v>
      </c>
    </row>
    <row r="1372" spans="1:9" x14ac:dyDescent="0.15">
      <c r="A1372" s="9">
        <v>1371</v>
      </c>
      <c r="B1372" s="9" t="s">
        <v>9</v>
      </c>
      <c r="C1372" s="9">
        <v>1917</v>
      </c>
      <c r="D1372" s="10">
        <v>45653</v>
      </c>
      <c r="E1372" s="9" t="str">
        <f>+HYPERLINK("http://trademark.i-assist.jp/data/china/image_1917th/81368929.pdf","81368929")</f>
        <v>81368929</v>
      </c>
      <c r="F1372" s="9" t="s">
        <v>3748</v>
      </c>
      <c r="G1372" s="9" t="s">
        <v>3749</v>
      </c>
      <c r="H1372" s="9" t="s">
        <v>3750</v>
      </c>
      <c r="I1372" s="10">
        <v>45579</v>
      </c>
    </row>
    <row r="1373" spans="1:9" x14ac:dyDescent="0.15">
      <c r="A1373" s="9">
        <v>1372</v>
      </c>
      <c r="B1373" s="9" t="s">
        <v>9</v>
      </c>
      <c r="C1373" s="9">
        <v>1917</v>
      </c>
      <c r="D1373" s="10">
        <v>45653</v>
      </c>
      <c r="E1373" s="9" t="str">
        <f>+HYPERLINK("http://trademark.i-assist.jp/data/china/image_1917th/81369296.pdf","81369296")</f>
        <v>81369296</v>
      </c>
      <c r="F1373" s="9" t="s">
        <v>3751</v>
      </c>
      <c r="G1373" s="9" t="s">
        <v>3752</v>
      </c>
      <c r="H1373" s="9" t="s">
        <v>3753</v>
      </c>
      <c r="I1373" s="10">
        <v>45579</v>
      </c>
    </row>
    <row r="1374" spans="1:9" x14ac:dyDescent="0.15">
      <c r="A1374" s="9">
        <v>1373</v>
      </c>
      <c r="B1374" s="9" t="s">
        <v>9</v>
      </c>
      <c r="C1374" s="9">
        <v>1917</v>
      </c>
      <c r="D1374" s="10">
        <v>45653</v>
      </c>
      <c r="E1374" s="9" t="str">
        <f>+HYPERLINK("http://trademark.i-assist.jp/data/china/image_1917th/81370386.pdf","81370386")</f>
        <v>81370386</v>
      </c>
      <c r="F1374" s="9" t="s">
        <v>3754</v>
      </c>
      <c r="G1374" s="12" t="s">
        <v>3701</v>
      </c>
      <c r="H1374" s="9" t="s">
        <v>3755</v>
      </c>
      <c r="I1374" s="10">
        <v>45579</v>
      </c>
    </row>
    <row r="1375" spans="1:9" x14ac:dyDescent="0.15">
      <c r="A1375" s="9">
        <v>1374</v>
      </c>
      <c r="B1375" s="9" t="s">
        <v>9</v>
      </c>
      <c r="C1375" s="9">
        <v>1917</v>
      </c>
      <c r="D1375" s="10">
        <v>45653</v>
      </c>
      <c r="E1375" s="9" t="str">
        <f>+HYPERLINK("http://trademark.i-assist.jp/data/china/image_1917th/81371573.pdf","81371573")</f>
        <v>81371573</v>
      </c>
      <c r="F1375" s="9" t="s">
        <v>3756</v>
      </c>
      <c r="G1375" s="12" t="s">
        <v>2487</v>
      </c>
      <c r="H1375" s="9" t="s">
        <v>3757</v>
      </c>
      <c r="I1375" s="10">
        <v>45579</v>
      </c>
    </row>
    <row r="1376" spans="1:9" x14ac:dyDescent="0.15">
      <c r="A1376" s="9">
        <v>1375</v>
      </c>
      <c r="B1376" s="9" t="s">
        <v>9</v>
      </c>
      <c r="C1376" s="9">
        <v>1917</v>
      </c>
      <c r="D1376" s="10">
        <v>45653</v>
      </c>
      <c r="E1376" s="9" t="str">
        <f>+HYPERLINK("http://trademark.i-assist.jp/data/china/image_1917th/81371731.pdf","81371731")</f>
        <v>81371731</v>
      </c>
      <c r="F1376" s="12" t="s">
        <v>3758</v>
      </c>
      <c r="G1376" s="9" t="s">
        <v>3707</v>
      </c>
      <c r="H1376" s="9" t="s">
        <v>3759</v>
      </c>
      <c r="I1376" s="10">
        <v>45579</v>
      </c>
    </row>
    <row r="1377" spans="1:9" x14ac:dyDescent="0.15">
      <c r="A1377" s="9">
        <v>1376</v>
      </c>
      <c r="B1377" s="9" t="s">
        <v>9</v>
      </c>
      <c r="C1377" s="9">
        <v>1917</v>
      </c>
      <c r="D1377" s="10">
        <v>45653</v>
      </c>
      <c r="E1377" s="9" t="str">
        <f>+HYPERLINK("http://trademark.i-assist.jp/data/china/image_1917th/81372011.pdf","81372011")</f>
        <v>81372011</v>
      </c>
      <c r="F1377" s="9" t="s">
        <v>3760</v>
      </c>
      <c r="G1377" s="9" t="s">
        <v>3761</v>
      </c>
      <c r="H1377" s="12" t="s">
        <v>3762</v>
      </c>
      <c r="I1377" s="10">
        <v>45579</v>
      </c>
    </row>
    <row r="1378" spans="1:9" x14ac:dyDescent="0.15">
      <c r="A1378" s="9">
        <v>1377</v>
      </c>
      <c r="B1378" s="9" t="s">
        <v>9</v>
      </c>
      <c r="C1378" s="9">
        <v>1917</v>
      </c>
      <c r="D1378" s="10">
        <v>45653</v>
      </c>
      <c r="E1378" s="9" t="str">
        <f>+HYPERLINK("http://trademark.i-assist.jp/data/china/image_1917th/81372405.pdf","81372405")</f>
        <v>81372405</v>
      </c>
      <c r="F1378" s="9" t="s">
        <v>3763</v>
      </c>
      <c r="G1378" s="12" t="s">
        <v>2487</v>
      </c>
      <c r="H1378" s="9" t="s">
        <v>3764</v>
      </c>
      <c r="I1378" s="10">
        <v>45579</v>
      </c>
    </row>
    <row r="1379" spans="1:9" x14ac:dyDescent="0.15">
      <c r="A1379" s="9">
        <v>1378</v>
      </c>
      <c r="B1379" s="9" t="s">
        <v>9</v>
      </c>
      <c r="C1379" s="9">
        <v>1917</v>
      </c>
      <c r="D1379" s="10">
        <v>45653</v>
      </c>
      <c r="E1379" s="9" t="str">
        <f>+HYPERLINK("http://trademark.i-assist.jp/data/china/image_1917th/81372467.pdf","81372467")</f>
        <v>81372467</v>
      </c>
      <c r="F1379" s="9" t="s">
        <v>3765</v>
      </c>
      <c r="G1379" s="12" t="s">
        <v>3766</v>
      </c>
      <c r="H1379" s="9" t="s">
        <v>3767</v>
      </c>
      <c r="I1379" s="10">
        <v>45579</v>
      </c>
    </row>
    <row r="1380" spans="1:9" x14ac:dyDescent="0.15">
      <c r="A1380" s="9">
        <v>1379</v>
      </c>
      <c r="B1380" s="9" t="s">
        <v>9</v>
      </c>
      <c r="C1380" s="9">
        <v>1917</v>
      </c>
      <c r="D1380" s="10">
        <v>45653</v>
      </c>
      <c r="E1380" s="9" t="str">
        <f>+HYPERLINK("http://trademark.i-assist.jp/data/china/image_1917th/81373052.pdf","81373052")</f>
        <v>81373052</v>
      </c>
      <c r="F1380" s="12" t="s">
        <v>3768</v>
      </c>
      <c r="G1380" s="9" t="s">
        <v>3769</v>
      </c>
      <c r="H1380" s="9" t="s">
        <v>3770</v>
      </c>
      <c r="I1380" s="10">
        <v>45579</v>
      </c>
    </row>
    <row r="1381" spans="1:9" x14ac:dyDescent="0.15">
      <c r="A1381" s="9">
        <v>1380</v>
      </c>
      <c r="B1381" s="9" t="s">
        <v>9</v>
      </c>
      <c r="C1381" s="9">
        <v>1917</v>
      </c>
      <c r="D1381" s="10">
        <v>45653</v>
      </c>
      <c r="E1381" s="9" t="str">
        <f>+HYPERLINK("http://trademark.i-assist.jp/data/china/image_1917th/81373308.pdf","81373308")</f>
        <v>81373308</v>
      </c>
      <c r="F1381" s="12" t="s">
        <v>3771</v>
      </c>
      <c r="G1381" s="9" t="s">
        <v>3772</v>
      </c>
      <c r="H1381" s="9" t="s">
        <v>3773</v>
      </c>
      <c r="I1381" s="10">
        <v>45579</v>
      </c>
    </row>
    <row r="1382" spans="1:9" x14ac:dyDescent="0.15">
      <c r="A1382" s="9">
        <v>1381</v>
      </c>
      <c r="B1382" s="9" t="s">
        <v>9</v>
      </c>
      <c r="C1382" s="9">
        <v>1917</v>
      </c>
      <c r="D1382" s="10">
        <v>45653</v>
      </c>
      <c r="E1382" s="9" t="str">
        <f>+HYPERLINK("http://trademark.i-assist.jp/data/china/image_1917th/81373411.pdf","81373411")</f>
        <v>81373411</v>
      </c>
      <c r="F1382" s="9" t="s">
        <v>3774</v>
      </c>
      <c r="G1382" s="12" t="s">
        <v>3775</v>
      </c>
      <c r="H1382" s="9" t="s">
        <v>3776</v>
      </c>
      <c r="I1382" s="10">
        <v>45579</v>
      </c>
    </row>
    <row r="1383" spans="1:9" x14ac:dyDescent="0.15">
      <c r="A1383" s="9">
        <v>1382</v>
      </c>
      <c r="B1383" s="9" t="s">
        <v>9</v>
      </c>
      <c r="C1383" s="9">
        <v>1917</v>
      </c>
      <c r="D1383" s="10">
        <v>45653</v>
      </c>
      <c r="E1383" s="9" t="str">
        <f>+HYPERLINK("http://trademark.i-assist.jp/data/china/image_1917th/81373697.pdf","81373697")</f>
        <v>81373697</v>
      </c>
      <c r="F1383" s="12" t="s">
        <v>3777</v>
      </c>
      <c r="G1383" s="9" t="s">
        <v>3778</v>
      </c>
      <c r="H1383" s="12" t="s">
        <v>3779</v>
      </c>
      <c r="I1383" s="10">
        <v>45579</v>
      </c>
    </row>
    <row r="1384" spans="1:9" x14ac:dyDescent="0.15">
      <c r="A1384" s="9">
        <v>1383</v>
      </c>
      <c r="B1384" s="9" t="s">
        <v>9</v>
      </c>
      <c r="C1384" s="9">
        <v>1917</v>
      </c>
      <c r="D1384" s="10">
        <v>45653</v>
      </c>
      <c r="E1384" s="9" t="str">
        <f>+HYPERLINK("http://trademark.i-assist.jp/data/china/image_1917th/81373948.pdf","81373948")</f>
        <v>81373948</v>
      </c>
      <c r="F1384" s="9" t="s">
        <v>3780</v>
      </c>
      <c r="G1384" s="9" t="s">
        <v>3781</v>
      </c>
      <c r="H1384" s="9" t="s">
        <v>3782</v>
      </c>
      <c r="I1384" s="10">
        <v>45579</v>
      </c>
    </row>
    <row r="1385" spans="1:9" x14ac:dyDescent="0.15">
      <c r="A1385" s="9">
        <v>1384</v>
      </c>
      <c r="B1385" s="9" t="s">
        <v>9</v>
      </c>
      <c r="C1385" s="9">
        <v>1917</v>
      </c>
      <c r="D1385" s="10">
        <v>45653</v>
      </c>
      <c r="E1385" s="9" t="str">
        <f>+HYPERLINK("http://trademark.i-assist.jp/data/china/image_1917th/81374704.pdf","81374704")</f>
        <v>81374704</v>
      </c>
      <c r="F1385" s="12" t="s">
        <v>3783</v>
      </c>
      <c r="G1385" s="12" t="s">
        <v>3784</v>
      </c>
      <c r="H1385" s="9" t="s">
        <v>3785</v>
      </c>
      <c r="I1385" s="10">
        <v>45579</v>
      </c>
    </row>
    <row r="1386" spans="1:9" x14ac:dyDescent="0.15">
      <c r="A1386" s="9">
        <v>1385</v>
      </c>
      <c r="B1386" s="9" t="s">
        <v>9</v>
      </c>
      <c r="C1386" s="9">
        <v>1917</v>
      </c>
      <c r="D1386" s="10">
        <v>45653</v>
      </c>
      <c r="E1386" s="9" t="str">
        <f>+HYPERLINK("http://trademark.i-assist.jp/data/china/image_1917th/81375362.pdf","81375362")</f>
        <v>81375362</v>
      </c>
      <c r="F1386" s="9" t="s">
        <v>3786</v>
      </c>
      <c r="G1386" s="9" t="s">
        <v>3787</v>
      </c>
      <c r="H1386" s="9" t="s">
        <v>357</v>
      </c>
      <c r="I1386" s="10">
        <v>45579</v>
      </c>
    </row>
    <row r="1387" spans="1:9" x14ac:dyDescent="0.15">
      <c r="A1387" s="9">
        <v>1386</v>
      </c>
      <c r="B1387" s="9" t="s">
        <v>9</v>
      </c>
      <c r="C1387" s="9">
        <v>1917</v>
      </c>
      <c r="D1387" s="10">
        <v>45653</v>
      </c>
      <c r="E1387" s="9" t="str">
        <f>+HYPERLINK("http://trademark.i-assist.jp/data/china/image_1917th/81375376.pdf","81375376")</f>
        <v>81375376</v>
      </c>
      <c r="F1387" s="9" t="s">
        <v>3788</v>
      </c>
      <c r="G1387" s="9" t="s">
        <v>3789</v>
      </c>
      <c r="H1387" s="9" t="s">
        <v>3790</v>
      </c>
      <c r="I1387" s="10">
        <v>45579</v>
      </c>
    </row>
    <row r="1388" spans="1:9" x14ac:dyDescent="0.15">
      <c r="A1388" s="9">
        <v>1387</v>
      </c>
      <c r="B1388" s="9" t="s">
        <v>9</v>
      </c>
      <c r="C1388" s="9">
        <v>1917</v>
      </c>
      <c r="D1388" s="10">
        <v>45653</v>
      </c>
      <c r="E1388" s="9" t="str">
        <f>+HYPERLINK("http://trademark.i-assist.jp/data/china/image_1917th/81375401.pdf","81375401")</f>
        <v>81375401</v>
      </c>
      <c r="F1388" s="9" t="s">
        <v>3791</v>
      </c>
      <c r="G1388" s="9" t="s">
        <v>3792</v>
      </c>
      <c r="H1388" s="9" t="s">
        <v>3793</v>
      </c>
      <c r="I1388" s="10">
        <v>45579</v>
      </c>
    </row>
    <row r="1389" spans="1:9" x14ac:dyDescent="0.15">
      <c r="A1389" s="9">
        <v>1388</v>
      </c>
      <c r="B1389" s="9" t="s">
        <v>9</v>
      </c>
      <c r="C1389" s="9">
        <v>1917</v>
      </c>
      <c r="D1389" s="10">
        <v>45653</v>
      </c>
      <c r="E1389" s="9" t="str">
        <f>+HYPERLINK("http://trademark.i-assist.jp/data/china/image_1917th/81375768.pdf","81375768")</f>
        <v>81375768</v>
      </c>
      <c r="F1389" s="9" t="s">
        <v>3794</v>
      </c>
      <c r="G1389" s="12" t="s">
        <v>3680</v>
      </c>
      <c r="H1389" s="9" t="s">
        <v>3795</v>
      </c>
      <c r="I1389" s="10">
        <v>45579</v>
      </c>
    </row>
    <row r="1390" spans="1:9" x14ac:dyDescent="0.15">
      <c r="A1390" s="9">
        <v>1389</v>
      </c>
      <c r="B1390" s="9" t="s">
        <v>9</v>
      </c>
      <c r="C1390" s="9">
        <v>1917</v>
      </c>
      <c r="D1390" s="10">
        <v>45653</v>
      </c>
      <c r="E1390" s="9" t="str">
        <f>+HYPERLINK("http://trademark.i-assist.jp/data/china/image_1917th/81377297.pdf","81377297")</f>
        <v>81377297</v>
      </c>
      <c r="F1390" s="9" t="s">
        <v>3796</v>
      </c>
      <c r="G1390" s="9" t="s">
        <v>3797</v>
      </c>
      <c r="H1390" s="9" t="s">
        <v>3798</v>
      </c>
      <c r="I1390" s="10">
        <v>45579</v>
      </c>
    </row>
    <row r="1391" spans="1:9" x14ac:dyDescent="0.15">
      <c r="A1391" s="9">
        <v>1390</v>
      </c>
      <c r="B1391" s="9" t="s">
        <v>9</v>
      </c>
      <c r="C1391" s="9">
        <v>1917</v>
      </c>
      <c r="D1391" s="10">
        <v>45653</v>
      </c>
      <c r="E1391" s="9" t="str">
        <f>+HYPERLINK("http://trademark.i-assist.jp/data/china/image_1917th/81377438.pdf","81377438")</f>
        <v>81377438</v>
      </c>
      <c r="F1391" s="9" t="s">
        <v>3799</v>
      </c>
      <c r="G1391" s="9" t="s">
        <v>3800</v>
      </c>
      <c r="H1391" s="9" t="s">
        <v>3801</v>
      </c>
      <c r="I1391" s="10">
        <v>45579</v>
      </c>
    </row>
    <row r="1392" spans="1:9" x14ac:dyDescent="0.15">
      <c r="A1392" s="9">
        <v>1391</v>
      </c>
      <c r="B1392" s="9" t="s">
        <v>9</v>
      </c>
      <c r="C1392" s="9">
        <v>1917</v>
      </c>
      <c r="D1392" s="10">
        <v>45653</v>
      </c>
      <c r="E1392" s="9" t="str">
        <f>+HYPERLINK("http://trademark.i-assist.jp/data/china/image_1917th/81377445.pdf","81377445")</f>
        <v>81377445</v>
      </c>
      <c r="F1392" s="9" t="s">
        <v>3802</v>
      </c>
      <c r="G1392" s="9" t="s">
        <v>3800</v>
      </c>
      <c r="H1392" s="9" t="s">
        <v>3803</v>
      </c>
      <c r="I1392" s="10">
        <v>45579</v>
      </c>
    </row>
    <row r="1393" spans="1:9" x14ac:dyDescent="0.15">
      <c r="A1393" s="9">
        <v>1392</v>
      </c>
      <c r="B1393" s="9" t="s">
        <v>9</v>
      </c>
      <c r="C1393" s="9">
        <v>1917</v>
      </c>
      <c r="D1393" s="10">
        <v>45653</v>
      </c>
      <c r="E1393" s="9" t="str">
        <f>+HYPERLINK("http://trademark.i-assist.jp/data/china/image_1917th/81377452.pdf","81377452")</f>
        <v>81377452</v>
      </c>
      <c r="F1393" s="12" t="s">
        <v>3804</v>
      </c>
      <c r="G1393" s="12" t="s">
        <v>2894</v>
      </c>
      <c r="H1393" s="9" t="s">
        <v>3805</v>
      </c>
      <c r="I1393" s="10">
        <v>45579</v>
      </c>
    </row>
    <row r="1394" spans="1:9" x14ac:dyDescent="0.15">
      <c r="A1394" s="9">
        <v>1393</v>
      </c>
      <c r="B1394" s="9" t="s">
        <v>9</v>
      </c>
      <c r="C1394" s="9">
        <v>1917</v>
      </c>
      <c r="D1394" s="10">
        <v>45653</v>
      </c>
      <c r="E1394" s="9" t="str">
        <f>+HYPERLINK("http://trademark.i-assist.jp/data/china/image_1917th/81377660.pdf","81377660")</f>
        <v>81377660</v>
      </c>
      <c r="F1394" s="12" t="s">
        <v>3806</v>
      </c>
      <c r="G1394" s="12" t="s">
        <v>3807</v>
      </c>
      <c r="H1394" s="9" t="s">
        <v>3808</v>
      </c>
      <c r="I1394" s="10">
        <v>45579</v>
      </c>
    </row>
    <row r="1395" spans="1:9" x14ac:dyDescent="0.15">
      <c r="A1395" s="9">
        <v>1394</v>
      </c>
      <c r="B1395" s="9" t="s">
        <v>9</v>
      </c>
      <c r="C1395" s="9">
        <v>1917</v>
      </c>
      <c r="D1395" s="10">
        <v>45653</v>
      </c>
      <c r="E1395" s="9" t="str">
        <f>+HYPERLINK("http://trademark.i-assist.jp/data/china/image_1917th/81379468.pdf","81379468")</f>
        <v>81379468</v>
      </c>
      <c r="F1395" s="12" t="s">
        <v>3809</v>
      </c>
      <c r="G1395" s="9" t="s">
        <v>3707</v>
      </c>
      <c r="H1395" s="9" t="s">
        <v>3810</v>
      </c>
      <c r="I1395" s="10">
        <v>45579</v>
      </c>
    </row>
    <row r="1396" spans="1:9" x14ac:dyDescent="0.15">
      <c r="A1396" s="9">
        <v>1395</v>
      </c>
      <c r="B1396" s="9" t="s">
        <v>9</v>
      </c>
      <c r="C1396" s="9">
        <v>1917</v>
      </c>
      <c r="D1396" s="10">
        <v>45653</v>
      </c>
      <c r="E1396" s="9" t="str">
        <f>+HYPERLINK("http://trademark.i-assist.jp/data/china/image_1917th/81379512.pdf","81379512")</f>
        <v>81379512</v>
      </c>
      <c r="F1396" s="9" t="s">
        <v>3811</v>
      </c>
      <c r="G1396" s="9" t="s">
        <v>3812</v>
      </c>
      <c r="H1396" s="9" t="s">
        <v>3813</v>
      </c>
      <c r="I1396" s="10">
        <v>45579</v>
      </c>
    </row>
    <row r="1397" spans="1:9" x14ac:dyDescent="0.15">
      <c r="A1397" s="9">
        <v>1396</v>
      </c>
      <c r="B1397" s="9" t="s">
        <v>9</v>
      </c>
      <c r="C1397" s="9">
        <v>1917</v>
      </c>
      <c r="D1397" s="10">
        <v>45653</v>
      </c>
      <c r="E1397" s="9" t="str">
        <f>+HYPERLINK("http://trademark.i-assist.jp/data/china/image_1917th/81379828.pdf","81379828")</f>
        <v>81379828</v>
      </c>
      <c r="F1397" s="12" t="s">
        <v>3814</v>
      </c>
      <c r="G1397" s="12" t="s">
        <v>3815</v>
      </c>
      <c r="H1397" s="9" t="s">
        <v>3816</v>
      </c>
      <c r="I1397" s="10">
        <v>45579</v>
      </c>
    </row>
    <row r="1398" spans="1:9" x14ac:dyDescent="0.15">
      <c r="A1398" s="9">
        <v>1397</v>
      </c>
      <c r="B1398" s="9" t="s">
        <v>9</v>
      </c>
      <c r="C1398" s="9">
        <v>1917</v>
      </c>
      <c r="D1398" s="10">
        <v>45653</v>
      </c>
      <c r="E1398" s="9" t="str">
        <f>+HYPERLINK("http://trademark.i-assist.jp/data/china/image_1917th/81380492.pdf","81380492")</f>
        <v>81380492</v>
      </c>
      <c r="F1398" s="9" t="s">
        <v>3817</v>
      </c>
      <c r="G1398" s="12" t="s">
        <v>2894</v>
      </c>
      <c r="H1398" s="9" t="s">
        <v>3818</v>
      </c>
      <c r="I1398" s="10">
        <v>45579</v>
      </c>
    </row>
    <row r="1399" spans="1:9" x14ac:dyDescent="0.15">
      <c r="A1399" s="9">
        <v>1398</v>
      </c>
      <c r="B1399" s="9" t="s">
        <v>9</v>
      </c>
      <c r="C1399" s="9">
        <v>1917</v>
      </c>
      <c r="D1399" s="10">
        <v>45653</v>
      </c>
      <c r="E1399" s="9" t="str">
        <f>+HYPERLINK("http://trademark.i-assist.jp/data/china/image_1917th/81380700.pdf","81380700")</f>
        <v>81380700</v>
      </c>
      <c r="F1399" s="12" t="s">
        <v>12</v>
      </c>
      <c r="G1399" s="9" t="s">
        <v>3819</v>
      </c>
      <c r="H1399" s="9" t="s">
        <v>3820</v>
      </c>
      <c r="I1399" s="10">
        <v>45579</v>
      </c>
    </row>
    <row r="1400" spans="1:9" x14ac:dyDescent="0.15">
      <c r="A1400" s="9">
        <v>1399</v>
      </c>
      <c r="B1400" s="9" t="s">
        <v>9</v>
      </c>
      <c r="C1400" s="9">
        <v>1917</v>
      </c>
      <c r="D1400" s="10">
        <v>45653</v>
      </c>
      <c r="E1400" s="9" t="str">
        <f>+HYPERLINK("http://trademark.i-assist.jp/data/china/image_1917th/81380736.pdf","81380736")</f>
        <v>81380736</v>
      </c>
      <c r="F1400" s="9" t="s">
        <v>3821</v>
      </c>
      <c r="G1400" s="12" t="s">
        <v>2487</v>
      </c>
      <c r="H1400" s="9" t="s">
        <v>3822</v>
      </c>
      <c r="I1400" s="10">
        <v>45579</v>
      </c>
    </row>
    <row r="1401" spans="1:9" x14ac:dyDescent="0.15">
      <c r="A1401" s="9">
        <v>1400</v>
      </c>
      <c r="B1401" s="9" t="s">
        <v>9</v>
      </c>
      <c r="C1401" s="9">
        <v>1917</v>
      </c>
      <c r="D1401" s="10">
        <v>45653</v>
      </c>
      <c r="E1401" s="9" t="str">
        <f>+HYPERLINK("http://trademark.i-assist.jp/data/china/image_1917th/81382200.pdf","81382200")</f>
        <v>81382200</v>
      </c>
      <c r="F1401" s="9" t="s">
        <v>3823</v>
      </c>
      <c r="G1401" s="12" t="s">
        <v>3824</v>
      </c>
      <c r="H1401" s="9" t="s">
        <v>3825</v>
      </c>
      <c r="I1401" s="10">
        <v>45580</v>
      </c>
    </row>
    <row r="1402" spans="1:9" x14ac:dyDescent="0.15">
      <c r="A1402" s="9">
        <v>1401</v>
      </c>
      <c r="B1402" s="9" t="s">
        <v>9</v>
      </c>
      <c r="C1402" s="9">
        <v>1917</v>
      </c>
      <c r="D1402" s="10">
        <v>45653</v>
      </c>
      <c r="E1402" s="9" t="str">
        <f>+HYPERLINK("http://trademark.i-assist.jp/data/china/image_1917th/81382205.pdf","81382205")</f>
        <v>81382205</v>
      </c>
      <c r="F1402" s="9" t="s">
        <v>3826</v>
      </c>
      <c r="G1402" s="12" t="s">
        <v>3824</v>
      </c>
      <c r="H1402" s="9" t="s">
        <v>3827</v>
      </c>
      <c r="I1402" s="10">
        <v>45580</v>
      </c>
    </row>
    <row r="1403" spans="1:9" x14ac:dyDescent="0.15">
      <c r="A1403" s="9">
        <v>1402</v>
      </c>
      <c r="B1403" s="9" t="s">
        <v>9</v>
      </c>
      <c r="C1403" s="9">
        <v>1917</v>
      </c>
      <c r="D1403" s="10">
        <v>45653</v>
      </c>
      <c r="E1403" s="9" t="str">
        <f>+HYPERLINK("http://trademark.i-assist.jp/data/china/image_1917th/81382465.pdf","81382465")</f>
        <v>81382465</v>
      </c>
      <c r="F1403" s="9" t="s">
        <v>3828</v>
      </c>
      <c r="G1403" s="9" t="s">
        <v>3829</v>
      </c>
      <c r="H1403" s="9" t="s">
        <v>3830</v>
      </c>
      <c r="I1403" s="10">
        <v>45580</v>
      </c>
    </row>
    <row r="1404" spans="1:9" x14ac:dyDescent="0.15">
      <c r="A1404" s="9">
        <v>1403</v>
      </c>
      <c r="B1404" s="9" t="s">
        <v>9</v>
      </c>
      <c r="C1404" s="9">
        <v>1917</v>
      </c>
      <c r="D1404" s="10">
        <v>45653</v>
      </c>
      <c r="E1404" s="9" t="str">
        <f>+HYPERLINK("http://trademark.i-assist.jp/data/china/image_1917th/81382532.pdf","81382532")</f>
        <v>81382532</v>
      </c>
      <c r="F1404" s="9" t="s">
        <v>3831</v>
      </c>
      <c r="G1404" s="12" t="s">
        <v>3832</v>
      </c>
      <c r="H1404" s="9" t="s">
        <v>3833</v>
      </c>
      <c r="I1404" s="10">
        <v>45580</v>
      </c>
    </row>
    <row r="1405" spans="1:9" x14ac:dyDescent="0.15">
      <c r="A1405" s="9">
        <v>1404</v>
      </c>
      <c r="B1405" s="9" t="s">
        <v>9</v>
      </c>
      <c r="C1405" s="9">
        <v>1917</v>
      </c>
      <c r="D1405" s="10">
        <v>45653</v>
      </c>
      <c r="E1405" s="9" t="str">
        <f>+HYPERLINK("http://trademark.i-assist.jp/data/china/image_1917th/81382676.pdf","81382676")</f>
        <v>81382676</v>
      </c>
      <c r="F1405" s="9" t="s">
        <v>3834</v>
      </c>
      <c r="G1405" s="9" t="s">
        <v>3835</v>
      </c>
      <c r="H1405" s="9" t="s">
        <v>10</v>
      </c>
      <c r="I1405" s="10">
        <v>45580</v>
      </c>
    </row>
    <row r="1406" spans="1:9" x14ac:dyDescent="0.15">
      <c r="A1406" s="9">
        <v>1405</v>
      </c>
      <c r="B1406" s="9" t="s">
        <v>9</v>
      </c>
      <c r="C1406" s="9">
        <v>1917</v>
      </c>
      <c r="D1406" s="10">
        <v>45653</v>
      </c>
      <c r="E1406" s="9" t="str">
        <f>+HYPERLINK("http://trademark.i-assist.jp/data/china/image_1917th/81382947.pdf","81382947")</f>
        <v>81382947</v>
      </c>
      <c r="F1406" s="9" t="s">
        <v>3836</v>
      </c>
      <c r="G1406" s="9" t="s">
        <v>3837</v>
      </c>
      <c r="H1406" s="12" t="s">
        <v>3838</v>
      </c>
      <c r="I1406" s="10">
        <v>45580</v>
      </c>
    </row>
    <row r="1407" spans="1:9" x14ac:dyDescent="0.15">
      <c r="A1407" s="9">
        <v>1406</v>
      </c>
      <c r="B1407" s="9" t="s">
        <v>9</v>
      </c>
      <c r="C1407" s="9">
        <v>1917</v>
      </c>
      <c r="D1407" s="10">
        <v>45653</v>
      </c>
      <c r="E1407" s="9" t="str">
        <f>+HYPERLINK("http://trademark.i-assist.jp/data/china/image_1917th/81383612.pdf","81383612")</f>
        <v>81383612</v>
      </c>
      <c r="F1407" s="12" t="s">
        <v>3839</v>
      </c>
      <c r="G1407" s="12" t="s">
        <v>3840</v>
      </c>
      <c r="H1407" s="12" t="s">
        <v>3841</v>
      </c>
      <c r="I1407" s="10">
        <v>45580</v>
      </c>
    </row>
    <row r="1408" spans="1:9" x14ac:dyDescent="0.15">
      <c r="A1408" s="9">
        <v>1407</v>
      </c>
      <c r="B1408" s="9" t="s">
        <v>9</v>
      </c>
      <c r="C1408" s="9">
        <v>1917</v>
      </c>
      <c r="D1408" s="10">
        <v>45653</v>
      </c>
      <c r="E1408" s="9" t="str">
        <f>+HYPERLINK("http://trademark.i-assist.jp/data/china/image_1917th/81383742.pdf","81383742")</f>
        <v>81383742</v>
      </c>
      <c r="F1408" s="12" t="s">
        <v>12</v>
      </c>
      <c r="G1408" s="9" t="s">
        <v>3842</v>
      </c>
      <c r="H1408" s="9" t="s">
        <v>3843</v>
      </c>
      <c r="I1408" s="10">
        <v>45580</v>
      </c>
    </row>
    <row r="1409" spans="1:9" x14ac:dyDescent="0.15">
      <c r="A1409" s="9">
        <v>1408</v>
      </c>
      <c r="B1409" s="9" t="s">
        <v>9</v>
      </c>
      <c r="C1409" s="9">
        <v>1917</v>
      </c>
      <c r="D1409" s="10">
        <v>45653</v>
      </c>
      <c r="E1409" s="9" t="str">
        <f>+HYPERLINK("http://trademark.i-assist.jp/data/china/image_1917th/81384996.pdf","81384996")</f>
        <v>81384996</v>
      </c>
      <c r="F1409" s="9" t="s">
        <v>3844</v>
      </c>
      <c r="G1409" s="9" t="s">
        <v>3845</v>
      </c>
      <c r="H1409" s="12" t="s">
        <v>3846</v>
      </c>
      <c r="I1409" s="10">
        <v>45580</v>
      </c>
    </row>
    <row r="1410" spans="1:9" x14ac:dyDescent="0.15">
      <c r="A1410" s="9">
        <v>1409</v>
      </c>
      <c r="B1410" s="9" t="s">
        <v>9</v>
      </c>
      <c r="C1410" s="9">
        <v>1917</v>
      </c>
      <c r="D1410" s="10">
        <v>45653</v>
      </c>
      <c r="E1410" s="9" t="str">
        <f>+HYPERLINK("http://trademark.i-assist.jp/data/china/image_1917th/81385281.pdf","81385281")</f>
        <v>81385281</v>
      </c>
      <c r="F1410" s="12" t="s">
        <v>3847</v>
      </c>
      <c r="G1410" s="12" t="s">
        <v>3840</v>
      </c>
      <c r="H1410" s="12" t="s">
        <v>3848</v>
      </c>
      <c r="I1410" s="10">
        <v>45580</v>
      </c>
    </row>
    <row r="1411" spans="1:9" x14ac:dyDescent="0.15">
      <c r="A1411" s="9">
        <v>1410</v>
      </c>
      <c r="B1411" s="9" t="s">
        <v>9</v>
      </c>
      <c r="C1411" s="9">
        <v>1917</v>
      </c>
      <c r="D1411" s="10">
        <v>45653</v>
      </c>
      <c r="E1411" s="9" t="str">
        <f>+HYPERLINK("http://trademark.i-assist.jp/data/china/image_1917th/81387983.pdf","81387983")</f>
        <v>81387983</v>
      </c>
      <c r="F1411" s="9" t="s">
        <v>3849</v>
      </c>
      <c r="G1411" s="9" t="s">
        <v>25</v>
      </c>
      <c r="H1411" s="9" t="s">
        <v>3850</v>
      </c>
      <c r="I1411" s="10">
        <v>45580</v>
      </c>
    </row>
    <row r="1412" spans="1:9" x14ac:dyDescent="0.15">
      <c r="A1412" s="9">
        <v>1411</v>
      </c>
      <c r="B1412" s="9" t="s">
        <v>9</v>
      </c>
      <c r="C1412" s="9">
        <v>1917</v>
      </c>
      <c r="D1412" s="10">
        <v>45653</v>
      </c>
      <c r="E1412" s="9" t="str">
        <f>+HYPERLINK("http://trademark.i-assist.jp/data/china/image_1917th/81388185.pdf","81388185")</f>
        <v>81388185</v>
      </c>
      <c r="F1412" s="12" t="s">
        <v>3851</v>
      </c>
      <c r="G1412" s="9" t="s">
        <v>3852</v>
      </c>
      <c r="H1412" s="9" t="s">
        <v>3853</v>
      </c>
      <c r="I1412" s="10">
        <v>45580</v>
      </c>
    </row>
    <row r="1413" spans="1:9" x14ac:dyDescent="0.15">
      <c r="A1413" s="9">
        <v>1412</v>
      </c>
      <c r="B1413" s="9" t="s">
        <v>9</v>
      </c>
      <c r="C1413" s="9">
        <v>1917</v>
      </c>
      <c r="D1413" s="10">
        <v>45653</v>
      </c>
      <c r="E1413" s="9" t="str">
        <f>+HYPERLINK("http://trademark.i-assist.jp/data/china/image_1917th/81389891.pdf","81389891")</f>
        <v>81389891</v>
      </c>
      <c r="F1413" s="9" t="s">
        <v>3854</v>
      </c>
      <c r="G1413" s="9" t="s">
        <v>3855</v>
      </c>
      <c r="H1413" s="9" t="s">
        <v>3856</v>
      </c>
      <c r="I1413" s="10">
        <v>45580</v>
      </c>
    </row>
    <row r="1414" spans="1:9" x14ac:dyDescent="0.15">
      <c r="A1414" s="9">
        <v>1413</v>
      </c>
      <c r="B1414" s="9" t="s">
        <v>9</v>
      </c>
      <c r="C1414" s="9">
        <v>1917</v>
      </c>
      <c r="D1414" s="10">
        <v>45653</v>
      </c>
      <c r="E1414" s="9" t="str">
        <f>+HYPERLINK("http://trademark.i-assist.jp/data/china/image_1917th/81390231.pdf","81390231")</f>
        <v>81390231</v>
      </c>
      <c r="F1414" s="9" t="s">
        <v>3857</v>
      </c>
      <c r="G1414" s="9" t="s">
        <v>3858</v>
      </c>
      <c r="H1414" s="9" t="s">
        <v>3859</v>
      </c>
      <c r="I1414" s="10">
        <v>45580</v>
      </c>
    </row>
    <row r="1415" spans="1:9" x14ac:dyDescent="0.15">
      <c r="A1415" s="9">
        <v>1414</v>
      </c>
      <c r="B1415" s="9" t="s">
        <v>9</v>
      </c>
      <c r="C1415" s="9">
        <v>1917</v>
      </c>
      <c r="D1415" s="10">
        <v>45653</v>
      </c>
      <c r="E1415" s="9" t="str">
        <f>+HYPERLINK("http://trademark.i-assist.jp/data/china/image_1917th/81390542.pdf","81390542")</f>
        <v>81390542</v>
      </c>
      <c r="F1415" s="9" t="s">
        <v>3860</v>
      </c>
      <c r="G1415" s="12" t="s">
        <v>3861</v>
      </c>
      <c r="H1415" s="12" t="s">
        <v>3862</v>
      </c>
      <c r="I1415" s="10">
        <v>45580</v>
      </c>
    </row>
    <row r="1416" spans="1:9" x14ac:dyDescent="0.15">
      <c r="A1416" s="9">
        <v>1415</v>
      </c>
      <c r="B1416" s="9" t="s">
        <v>9</v>
      </c>
      <c r="C1416" s="9">
        <v>1917</v>
      </c>
      <c r="D1416" s="10">
        <v>45653</v>
      </c>
      <c r="E1416" s="9" t="str">
        <f>+HYPERLINK("http://trademark.i-assist.jp/data/china/image_1917th/81390778.pdf","81390778")</f>
        <v>81390778</v>
      </c>
      <c r="F1416" s="9" t="s">
        <v>3863</v>
      </c>
      <c r="G1416" s="9" t="s">
        <v>3864</v>
      </c>
      <c r="H1416" s="9" t="s">
        <v>3865</v>
      </c>
      <c r="I1416" s="10">
        <v>45580</v>
      </c>
    </row>
    <row r="1417" spans="1:9" x14ac:dyDescent="0.15">
      <c r="A1417" s="9">
        <v>1416</v>
      </c>
      <c r="B1417" s="9" t="s">
        <v>9</v>
      </c>
      <c r="C1417" s="9">
        <v>1917</v>
      </c>
      <c r="D1417" s="10">
        <v>45653</v>
      </c>
      <c r="E1417" s="9" t="str">
        <f>+HYPERLINK("http://trademark.i-assist.jp/data/china/image_1917th/81391116.pdf","81391116")</f>
        <v>81391116</v>
      </c>
      <c r="F1417" s="9" t="s">
        <v>3866</v>
      </c>
      <c r="G1417" s="12" t="s">
        <v>3867</v>
      </c>
      <c r="H1417" s="9" t="s">
        <v>3868</v>
      </c>
      <c r="I1417" s="10">
        <v>45580</v>
      </c>
    </row>
    <row r="1418" spans="1:9" x14ac:dyDescent="0.15">
      <c r="A1418" s="9">
        <v>1417</v>
      </c>
      <c r="B1418" s="9" t="s">
        <v>9</v>
      </c>
      <c r="C1418" s="9">
        <v>1917</v>
      </c>
      <c r="D1418" s="10">
        <v>45653</v>
      </c>
      <c r="E1418" s="9" t="str">
        <f>+HYPERLINK("http://trademark.i-assist.jp/data/china/image_1917th/81392994.pdf","81392994")</f>
        <v>81392994</v>
      </c>
      <c r="F1418" s="12" t="s">
        <v>12</v>
      </c>
      <c r="G1418" s="9" t="s">
        <v>3869</v>
      </c>
      <c r="H1418" s="9" t="s">
        <v>3870</v>
      </c>
      <c r="I1418" s="10">
        <v>45580</v>
      </c>
    </row>
    <row r="1419" spans="1:9" x14ac:dyDescent="0.15">
      <c r="A1419" s="9">
        <v>1418</v>
      </c>
      <c r="B1419" s="9" t="s">
        <v>9</v>
      </c>
      <c r="C1419" s="9">
        <v>1917</v>
      </c>
      <c r="D1419" s="10">
        <v>45653</v>
      </c>
      <c r="E1419" s="9" t="str">
        <f>+HYPERLINK("http://trademark.i-assist.jp/data/china/image_1917th/81393222.pdf","81393222")</f>
        <v>81393222</v>
      </c>
      <c r="F1419" s="9" t="s">
        <v>3871</v>
      </c>
      <c r="G1419" s="9" t="s">
        <v>3872</v>
      </c>
      <c r="H1419" s="9" t="s">
        <v>3873</v>
      </c>
      <c r="I1419" s="10">
        <v>45580</v>
      </c>
    </row>
    <row r="1420" spans="1:9" x14ac:dyDescent="0.15">
      <c r="A1420" s="9">
        <v>1419</v>
      </c>
      <c r="B1420" s="9" t="s">
        <v>9</v>
      </c>
      <c r="C1420" s="9">
        <v>1917</v>
      </c>
      <c r="D1420" s="10">
        <v>45653</v>
      </c>
      <c r="E1420" s="9" t="str">
        <f>+HYPERLINK("http://trademark.i-assist.jp/data/china/image_1917th/81394708.pdf","81394708")</f>
        <v>81394708</v>
      </c>
      <c r="F1420" s="11" t="s">
        <v>3874</v>
      </c>
      <c r="G1420" s="12" t="s">
        <v>3875</v>
      </c>
      <c r="H1420" s="9" t="s">
        <v>3876</v>
      </c>
      <c r="I1420" s="10">
        <v>45580</v>
      </c>
    </row>
    <row r="1421" spans="1:9" x14ac:dyDescent="0.15">
      <c r="A1421" s="9">
        <v>1420</v>
      </c>
      <c r="B1421" s="9" t="s">
        <v>9</v>
      </c>
      <c r="C1421" s="9">
        <v>1917</v>
      </c>
      <c r="D1421" s="10">
        <v>45653</v>
      </c>
      <c r="E1421" s="9" t="str">
        <f>+HYPERLINK("http://trademark.i-assist.jp/data/china/image_1917th/81394760.pdf","81394760")</f>
        <v>81394760</v>
      </c>
      <c r="F1421" s="9" t="s">
        <v>3877</v>
      </c>
      <c r="G1421" s="9" t="s">
        <v>54</v>
      </c>
      <c r="H1421" s="12" t="s">
        <v>3878</v>
      </c>
      <c r="I1421" s="10">
        <v>45580</v>
      </c>
    </row>
    <row r="1422" spans="1:9" x14ac:dyDescent="0.15">
      <c r="A1422" s="9">
        <v>1421</v>
      </c>
      <c r="B1422" s="9" t="s">
        <v>9</v>
      </c>
      <c r="C1422" s="9">
        <v>1917</v>
      </c>
      <c r="D1422" s="10">
        <v>45653</v>
      </c>
      <c r="E1422" s="9" t="str">
        <f>+HYPERLINK("http://trademark.i-assist.jp/data/china/image_1917th/81395349.pdf","81395349")</f>
        <v>81395349</v>
      </c>
      <c r="F1422" s="9" t="s">
        <v>3879</v>
      </c>
      <c r="G1422" s="9" t="s">
        <v>3880</v>
      </c>
      <c r="H1422" s="9" t="s">
        <v>3881</v>
      </c>
      <c r="I1422" s="10">
        <v>45580</v>
      </c>
    </row>
    <row r="1423" spans="1:9" x14ac:dyDescent="0.15">
      <c r="A1423" s="9">
        <v>1422</v>
      </c>
      <c r="B1423" s="9" t="s">
        <v>9</v>
      </c>
      <c r="C1423" s="9">
        <v>1917</v>
      </c>
      <c r="D1423" s="10">
        <v>45653</v>
      </c>
      <c r="E1423" s="9" t="str">
        <f>+HYPERLINK("http://trademark.i-assist.jp/data/china/image_1917th/81395368.pdf","81395368")</f>
        <v>81395368</v>
      </c>
      <c r="F1423" s="9" t="s">
        <v>3882</v>
      </c>
      <c r="G1423" s="9" t="s">
        <v>3883</v>
      </c>
      <c r="H1423" s="12" t="s">
        <v>3884</v>
      </c>
      <c r="I1423" s="10">
        <v>45580</v>
      </c>
    </row>
    <row r="1424" spans="1:9" x14ac:dyDescent="0.15">
      <c r="A1424" s="9">
        <v>1423</v>
      </c>
      <c r="B1424" s="9" t="s">
        <v>9</v>
      </c>
      <c r="C1424" s="9">
        <v>1917</v>
      </c>
      <c r="D1424" s="10">
        <v>45653</v>
      </c>
      <c r="E1424" s="9" t="str">
        <f>+HYPERLINK("http://trademark.i-assist.jp/data/china/image_1917th/81395643.pdf","81395643")</f>
        <v>81395643</v>
      </c>
      <c r="F1424" s="9" t="s">
        <v>3885</v>
      </c>
      <c r="G1424" s="9" t="s">
        <v>3886</v>
      </c>
      <c r="H1424" s="9" t="s">
        <v>3887</v>
      </c>
      <c r="I1424" s="10">
        <v>45580</v>
      </c>
    </row>
    <row r="1425" spans="1:9" x14ac:dyDescent="0.15">
      <c r="A1425" s="9">
        <v>1424</v>
      </c>
      <c r="B1425" s="9" t="s">
        <v>9</v>
      </c>
      <c r="C1425" s="9">
        <v>1917</v>
      </c>
      <c r="D1425" s="10">
        <v>45653</v>
      </c>
      <c r="E1425" s="9" t="str">
        <f>+HYPERLINK("http://trademark.i-assist.jp/data/china/image_1917th/81397436.pdf","81397436")</f>
        <v>81397436</v>
      </c>
      <c r="F1425" s="9" t="s">
        <v>3888</v>
      </c>
      <c r="G1425" s="9" t="s">
        <v>3889</v>
      </c>
      <c r="H1425" s="9" t="s">
        <v>3890</v>
      </c>
      <c r="I1425" s="10">
        <v>45580</v>
      </c>
    </row>
    <row r="1426" spans="1:9" x14ac:dyDescent="0.15">
      <c r="A1426" s="9">
        <v>1425</v>
      </c>
      <c r="B1426" s="9" t="s">
        <v>9</v>
      </c>
      <c r="C1426" s="9">
        <v>1917</v>
      </c>
      <c r="D1426" s="10">
        <v>45653</v>
      </c>
      <c r="E1426" s="9" t="str">
        <f>+HYPERLINK("http://trademark.i-assist.jp/data/china/image_1917th/81397605.pdf","81397605")</f>
        <v>81397605</v>
      </c>
      <c r="F1426" s="9" t="s">
        <v>3891</v>
      </c>
      <c r="G1426" s="12" t="s">
        <v>1126</v>
      </c>
      <c r="H1426" s="9" t="s">
        <v>3892</v>
      </c>
      <c r="I1426" s="10">
        <v>45580</v>
      </c>
    </row>
    <row r="1427" spans="1:9" x14ac:dyDescent="0.15">
      <c r="A1427" s="9">
        <v>1426</v>
      </c>
      <c r="B1427" s="9" t="s">
        <v>9</v>
      </c>
      <c r="C1427" s="9">
        <v>1917</v>
      </c>
      <c r="D1427" s="10">
        <v>45653</v>
      </c>
      <c r="E1427" s="9" t="str">
        <f>+HYPERLINK("http://trademark.i-assist.jp/data/china/image_1917th/81397841.pdf","81397841")</f>
        <v>81397841</v>
      </c>
      <c r="F1427" s="9" t="s">
        <v>3893</v>
      </c>
      <c r="G1427" s="12" t="s">
        <v>3840</v>
      </c>
      <c r="H1427" s="9" t="s">
        <v>3894</v>
      </c>
      <c r="I1427" s="10">
        <v>45580</v>
      </c>
    </row>
    <row r="1428" spans="1:9" x14ac:dyDescent="0.15">
      <c r="A1428" s="9">
        <v>1427</v>
      </c>
      <c r="B1428" s="9" t="s">
        <v>9</v>
      </c>
      <c r="C1428" s="9">
        <v>1917</v>
      </c>
      <c r="D1428" s="10">
        <v>45653</v>
      </c>
      <c r="E1428" s="9" t="str">
        <f>+HYPERLINK("http://trademark.i-assist.jp/data/china/image_1917th/81400106.pdf","81400106")</f>
        <v>81400106</v>
      </c>
      <c r="F1428" s="12" t="s">
        <v>3895</v>
      </c>
      <c r="G1428" s="9" t="s">
        <v>3896</v>
      </c>
      <c r="H1428" s="9" t="s">
        <v>3897</v>
      </c>
      <c r="I1428" s="10">
        <v>45580</v>
      </c>
    </row>
    <row r="1429" spans="1:9" x14ac:dyDescent="0.15">
      <c r="A1429" s="9">
        <v>1428</v>
      </c>
      <c r="B1429" s="9" t="s">
        <v>9</v>
      </c>
      <c r="C1429" s="9">
        <v>1917</v>
      </c>
      <c r="D1429" s="10">
        <v>45653</v>
      </c>
      <c r="E1429" s="9" t="str">
        <f>+HYPERLINK("http://trademark.i-assist.jp/data/china/image_1917th/81401087.pdf","81401087")</f>
        <v>81401087</v>
      </c>
      <c r="F1429" s="12" t="s">
        <v>12</v>
      </c>
      <c r="G1429" s="9" t="s">
        <v>3898</v>
      </c>
      <c r="H1429" s="9" t="s">
        <v>3899</v>
      </c>
      <c r="I1429" s="10">
        <v>45580</v>
      </c>
    </row>
    <row r="1430" spans="1:9" x14ac:dyDescent="0.15">
      <c r="A1430" s="9">
        <v>1429</v>
      </c>
      <c r="B1430" s="9" t="s">
        <v>9</v>
      </c>
      <c r="C1430" s="9">
        <v>1917</v>
      </c>
      <c r="D1430" s="10">
        <v>45653</v>
      </c>
      <c r="E1430" s="9" t="str">
        <f>+HYPERLINK("http://trademark.i-assist.jp/data/china/image_1917th/81401721.pdf","81401721")</f>
        <v>81401721</v>
      </c>
      <c r="F1430" s="9" t="s">
        <v>3900</v>
      </c>
      <c r="G1430" s="9" t="s">
        <v>35</v>
      </c>
      <c r="H1430" s="9" t="s">
        <v>3901</v>
      </c>
      <c r="I1430" s="10">
        <v>45580</v>
      </c>
    </row>
    <row r="1431" spans="1:9" x14ac:dyDescent="0.15">
      <c r="A1431" s="9">
        <v>1430</v>
      </c>
      <c r="B1431" s="9" t="s">
        <v>9</v>
      </c>
      <c r="C1431" s="9">
        <v>1917</v>
      </c>
      <c r="D1431" s="10">
        <v>45653</v>
      </c>
      <c r="E1431" s="9" t="str">
        <f>+HYPERLINK("http://trademark.i-assist.jp/data/china/image_1917th/81402803.pdf","81402803")</f>
        <v>81402803</v>
      </c>
      <c r="F1431" s="9" t="s">
        <v>3902</v>
      </c>
      <c r="G1431" s="9" t="s">
        <v>3903</v>
      </c>
      <c r="H1431" s="9" t="s">
        <v>3904</v>
      </c>
      <c r="I1431" s="10">
        <v>45580</v>
      </c>
    </row>
    <row r="1432" spans="1:9" x14ac:dyDescent="0.15">
      <c r="A1432" s="9">
        <v>1431</v>
      </c>
      <c r="B1432" s="9" t="s">
        <v>9</v>
      </c>
      <c r="C1432" s="9">
        <v>1917</v>
      </c>
      <c r="D1432" s="10">
        <v>45653</v>
      </c>
      <c r="E1432" s="9" t="str">
        <f>+HYPERLINK("http://trademark.i-assist.jp/data/china/image_1917th/81403438.pdf","81403438")</f>
        <v>81403438</v>
      </c>
      <c r="F1432" s="9" t="s">
        <v>3905</v>
      </c>
      <c r="G1432" s="9" t="s">
        <v>3883</v>
      </c>
      <c r="H1432" s="12" t="s">
        <v>3906</v>
      </c>
      <c r="I1432" s="10">
        <v>45580</v>
      </c>
    </row>
    <row r="1433" spans="1:9" x14ac:dyDescent="0.15">
      <c r="A1433" s="9">
        <v>1432</v>
      </c>
      <c r="B1433" s="9" t="s">
        <v>9</v>
      </c>
      <c r="C1433" s="9">
        <v>1917</v>
      </c>
      <c r="D1433" s="10">
        <v>45653</v>
      </c>
      <c r="E1433" s="9" t="str">
        <f>+HYPERLINK("http://trademark.i-assist.jp/data/china/image_1917th/81404817.pdf","81404817")</f>
        <v>81404817</v>
      </c>
      <c r="F1433" s="12" t="s">
        <v>3907</v>
      </c>
      <c r="G1433" s="12" t="s">
        <v>3908</v>
      </c>
      <c r="H1433" s="12" t="s">
        <v>3909</v>
      </c>
      <c r="I1433" s="10">
        <v>45580</v>
      </c>
    </row>
    <row r="1434" spans="1:9" x14ac:dyDescent="0.15">
      <c r="A1434" s="9">
        <v>1433</v>
      </c>
      <c r="B1434" s="9" t="s">
        <v>9</v>
      </c>
      <c r="C1434" s="9">
        <v>1917</v>
      </c>
      <c r="D1434" s="10">
        <v>45653</v>
      </c>
      <c r="E1434" s="9" t="str">
        <f>+HYPERLINK("http://trademark.i-assist.jp/data/china/image_1917th/81486390.pdf","81486390")</f>
        <v>81486390</v>
      </c>
      <c r="F1434" s="9" t="s">
        <v>3910</v>
      </c>
      <c r="G1434" s="9" t="s">
        <v>25</v>
      </c>
      <c r="H1434" s="9" t="s">
        <v>3911</v>
      </c>
      <c r="I1434" s="10">
        <v>45586</v>
      </c>
    </row>
    <row r="1435" spans="1:9" x14ac:dyDescent="0.15">
      <c r="A1435" s="9">
        <v>1434</v>
      </c>
      <c r="B1435" s="9" t="s">
        <v>9</v>
      </c>
      <c r="C1435" s="9">
        <v>1917</v>
      </c>
      <c r="D1435" s="10">
        <v>45653</v>
      </c>
      <c r="E1435" s="9" t="str">
        <f>+HYPERLINK("http://trademark.i-assist.jp/data/china/image_1917th/81664065.pdf","81664065")</f>
        <v>81664065</v>
      </c>
      <c r="F1435" s="9" t="s">
        <v>3912</v>
      </c>
      <c r="G1435" s="9" t="s">
        <v>58</v>
      </c>
      <c r="H1435" s="9" t="s">
        <v>3913</v>
      </c>
      <c r="I1435" s="10">
        <v>45595</v>
      </c>
    </row>
    <row r="1436" spans="1:9" x14ac:dyDescent="0.15">
      <c r="A1436" s="9">
        <v>1435</v>
      </c>
      <c r="B1436" s="9" t="s">
        <v>9</v>
      </c>
      <c r="C1436" s="9">
        <v>1917</v>
      </c>
      <c r="D1436" s="10">
        <v>45653</v>
      </c>
      <c r="E1436" s="9" t="str">
        <f>+HYPERLINK("http://trademark.i-assist.jp/data/china/image_1917th/81664109.pdf","81664109")</f>
        <v>81664109</v>
      </c>
      <c r="F1436" s="9" t="s">
        <v>3914</v>
      </c>
      <c r="G1436" s="9" t="s">
        <v>58</v>
      </c>
      <c r="H1436" s="9" t="s">
        <v>3915</v>
      </c>
      <c r="I1436" s="10">
        <v>45595</v>
      </c>
    </row>
    <row r="1437" spans="1:9" x14ac:dyDescent="0.15">
      <c r="A1437" s="9">
        <v>1436</v>
      </c>
      <c r="B1437" s="9" t="s">
        <v>9</v>
      </c>
      <c r="C1437" s="9">
        <v>1917</v>
      </c>
      <c r="D1437" s="10">
        <v>45653</v>
      </c>
      <c r="E1437" s="9" t="str">
        <f>+HYPERLINK("http://trademark.i-assist.jp/data/china/image_1917th/81664225.pdf","81664225")</f>
        <v>81664225</v>
      </c>
      <c r="F1437" s="9" t="s">
        <v>3916</v>
      </c>
      <c r="G1437" s="9" t="s">
        <v>58</v>
      </c>
      <c r="H1437" s="9" t="s">
        <v>3917</v>
      </c>
      <c r="I1437" s="10">
        <v>45595</v>
      </c>
    </row>
    <row r="1438" spans="1:9" x14ac:dyDescent="0.15">
      <c r="A1438" s="9">
        <v>1437</v>
      </c>
      <c r="B1438" s="9" t="s">
        <v>9</v>
      </c>
      <c r="C1438" s="9">
        <v>1917</v>
      </c>
      <c r="D1438" s="10">
        <v>45653</v>
      </c>
      <c r="E1438" s="9" t="str">
        <f>+HYPERLINK("http://trademark.i-assist.jp/data/china/image_1917th/81664239.pdf","81664239")</f>
        <v>81664239</v>
      </c>
      <c r="F1438" s="9" t="s">
        <v>3918</v>
      </c>
      <c r="G1438" s="9" t="s">
        <v>58</v>
      </c>
      <c r="H1438" s="9" t="s">
        <v>3919</v>
      </c>
      <c r="I1438" s="10">
        <v>45595</v>
      </c>
    </row>
    <row r="1439" spans="1:9" x14ac:dyDescent="0.15">
      <c r="A1439" s="9">
        <v>1438</v>
      </c>
      <c r="B1439" s="9" t="s">
        <v>9</v>
      </c>
      <c r="C1439" s="9">
        <v>1917</v>
      </c>
      <c r="D1439" s="10">
        <v>45653</v>
      </c>
      <c r="E1439" s="9" t="str">
        <f>+HYPERLINK("http://trademark.i-assist.jp/data/china/image_1917th/81664304.pdf","81664304")</f>
        <v>81664304</v>
      </c>
      <c r="F1439" s="12" t="s">
        <v>3920</v>
      </c>
      <c r="G1439" s="9" t="s">
        <v>58</v>
      </c>
      <c r="H1439" s="9" t="s">
        <v>3921</v>
      </c>
      <c r="I1439" s="10">
        <v>45595</v>
      </c>
    </row>
    <row r="1440" spans="1:9" x14ac:dyDescent="0.15">
      <c r="A1440" s="9">
        <v>1439</v>
      </c>
      <c r="B1440" s="9" t="s">
        <v>9</v>
      </c>
      <c r="C1440" s="9">
        <v>1917</v>
      </c>
      <c r="D1440" s="10">
        <v>45653</v>
      </c>
      <c r="E1440" s="9" t="str">
        <f>+HYPERLINK("http://trademark.i-assist.jp/data/china/image_1917th/81670045.pdf","81670045")</f>
        <v>81670045</v>
      </c>
      <c r="F1440" s="9" t="s">
        <v>3922</v>
      </c>
      <c r="G1440" s="9" t="s">
        <v>58</v>
      </c>
      <c r="H1440" s="9" t="s">
        <v>3923</v>
      </c>
      <c r="I1440" s="10">
        <v>45595</v>
      </c>
    </row>
    <row r="1441" spans="1:9" x14ac:dyDescent="0.15">
      <c r="A1441" s="9">
        <v>1440</v>
      </c>
      <c r="B1441" s="9" t="s">
        <v>9</v>
      </c>
      <c r="C1441" s="9">
        <v>1917</v>
      </c>
      <c r="D1441" s="10">
        <v>45653</v>
      </c>
      <c r="E1441" s="9" t="str">
        <f>+HYPERLINK("http://trademark.i-assist.jp/data/china/image_1917th/81670083.pdf","81670083")</f>
        <v>81670083</v>
      </c>
      <c r="F1441" s="9" t="s">
        <v>3924</v>
      </c>
      <c r="G1441" s="9" t="s">
        <v>58</v>
      </c>
      <c r="H1441" s="9" t="s">
        <v>3925</v>
      </c>
      <c r="I1441" s="10">
        <v>45595</v>
      </c>
    </row>
    <row r="1442" spans="1:9" x14ac:dyDescent="0.15">
      <c r="A1442" s="9">
        <v>1441</v>
      </c>
      <c r="B1442" s="9" t="s">
        <v>9</v>
      </c>
      <c r="C1442" s="9">
        <v>1917</v>
      </c>
      <c r="D1442" s="10">
        <v>45653</v>
      </c>
      <c r="E1442" s="9" t="str">
        <f>+HYPERLINK("http://trademark.i-assist.jp/data/china/image_1917th/81670387.pdf","81670387")</f>
        <v>81670387</v>
      </c>
      <c r="F1442" s="9" t="s">
        <v>3926</v>
      </c>
      <c r="G1442" s="9" t="s">
        <v>58</v>
      </c>
      <c r="H1442" s="9" t="s">
        <v>3927</v>
      </c>
      <c r="I1442" s="10">
        <v>45595</v>
      </c>
    </row>
    <row r="1443" spans="1:9" x14ac:dyDescent="0.15">
      <c r="A1443" s="9">
        <v>1442</v>
      </c>
      <c r="B1443" s="9" t="s">
        <v>9</v>
      </c>
      <c r="C1443" s="9">
        <v>1917</v>
      </c>
      <c r="D1443" s="10">
        <v>45653</v>
      </c>
      <c r="E1443" s="9" t="str">
        <f>+HYPERLINK("http://trademark.i-assist.jp/data/china/image_1917th/81670396.pdf","81670396")</f>
        <v>81670396</v>
      </c>
      <c r="F1443" s="9" t="s">
        <v>3928</v>
      </c>
      <c r="G1443" s="9" t="s">
        <v>58</v>
      </c>
      <c r="H1443" s="12" t="s">
        <v>3929</v>
      </c>
      <c r="I1443" s="10">
        <v>45595</v>
      </c>
    </row>
    <row r="1444" spans="1:9" x14ac:dyDescent="0.15">
      <c r="A1444" s="9">
        <v>1443</v>
      </c>
      <c r="B1444" s="9" t="s">
        <v>9</v>
      </c>
      <c r="C1444" s="9">
        <v>1917</v>
      </c>
      <c r="D1444" s="10">
        <v>45653</v>
      </c>
      <c r="E1444" s="9" t="str">
        <f>+HYPERLINK("http://trademark.i-assist.jp/data/china/image_1917th/81670455.pdf","81670455")</f>
        <v>81670455</v>
      </c>
      <c r="F1444" s="9" t="s">
        <v>3930</v>
      </c>
      <c r="G1444" s="9" t="s">
        <v>58</v>
      </c>
      <c r="H1444" s="9" t="s">
        <v>3931</v>
      </c>
      <c r="I1444" s="10">
        <v>45595</v>
      </c>
    </row>
    <row r="1445" spans="1:9" x14ac:dyDescent="0.15">
      <c r="A1445" s="9">
        <v>1444</v>
      </c>
      <c r="B1445" s="9" t="s">
        <v>9</v>
      </c>
      <c r="C1445" s="9">
        <v>1917</v>
      </c>
      <c r="D1445" s="10">
        <v>45653</v>
      </c>
      <c r="E1445" s="9" t="str">
        <f>+HYPERLINK("http://trademark.i-assist.jp/data/china/image_1917th/81671485.pdf","81671485")</f>
        <v>81671485</v>
      </c>
      <c r="F1445" s="12" t="s">
        <v>3932</v>
      </c>
      <c r="G1445" s="9" t="s">
        <v>58</v>
      </c>
      <c r="H1445" s="9" t="s">
        <v>3933</v>
      </c>
      <c r="I1445" s="10">
        <v>45595</v>
      </c>
    </row>
    <row r="1446" spans="1:9" x14ac:dyDescent="0.15">
      <c r="A1446" s="9">
        <v>1445</v>
      </c>
      <c r="B1446" s="9" t="s">
        <v>9</v>
      </c>
      <c r="C1446" s="9">
        <v>1917</v>
      </c>
      <c r="D1446" s="10">
        <v>45653</v>
      </c>
      <c r="E1446" s="9" t="str">
        <f>+HYPERLINK("http://trademark.i-assist.jp/data/china/image_1917th/81671491.pdf","81671491")</f>
        <v>81671491</v>
      </c>
      <c r="F1446" s="12" t="s">
        <v>3934</v>
      </c>
      <c r="G1446" s="9" t="s">
        <v>58</v>
      </c>
      <c r="H1446" s="9" t="s">
        <v>3935</v>
      </c>
      <c r="I1446" s="10">
        <v>45595</v>
      </c>
    </row>
    <row r="1447" spans="1:9" x14ac:dyDescent="0.15">
      <c r="A1447" s="9">
        <v>1446</v>
      </c>
      <c r="B1447" s="9" t="s">
        <v>9</v>
      </c>
      <c r="C1447" s="9">
        <v>1917</v>
      </c>
      <c r="D1447" s="10">
        <v>45653</v>
      </c>
      <c r="E1447" s="9" t="str">
        <f>+HYPERLINK("http://trademark.i-assist.jp/data/china/image_1917th/81671812.pdf","81671812")</f>
        <v>81671812</v>
      </c>
      <c r="F1447" s="9" t="s">
        <v>3936</v>
      </c>
      <c r="G1447" s="9" t="s">
        <v>58</v>
      </c>
      <c r="H1447" s="9" t="s">
        <v>3937</v>
      </c>
      <c r="I1447" s="10">
        <v>45595</v>
      </c>
    </row>
    <row r="1448" spans="1:9" x14ac:dyDescent="0.15">
      <c r="A1448" s="9">
        <v>1447</v>
      </c>
      <c r="B1448" s="9" t="s">
        <v>9</v>
      </c>
      <c r="C1448" s="9">
        <v>1917</v>
      </c>
      <c r="D1448" s="10">
        <v>45653</v>
      </c>
      <c r="E1448" s="9" t="str">
        <f>+HYPERLINK("http://trademark.i-assist.jp/data/china/image_1917th/81671848.pdf","81671848")</f>
        <v>81671848</v>
      </c>
      <c r="F1448" s="9" t="s">
        <v>3938</v>
      </c>
      <c r="G1448" s="9" t="s">
        <v>58</v>
      </c>
      <c r="H1448" s="9" t="s">
        <v>3939</v>
      </c>
      <c r="I1448" s="10">
        <v>45595</v>
      </c>
    </row>
    <row r="1449" spans="1:9" x14ac:dyDescent="0.15">
      <c r="A1449" s="9">
        <v>1448</v>
      </c>
      <c r="B1449" s="9" t="s">
        <v>9</v>
      </c>
      <c r="C1449" s="9">
        <v>1917</v>
      </c>
      <c r="D1449" s="10">
        <v>45653</v>
      </c>
      <c r="E1449" s="9" t="str">
        <f>+HYPERLINK("http://trademark.i-assist.jp/data/china/image_1917th/81671854.pdf","81671854")</f>
        <v>81671854</v>
      </c>
      <c r="F1449" s="9" t="s">
        <v>3940</v>
      </c>
      <c r="G1449" s="9" t="s">
        <v>58</v>
      </c>
      <c r="H1449" s="9" t="s">
        <v>3941</v>
      </c>
      <c r="I1449" s="10">
        <v>45595</v>
      </c>
    </row>
    <row r="1450" spans="1:9" x14ac:dyDescent="0.15">
      <c r="A1450" s="9">
        <v>1449</v>
      </c>
      <c r="B1450" s="9" t="s">
        <v>9</v>
      </c>
      <c r="C1450" s="9">
        <v>1917</v>
      </c>
      <c r="D1450" s="10">
        <v>45653</v>
      </c>
      <c r="E1450" s="9" t="str">
        <f>+HYPERLINK("http://trademark.i-assist.jp/data/china/image_1917th/81673185.pdf","81673185")</f>
        <v>81673185</v>
      </c>
      <c r="F1450" s="9" t="s">
        <v>3942</v>
      </c>
      <c r="G1450" s="9" t="s">
        <v>58</v>
      </c>
      <c r="H1450" s="9" t="s">
        <v>3943</v>
      </c>
      <c r="I1450" s="10">
        <v>45595</v>
      </c>
    </row>
    <row r="1451" spans="1:9" x14ac:dyDescent="0.15">
      <c r="A1451" s="9">
        <v>1450</v>
      </c>
      <c r="B1451" s="9" t="s">
        <v>9</v>
      </c>
      <c r="C1451" s="9">
        <v>1917</v>
      </c>
      <c r="D1451" s="10">
        <v>45653</v>
      </c>
      <c r="E1451" s="9" t="str">
        <f>+HYPERLINK("http://trademark.i-assist.jp/data/china/image_1917th/81674961.pdf","81674961")</f>
        <v>81674961</v>
      </c>
      <c r="F1451" s="12" t="s">
        <v>3944</v>
      </c>
      <c r="G1451" s="9" t="s">
        <v>58</v>
      </c>
      <c r="H1451" s="9" t="s">
        <v>3945</v>
      </c>
      <c r="I1451" s="10">
        <v>45595</v>
      </c>
    </row>
    <row r="1452" spans="1:9" x14ac:dyDescent="0.15">
      <c r="A1452" s="9">
        <v>1451</v>
      </c>
      <c r="B1452" s="9" t="s">
        <v>9</v>
      </c>
      <c r="C1452" s="9">
        <v>1917</v>
      </c>
      <c r="D1452" s="10">
        <v>45653</v>
      </c>
      <c r="E1452" s="9" t="str">
        <f>+HYPERLINK("http://trademark.i-assist.jp/data/china/image_1917th/81676313.pdf","81676313")</f>
        <v>81676313</v>
      </c>
      <c r="F1452" s="11" t="s">
        <v>3946</v>
      </c>
      <c r="G1452" s="9" t="s">
        <v>58</v>
      </c>
      <c r="H1452" s="9" t="s">
        <v>3947</v>
      </c>
      <c r="I1452" s="10">
        <v>45595</v>
      </c>
    </row>
    <row r="1453" spans="1:9" x14ac:dyDescent="0.15">
      <c r="A1453" s="9">
        <v>1452</v>
      </c>
      <c r="B1453" s="9" t="s">
        <v>9</v>
      </c>
      <c r="C1453" s="9">
        <v>1917</v>
      </c>
      <c r="D1453" s="10">
        <v>45653</v>
      </c>
      <c r="E1453" s="9" t="str">
        <f>+HYPERLINK("http://trademark.i-assist.jp/data/china/image_1917th/81676336.pdf","81676336")</f>
        <v>81676336</v>
      </c>
      <c r="F1453" s="12" t="s">
        <v>3948</v>
      </c>
      <c r="G1453" s="9" t="s">
        <v>58</v>
      </c>
      <c r="H1453" s="9" t="s">
        <v>3949</v>
      </c>
      <c r="I1453" s="10">
        <v>45595</v>
      </c>
    </row>
    <row r="1454" spans="1:9" x14ac:dyDescent="0.15">
      <c r="A1454" s="9">
        <v>1453</v>
      </c>
      <c r="B1454" s="9" t="s">
        <v>9</v>
      </c>
      <c r="C1454" s="9">
        <v>1917</v>
      </c>
      <c r="D1454" s="10">
        <v>45653</v>
      </c>
      <c r="E1454" s="9" t="str">
        <f>+HYPERLINK("http://trademark.i-assist.jp/data/china/image_1917th/81679373.pdf","81679373")</f>
        <v>81679373</v>
      </c>
      <c r="F1454" s="9" t="s">
        <v>3950</v>
      </c>
      <c r="G1454" s="9" t="s">
        <v>58</v>
      </c>
      <c r="H1454" s="9" t="s">
        <v>3951</v>
      </c>
      <c r="I1454" s="10">
        <v>45595</v>
      </c>
    </row>
    <row r="1455" spans="1:9" x14ac:dyDescent="0.15">
      <c r="A1455" s="9">
        <v>1454</v>
      </c>
      <c r="B1455" s="9" t="s">
        <v>9</v>
      </c>
      <c r="C1455" s="9">
        <v>1917</v>
      </c>
      <c r="D1455" s="10">
        <v>45653</v>
      </c>
      <c r="E1455" s="9" t="str">
        <f>+HYPERLINK("http://trademark.i-assist.jp/data/china/image_1917th/81679382.pdf","81679382")</f>
        <v>81679382</v>
      </c>
      <c r="F1455" s="12" t="s">
        <v>3952</v>
      </c>
      <c r="G1455" s="9" t="s">
        <v>58</v>
      </c>
      <c r="H1455" s="9" t="s">
        <v>3953</v>
      </c>
      <c r="I1455" s="10">
        <v>45595</v>
      </c>
    </row>
    <row r="1456" spans="1:9" x14ac:dyDescent="0.15">
      <c r="A1456" s="9">
        <v>1455</v>
      </c>
      <c r="B1456" s="9" t="s">
        <v>9</v>
      </c>
      <c r="C1456" s="9">
        <v>1917</v>
      </c>
      <c r="D1456" s="10">
        <v>45653</v>
      </c>
      <c r="E1456" s="9" t="str">
        <f>+HYPERLINK("http://trademark.i-assist.jp/data/china/image_1917th/81679417.pdf","81679417")</f>
        <v>81679417</v>
      </c>
      <c r="F1456" s="9" t="s">
        <v>3954</v>
      </c>
      <c r="G1456" s="9" t="s">
        <v>58</v>
      </c>
      <c r="H1456" s="9" t="s">
        <v>3955</v>
      </c>
      <c r="I1456" s="10">
        <v>45595</v>
      </c>
    </row>
    <row r="1457" spans="1:9" x14ac:dyDescent="0.15">
      <c r="A1457" s="9">
        <v>1456</v>
      </c>
      <c r="B1457" s="9" t="s">
        <v>9</v>
      </c>
      <c r="C1457" s="9">
        <v>1917</v>
      </c>
      <c r="D1457" s="10">
        <v>45653</v>
      </c>
      <c r="E1457" s="9" t="str">
        <f>+HYPERLINK("http://trademark.i-assist.jp/data/china/image_1917th/81680438.pdf","81680438")</f>
        <v>81680438</v>
      </c>
      <c r="F1457" s="12" t="s">
        <v>3956</v>
      </c>
      <c r="G1457" s="9" t="s">
        <v>58</v>
      </c>
      <c r="H1457" s="9" t="s">
        <v>3957</v>
      </c>
      <c r="I1457" s="10">
        <v>45595</v>
      </c>
    </row>
    <row r="1458" spans="1:9" x14ac:dyDescent="0.15">
      <c r="A1458" s="9">
        <v>1457</v>
      </c>
      <c r="B1458" s="9" t="s">
        <v>9</v>
      </c>
      <c r="C1458" s="9">
        <v>1917</v>
      </c>
      <c r="D1458" s="10">
        <v>45653</v>
      </c>
      <c r="E1458" s="9" t="str">
        <f>+HYPERLINK("http://trademark.i-assist.jp/data/china/image_1917th/81681060.pdf","81681060")</f>
        <v>81681060</v>
      </c>
      <c r="F1458" s="9" t="s">
        <v>3958</v>
      </c>
      <c r="G1458" s="9" t="s">
        <v>58</v>
      </c>
      <c r="H1458" s="9" t="s">
        <v>3959</v>
      </c>
      <c r="I1458" s="10">
        <v>45595</v>
      </c>
    </row>
    <row r="1459" spans="1:9" x14ac:dyDescent="0.15">
      <c r="A1459" s="9">
        <v>1458</v>
      </c>
      <c r="B1459" s="9" t="s">
        <v>9</v>
      </c>
      <c r="C1459" s="9">
        <v>1917</v>
      </c>
      <c r="D1459" s="10">
        <v>45653</v>
      </c>
      <c r="E1459" s="9" t="str">
        <f>+HYPERLINK("http://trademark.i-assist.jp/data/china/image_1917th/81681180.pdf","81681180")</f>
        <v>81681180</v>
      </c>
      <c r="F1459" s="9" t="s">
        <v>3960</v>
      </c>
      <c r="G1459" s="9" t="s">
        <v>58</v>
      </c>
      <c r="H1459" s="9" t="s">
        <v>3961</v>
      </c>
      <c r="I1459" s="10">
        <v>45595</v>
      </c>
    </row>
    <row r="1460" spans="1:9" x14ac:dyDescent="0.15">
      <c r="A1460" s="9">
        <v>1459</v>
      </c>
      <c r="B1460" s="9" t="s">
        <v>9</v>
      </c>
      <c r="C1460" s="9">
        <v>1917</v>
      </c>
      <c r="D1460" s="10">
        <v>45653</v>
      </c>
      <c r="E1460" s="9" t="str">
        <f>+HYPERLINK("http://trademark.i-assist.jp/data/china/image_1917th/81681193.pdf","81681193")</f>
        <v>81681193</v>
      </c>
      <c r="F1460" s="9" t="s">
        <v>3962</v>
      </c>
      <c r="G1460" s="9" t="s">
        <v>58</v>
      </c>
      <c r="H1460" s="12" t="s">
        <v>3963</v>
      </c>
      <c r="I1460" s="10">
        <v>45595</v>
      </c>
    </row>
    <row r="1461" spans="1:9" x14ac:dyDescent="0.15">
      <c r="A1461" s="9">
        <v>1460</v>
      </c>
      <c r="B1461" s="9" t="s">
        <v>9</v>
      </c>
      <c r="C1461" s="9">
        <v>1917</v>
      </c>
      <c r="D1461" s="10">
        <v>45653</v>
      </c>
      <c r="E1461" s="9" t="str">
        <f>+HYPERLINK("http://trademark.i-assist.jp/data/china/image_1917th/81681315.pdf","81681315")</f>
        <v>81681315</v>
      </c>
      <c r="F1461" s="9" t="s">
        <v>3964</v>
      </c>
      <c r="G1461" s="9" t="s">
        <v>58</v>
      </c>
      <c r="H1461" s="9" t="s">
        <v>3965</v>
      </c>
      <c r="I1461" s="10">
        <v>45595</v>
      </c>
    </row>
    <row r="1462" spans="1:9" x14ac:dyDescent="0.15">
      <c r="A1462" s="9">
        <v>1461</v>
      </c>
      <c r="B1462" s="9" t="s">
        <v>9</v>
      </c>
      <c r="C1462" s="9">
        <v>1917</v>
      </c>
      <c r="D1462" s="10">
        <v>45653</v>
      </c>
      <c r="E1462" s="9" t="str">
        <f>+HYPERLINK("http://trademark.i-assist.jp/data/china/image_1917th/81681608.pdf","81681608")</f>
        <v>81681608</v>
      </c>
      <c r="F1462" s="9" t="s">
        <v>3966</v>
      </c>
      <c r="G1462" s="9" t="s">
        <v>58</v>
      </c>
      <c r="H1462" s="12" t="s">
        <v>3967</v>
      </c>
      <c r="I1462" s="10">
        <v>45595</v>
      </c>
    </row>
    <row r="1463" spans="1:9" x14ac:dyDescent="0.15">
      <c r="A1463" s="9">
        <v>1462</v>
      </c>
      <c r="B1463" s="9" t="s">
        <v>9</v>
      </c>
      <c r="C1463" s="9">
        <v>1917</v>
      </c>
      <c r="D1463" s="10">
        <v>45653</v>
      </c>
      <c r="E1463" s="9" t="str">
        <f>+HYPERLINK("http://trademark.i-assist.jp/data/china/image_1917th/81683731.pdf","81683731")</f>
        <v>81683731</v>
      </c>
      <c r="F1463" s="9" t="s">
        <v>3968</v>
      </c>
      <c r="G1463" s="9" t="s">
        <v>58</v>
      </c>
      <c r="H1463" s="12" t="s">
        <v>3969</v>
      </c>
      <c r="I1463" s="10">
        <v>45595</v>
      </c>
    </row>
    <row r="1464" spans="1:9" x14ac:dyDescent="0.15">
      <c r="A1464" s="9">
        <v>1463</v>
      </c>
      <c r="B1464" s="9" t="s">
        <v>9</v>
      </c>
      <c r="C1464" s="9">
        <v>1917</v>
      </c>
      <c r="D1464" s="10">
        <v>45653</v>
      </c>
      <c r="E1464" s="9" t="str">
        <f>+HYPERLINK("http://trademark.i-assist.jp/data/china/image_1917th/81684007.pdf","81684007")</f>
        <v>81684007</v>
      </c>
      <c r="F1464" s="9" t="s">
        <v>3942</v>
      </c>
      <c r="G1464" s="9" t="s">
        <v>58</v>
      </c>
      <c r="H1464" s="12" t="s">
        <v>3970</v>
      </c>
      <c r="I1464" s="10">
        <v>45595</v>
      </c>
    </row>
    <row r="1465" spans="1:9" x14ac:dyDescent="0.15">
      <c r="A1465" s="9">
        <v>1464</v>
      </c>
      <c r="B1465" s="9" t="s">
        <v>9</v>
      </c>
      <c r="C1465" s="9">
        <v>1917</v>
      </c>
      <c r="D1465" s="10">
        <v>45653</v>
      </c>
      <c r="E1465" s="9" t="str">
        <f>+HYPERLINK("http://trademark.i-assist.jp/data/china/image_1917th/81684012.pdf","81684012")</f>
        <v>81684012</v>
      </c>
      <c r="F1465" s="9" t="s">
        <v>3942</v>
      </c>
      <c r="G1465" s="9" t="s">
        <v>58</v>
      </c>
      <c r="H1465" s="9" t="s">
        <v>3971</v>
      </c>
      <c r="I1465" s="10">
        <v>45595</v>
      </c>
    </row>
    <row r="1466" spans="1:9" x14ac:dyDescent="0.15">
      <c r="A1466" s="9">
        <v>1465</v>
      </c>
      <c r="B1466" s="9" t="s">
        <v>9</v>
      </c>
      <c r="C1466" s="9">
        <v>1917</v>
      </c>
      <c r="D1466" s="10">
        <v>45653</v>
      </c>
      <c r="E1466" s="9" t="str">
        <f>+HYPERLINK("http://trademark.i-assist.jp/data/china/image_1917th/81684914.pdf","81684914")</f>
        <v>81684914</v>
      </c>
      <c r="F1466" s="9" t="s">
        <v>3972</v>
      </c>
      <c r="G1466" s="9" t="s">
        <v>58</v>
      </c>
      <c r="H1466" s="9" t="s">
        <v>3973</v>
      </c>
      <c r="I1466" s="10">
        <v>45595</v>
      </c>
    </row>
    <row r="1467" spans="1:9" x14ac:dyDescent="0.15">
      <c r="A1467" s="9">
        <v>1466</v>
      </c>
      <c r="B1467" s="9" t="s">
        <v>9</v>
      </c>
      <c r="C1467" s="9">
        <v>1917</v>
      </c>
      <c r="D1467" s="10">
        <v>45653</v>
      </c>
      <c r="E1467" s="9" t="str">
        <f>+HYPERLINK("http://trademark.i-assist.jp/data/china/image_1917th/81684961.pdf","81684961")</f>
        <v>81684961</v>
      </c>
      <c r="F1467" s="9" t="s">
        <v>3974</v>
      </c>
      <c r="G1467" s="9" t="s">
        <v>58</v>
      </c>
      <c r="H1467" s="12" t="s">
        <v>3975</v>
      </c>
      <c r="I1467" s="10">
        <v>45595</v>
      </c>
    </row>
    <row r="1468" spans="1:9" x14ac:dyDescent="0.15">
      <c r="A1468" s="9">
        <v>1467</v>
      </c>
      <c r="B1468" s="9" t="s">
        <v>9</v>
      </c>
      <c r="C1468" s="9">
        <v>1917</v>
      </c>
      <c r="D1468" s="10">
        <v>45653</v>
      </c>
      <c r="E1468" s="9" t="str">
        <f>+HYPERLINK("http://trademark.i-assist.jp/data/china/image_1917th/81685259.pdf","81685259")</f>
        <v>81685259</v>
      </c>
      <c r="F1468" s="9" t="s">
        <v>3976</v>
      </c>
      <c r="G1468" s="9" t="s">
        <v>58</v>
      </c>
      <c r="H1468" s="9" t="s">
        <v>3977</v>
      </c>
      <c r="I1468" s="10">
        <v>45595</v>
      </c>
    </row>
    <row r="1469" spans="1:9" x14ac:dyDescent="0.15">
      <c r="A1469" s="9">
        <v>1468</v>
      </c>
      <c r="B1469" s="9" t="s">
        <v>9</v>
      </c>
      <c r="C1469" s="9">
        <v>1917</v>
      </c>
      <c r="D1469" s="10">
        <v>45653</v>
      </c>
      <c r="E1469" s="9" t="str">
        <f>+HYPERLINK("http://trademark.i-assist.jp/data/china/image_1917th/81686175.pdf","81686175")</f>
        <v>81686175</v>
      </c>
      <c r="F1469" s="9" t="s">
        <v>3978</v>
      </c>
      <c r="G1469" s="9" t="s">
        <v>58</v>
      </c>
      <c r="H1469" s="9" t="s">
        <v>3979</v>
      </c>
      <c r="I1469" s="10">
        <v>45595</v>
      </c>
    </row>
    <row r="1470" spans="1:9" x14ac:dyDescent="0.15">
      <c r="A1470" s="9">
        <v>1469</v>
      </c>
      <c r="B1470" s="9" t="s">
        <v>9</v>
      </c>
      <c r="C1470" s="9">
        <v>1917</v>
      </c>
      <c r="D1470" s="10">
        <v>45653</v>
      </c>
      <c r="E1470" s="9" t="str">
        <f>+HYPERLINK("http://trademark.i-assist.jp/data/china/image_1917th/81686214.pdf","81686214")</f>
        <v>81686214</v>
      </c>
      <c r="F1470" s="9" t="s">
        <v>3980</v>
      </c>
      <c r="G1470" s="9" t="s">
        <v>58</v>
      </c>
      <c r="H1470" s="9" t="s">
        <v>3981</v>
      </c>
      <c r="I1470" s="10">
        <v>45595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1917th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2025-03-21T04:37:49Z</dcterms:modified>
</cp:coreProperties>
</file>