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6\"/>
    </mc:Choice>
  </mc:AlternateContent>
  <xr:revisionPtr revIDLastSave="0" documentId="13_ncr:1_{F31B4A1F-1598-446A-8467-A89F9A96A46D}" xr6:coauthVersionLast="47" xr6:coauthVersionMax="47" xr10:uidLastSave="{00000000-0000-0000-0000-000000000000}"/>
  <bookViews>
    <workbookView xWindow="4245" yWindow="3540" windowWidth="22965" windowHeight="11295" xr2:uid="{00000000-000D-0000-FFFF-FFFF00000000}"/>
  </bookViews>
  <sheets>
    <sheet name="1916th" sheetId="2" r:id="rId1"/>
  </sheets>
  <definedNames>
    <definedName name="_xlnm._FilterDatabase" localSheetId="0" hidden="1">'1916th'!$A$1:$I$1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83" i="2" l="1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<sst xmlns="http://schemas.openxmlformats.org/spreadsheetml/2006/main" count="7537" uniqueCount="5196">
  <si>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</si>
  <si>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</si>
  <si>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</si>
  <si>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</si>
  <si>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</si>
  <si>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</si>
  <si>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</si>
  <si>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</si>
  <si>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</si>
  <si>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</si>
  <si>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黄佳浩</t>
  </si>
  <si>
    <t>白酒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</si>
  <si>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</si>
  <si>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</si>
  <si>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</si>
  <si>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</si>
  <si>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</si>
  <si>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婉</t>
    </r>
    <r>
      <rPr>
        <sz val="11"/>
        <color theme="1"/>
        <rFont val="ＭＳ Ｐゴシック"/>
        <family val="3"/>
        <charset val="134"/>
        <scheme val="minor"/>
      </rPr>
      <t>仪</t>
    </r>
  </si>
  <si>
    <t>王小敏</t>
  </si>
  <si>
    <r>
      <t>陈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</si>
  <si>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</si>
  <si>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</si>
  <si>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</si>
  <si>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民族匠心品牌管理（北京）有限公司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</si>
  <si>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</si>
  <si>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</si>
  <si>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</si>
  <si>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中城大有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</si>
  <si>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</si>
  <si>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</si>
  <si>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</si>
  <si>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</si>
  <si>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</si>
  <si>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敖旭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</si>
  <si>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</si>
  <si>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吴昊</t>
  </si>
  <si>
    <t>秦素珍</t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</si>
  <si>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</si>
  <si>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州佳沃品牌运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</si>
  <si>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</si>
  <si>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</si>
  <si>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柳上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</si>
  <si>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州秉乾老窖酒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</si>
  <si>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亳州中支酒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</si>
  <si>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</si>
  <si>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</si>
  <si>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</si>
  <si>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烟台白洋河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</si>
  <si>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得好（山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</si>
  <si>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保林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</si>
  <si>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昌市魏都区支路百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</si>
  <si>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林楚城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</si>
  <si>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州酒仁世家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</si>
  <si>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盘龙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</si>
  <si>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恒天酒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</si>
  <si>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符志威</t>
  </si>
  <si>
    <r>
      <t>李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</si>
  <si>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陈劲</t>
    </r>
    <r>
      <rPr>
        <sz val="11"/>
        <color theme="1"/>
        <rFont val="ＭＳ Ｐゴシック"/>
        <family val="3"/>
        <charset val="128"/>
        <scheme val="minor"/>
      </rPr>
      <t>珍</t>
    </r>
  </si>
  <si>
    <t>黄川</t>
  </si>
  <si>
    <t>李天珍</t>
  </si>
  <si>
    <t>邵学勤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</si>
  <si>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</si>
  <si>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</si>
  <si>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广州正盈医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</si>
  <si>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t>王勤</t>
  </si>
  <si>
    <r>
      <t>郭德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</si>
  <si>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</si>
  <si>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t>杜坦</t>
  </si>
  <si>
    <t>李志磊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</si>
  <si>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</si>
  <si>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</si>
  <si>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飞鸿</t>
    </r>
  </si>
  <si>
    <t>居要清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</si>
  <si>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</si>
  <si>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七粮液</t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</si>
  <si>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</si>
  <si>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苹果酒; 葡萄酒</t>
    </r>
  </si>
  <si>
    <t>皇家窖藏</t>
  </si>
  <si>
    <t>河北山庄老酒股份有限公司</t>
  </si>
  <si>
    <r>
      <t>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汽酒</t>
    </r>
  </si>
  <si>
    <t>湖上升明月</t>
  </si>
  <si>
    <r>
      <t>安徽天宸文化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</si>
  <si>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葡萄酒;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</si>
  <si>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 xml:space="preserve"> 九健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</si>
  <si>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牌有限公司</t>
    </r>
  </si>
  <si>
    <r>
      <t>白酒; 食用酒精;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</si>
  <si>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仙桃升</t>
  </si>
  <si>
    <r>
      <t>烟台福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园家庭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</si>
  <si>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米酒</t>
    </r>
  </si>
  <si>
    <r>
      <t>年真古</t>
    </r>
    <r>
      <rPr>
        <sz val="11"/>
        <color theme="1"/>
        <rFont val="ＭＳ Ｐゴシック"/>
        <family val="3"/>
        <charset val="134"/>
        <scheme val="minor"/>
      </rPr>
      <t>陈</t>
    </r>
  </si>
  <si>
    <t>唐 T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</si>
  <si>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市涪霆百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</si>
  <si>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</t>
    </r>
  </si>
  <si>
    <r>
      <t>新荣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</si>
  <si>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海市新荣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</si>
  <si>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</si>
  <si>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年 酒 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</si>
  <si>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 xml:space="preserve">米酒;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</t>
    </r>
  </si>
  <si>
    <r>
      <t>小薰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</si>
  <si>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三江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</si>
  <si>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</si>
  <si>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桑圩老古坊</t>
  </si>
  <si>
    <r>
      <t>蚌埠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喆包装材料有限公司</t>
    </r>
  </si>
  <si>
    <r>
      <t xml:space="preserve">米酒; 黄酒;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伏特加酒;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</si>
  <si>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始樽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</si>
  <si>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市每沿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</si>
  <si>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果酒（含酒精）; 葡萄酒;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</si>
  <si>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康樽</t>
  </si>
  <si>
    <t>曾雷</t>
  </si>
  <si>
    <r>
      <t>高粱酒;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葡萄酒</t>
    </r>
  </si>
  <si>
    <t>盛事尊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</si>
  <si>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世藏品酒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</si>
  <si>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</si>
  <si>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奇奥酒庄</t>
    </r>
  </si>
  <si>
    <t>花西巷</t>
  </si>
  <si>
    <t>刘会杰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</si>
  <si>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葡萄酒; 食用酒精; 果酒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</si>
  <si>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之香</t>
    </r>
  </si>
  <si>
    <r>
      <t>新余市晨雨种养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</si>
  <si>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t>果酒</t>
  </si>
  <si>
    <r>
      <t>茶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FAMLIY</t>
    </r>
  </si>
  <si>
    <r>
      <t>湖南茶悦文化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</si>
  <si>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甜酒</t>
    </r>
  </si>
  <si>
    <r>
      <t>酒旗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</si>
  <si>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鑫雨商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</si>
  <si>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青稞酒; 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</si>
  <si>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天下大</t>
    </r>
    <r>
      <rPr>
        <sz val="11"/>
        <color theme="1"/>
        <rFont val="ＭＳ Ｐゴシック"/>
        <family val="3"/>
        <charset val="134"/>
        <scheme val="minor"/>
      </rPr>
      <t>势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</si>
  <si>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鹿国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</si>
  <si>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清香型白酒;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白酒(清香型); 黄酒; 果酒;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香型白酒; 白酒(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香型); 米酒; 葡萄酒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</si>
  <si>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</si>
  <si>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市恒格食品商行（个体工商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</si>
  <si>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</si>
  <si>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梦天</t>
    </r>
    <r>
      <rPr>
        <sz val="11"/>
        <color theme="1"/>
        <rFont val="ＭＳ Ｐゴシック"/>
        <family val="3"/>
        <charset val="134"/>
        <scheme val="minor"/>
      </rPr>
      <t>缘</t>
    </r>
  </si>
  <si>
    <t>胡松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</si>
  <si>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</si>
  <si>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WLJ</t>
  </si>
  <si>
    <t>中韵控股（广州）有限公司</t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</si>
  <si>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</t>
    </r>
  </si>
  <si>
    <t>恩酉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</si>
  <si>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</si>
  <si>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HSTAGNARI</t>
  </si>
  <si>
    <t>尹春河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</si>
  <si>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玉米酒; 高粱酒; 白葡萄酒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</si>
  <si>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</si>
  <si>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</si>
  <si>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黄酒; 烈酒; 米酒; 葡萄酒; 青稞酒; 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白酒</t>
    </r>
  </si>
  <si>
    <t>PEACEFULLIFE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</si>
  <si>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砚龙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</si>
  <si>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咖啡利口酒; 甜酒; 水果汽酒;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</si>
  <si>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森源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</si>
  <si>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森源包装有限公司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</si>
  <si>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</si>
  <si>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柔品江山</t>
  </si>
  <si>
    <t>李朝俊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</si>
  <si>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高粱酒</t>
    </r>
  </si>
  <si>
    <r>
      <t>玥 年藏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玥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</si>
  <si>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区唐牌食品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</si>
  <si>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</si>
  <si>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固康酒</t>
  </si>
  <si>
    <r>
      <t>杨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</si>
  <si>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</si>
  <si>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醉</t>
    </r>
  </si>
  <si>
    <t>李广文</t>
  </si>
  <si>
    <r>
      <t>黄酒; 白酒; 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</si>
  <si>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HYDROGIN</t>
  </si>
  <si>
    <r>
      <t>蒂森克</t>
    </r>
    <r>
      <rPr>
        <sz val="11"/>
        <color theme="1"/>
        <rFont val="ＭＳ Ｐゴシック"/>
        <family val="3"/>
        <charset val="134"/>
        <scheme val="minor"/>
      </rPr>
      <t>虏</t>
    </r>
    <r>
      <rPr>
        <sz val="11"/>
        <color theme="1"/>
        <rFont val="ＭＳ Ｐゴシック"/>
        <family val="3"/>
        <charset val="128"/>
        <scheme val="minor"/>
      </rPr>
      <t>伯新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元股份有限及两合公司</t>
    </r>
  </si>
  <si>
    <t>杜松子酒</t>
  </si>
  <si>
    <r>
      <t>红</t>
    </r>
    <r>
      <rPr>
        <sz val="11"/>
        <color theme="1"/>
        <rFont val="ＭＳ Ｐゴシック"/>
        <family val="3"/>
        <charset val="128"/>
        <scheme val="minor"/>
      </rPr>
      <t>至尊</t>
    </r>
  </si>
  <si>
    <t>徐福意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</si>
  <si>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</si>
  <si>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沾 至尊 酒</t>
  </si>
  <si>
    <r>
      <t>华择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</si>
  <si>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</si>
  <si>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谪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</si>
  <si>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市仕然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</si>
  <si>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威士忌;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</t>
    </r>
  </si>
  <si>
    <t>康翔仁</t>
  </si>
  <si>
    <r>
      <t>云南康翔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</si>
  <si>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五加皮酒（中国混合烈酒）; 开胃酒;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</si>
  <si>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</si>
  <si>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 xml:space="preserve">葡萄酒; 白酒; 白干酒（中国白酒）;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</si>
  <si>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觥筹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</si>
  <si>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湖北隆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</si>
  <si>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</si>
  <si>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帖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</si>
  <si>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扬泽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</si>
  <si>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</si>
  <si>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谷淦</t>
  </si>
  <si>
    <r>
      <t>四川唐小米酒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</si>
  <si>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</si>
  <si>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嵊州市丘上万</t>
    </r>
    <r>
      <rPr>
        <sz val="11"/>
        <color theme="1"/>
        <rFont val="ＭＳ Ｐゴシック"/>
        <family val="3"/>
        <charset val="134"/>
        <scheme val="minor"/>
      </rPr>
      <t>亩农业发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</si>
  <si>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</si>
  <si>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憨厚</t>
  </si>
  <si>
    <t>深圳市旭启科技有限公司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</si>
  <si>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</si>
  <si>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国家体育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</si>
  <si>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</si>
  <si>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</si>
  <si>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硬景</t>
  </si>
  <si>
    <r>
      <t>田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</si>
  <si>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青稞酒; 黄酒; 葡萄酒; 利口酒;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</si>
  <si>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斐高 VGOAL</t>
  </si>
  <si>
    <t>斐高（杭州）酒庄有限公司</t>
  </si>
  <si>
    <r>
      <t>白酒;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开胃酒; 果酒（含酒精）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</si>
  <si>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尼王子</t>
    </r>
  </si>
  <si>
    <r>
      <t>莆田市秀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区笏石</t>
    </r>
    <r>
      <rPr>
        <sz val="11"/>
        <color theme="1"/>
        <rFont val="ＭＳ Ｐゴシック"/>
        <family val="3"/>
        <charset val="134"/>
        <scheme val="minor"/>
      </rPr>
      <t>兴锋</t>
    </r>
    <r>
      <rPr>
        <sz val="11"/>
        <color theme="1"/>
        <rFont val="ＭＳ Ｐゴシック"/>
        <family val="3"/>
        <charset val="128"/>
        <scheme val="minor"/>
      </rPr>
      <t>建材厂</t>
    </r>
  </si>
  <si>
    <r>
      <t xml:space="preserve">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</si>
  <si>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留度</t>
  </si>
  <si>
    <r>
      <t>聂凤</t>
    </r>
    <r>
      <rPr>
        <sz val="11"/>
        <color theme="1"/>
        <rFont val="ＭＳ Ｐゴシック"/>
        <family val="3"/>
        <charset val="128"/>
        <scheme val="minor"/>
      </rPr>
      <t>茹</t>
    </r>
  </si>
  <si>
    <r>
      <t xml:space="preserve">葡萄酒; 米酒; 白酒;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梨酒; 清酒（日本米酒）</t>
    </r>
  </si>
  <si>
    <t>百家幸</t>
  </si>
  <si>
    <r>
      <t>成都市百家幸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</si>
  <si>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葡萄酒; 梅酒; 米酒;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</si>
  <si>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情景酒福禄寿喜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</si>
  <si>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</si>
  <si>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浩泰</t>
  </si>
  <si>
    <r>
      <t>郜忠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</si>
  <si>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高粱酒</t>
    </r>
  </si>
  <si>
    <t>OGILHINN NESSIA</t>
  </si>
  <si>
    <r>
      <t>广州二八法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</si>
  <si>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</si>
  <si>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t>江佑</t>
  </si>
  <si>
    <r>
      <t>上海江右医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</si>
  <si>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</t>
    </r>
  </si>
  <si>
    <r>
      <t>万福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</si>
  <si>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省万福酒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</si>
  <si>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</si>
  <si>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利他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</si>
  <si>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州民心酒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</si>
  <si>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白酒; 果酒; 米酒</t>
    </r>
  </si>
  <si>
    <r>
      <t>HJ EMBROIDERY 宏杰</t>
    </r>
    <r>
      <rPr>
        <sz val="11"/>
        <color theme="1"/>
        <rFont val="ＭＳ Ｐゴシック"/>
        <family val="3"/>
        <charset val="134"/>
        <scheme val="minor"/>
      </rPr>
      <t>绣</t>
    </r>
    <r>
      <rPr>
        <sz val="11"/>
        <color theme="1"/>
        <rFont val="ＭＳ Ｐゴシック"/>
        <family val="3"/>
        <charset val="128"/>
        <scheme val="minor"/>
      </rPr>
      <t>配</t>
    </r>
  </si>
  <si>
    <t>刘李宏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</si>
  <si>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青稞酒; 伏特加酒; 白酒; 黄酒; 朗姆酒; 威士忌</t>
    </r>
  </si>
  <si>
    <t>醉花去</t>
  </si>
  <si>
    <r>
      <t>醉花去（南平）酒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</si>
  <si>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甜酒;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</si>
  <si>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市典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</si>
  <si>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苦艾酒; 露酒;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</si>
  <si>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熊猫川商</t>
  </si>
  <si>
    <r>
      <t>四川省易美</t>
    </r>
    <r>
      <rPr>
        <sz val="11"/>
        <color theme="1"/>
        <rFont val="ＭＳ Ｐゴシック"/>
        <family val="3"/>
        <charset val="134"/>
        <scheme val="minor"/>
      </rPr>
      <t>纯贸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</si>
  <si>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清酒; 高粱酒;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</si>
  <si>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熊惠民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</si>
  <si>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熊甄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</si>
  <si>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苦味酒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</si>
  <si>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驰鸣</t>
    </r>
    <r>
      <rPr>
        <sz val="11"/>
        <color theme="1"/>
        <rFont val="ＭＳ Ｐゴシック"/>
        <family val="3"/>
        <charset val="128"/>
        <scheme val="minor"/>
      </rPr>
      <t>米斛酒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</si>
  <si>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葡萄酒</t>
    </r>
  </si>
  <si>
    <t>花日寨</t>
  </si>
  <si>
    <r>
      <t>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百草羊生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</si>
  <si>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白酒; 黄酒; 清酒; 青稞酒;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</si>
  <si>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L'AURAGE</t>
  </si>
  <si>
    <r>
      <t>路易斯•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治•米</t>
    </r>
    <r>
      <rPr>
        <sz val="11"/>
        <color theme="1"/>
        <rFont val="ＭＳ Ｐゴシック"/>
        <family val="3"/>
        <charset val="134"/>
        <scheme val="minor"/>
      </rPr>
      <t>贾维尔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</si>
  <si>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蒸煮提取物（利口酒和烈酒）; 葡萄酒; 佐餐酒</t>
    </r>
  </si>
  <si>
    <t>宜竹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</si>
  <si>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文隆酒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</si>
  <si>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青稞酒; 苦味酒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</si>
  <si>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</si>
  <si>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</si>
  <si>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梅酒; 米酒; 薄荷酒; 白干酒（中国白酒）; 果酒;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</si>
  <si>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t>善方</t>
  </si>
  <si>
    <r>
      <t>上海相宜本草化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品股份有限公司</t>
    </r>
  </si>
  <si>
    <r>
      <t>梨酒; 利口酒;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</si>
  <si>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古粮泉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</si>
  <si>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古梁泉酒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</si>
  <si>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</si>
  <si>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醇如意</t>
  </si>
  <si>
    <r>
      <t>南通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木信息科技有限公司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</si>
  <si>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</si>
  <si>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瑞彩</t>
  </si>
  <si>
    <r>
      <t>漳州引琮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</si>
  <si>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白酒; 果酒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</si>
  <si>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千代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</si>
  <si>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百年香</t>
    </r>
    <r>
      <rPr>
        <sz val="11"/>
        <color theme="1"/>
        <rFont val="ＭＳ Ｐゴシック"/>
        <family val="3"/>
        <charset val="134"/>
        <scheme val="minor"/>
      </rPr>
      <t>传实业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</si>
  <si>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</si>
  <si>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高脖子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</si>
  <si>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</si>
  <si>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</si>
  <si>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凤绿</t>
    </r>
    <r>
      <rPr>
        <sz val="11"/>
        <color theme="1"/>
        <rFont val="ＭＳ Ｐゴシック"/>
        <family val="3"/>
        <charset val="128"/>
        <scheme val="minor"/>
      </rPr>
      <t>脖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</si>
  <si>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</si>
  <si>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凤绿长</t>
    </r>
    <r>
      <rPr>
        <sz val="11"/>
        <color theme="1"/>
        <rFont val="ＭＳ Ｐゴシック"/>
        <family val="3"/>
        <charset val="128"/>
        <scheme val="minor"/>
      </rPr>
      <t>脖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</si>
  <si>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</si>
  <si>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凤凤</t>
    </r>
    <r>
      <rPr>
        <sz val="11"/>
        <color theme="1"/>
        <rFont val="ＭＳ Ｐゴシック"/>
        <family val="3"/>
        <charset val="128"/>
        <scheme val="minor"/>
      </rPr>
      <t>栖台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</si>
  <si>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</si>
  <si>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NOFA</t>
  </si>
  <si>
    <t>佛山市摩法一道科技有限公司</t>
  </si>
  <si>
    <r>
      <t>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伏特加酒;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</si>
  <si>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谷古泉</t>
  </si>
  <si>
    <r>
      <t>北京泰信隆达商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</si>
  <si>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青稞酒; 白酒; 黄酒; 梨酒;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</si>
  <si>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永柔</t>
  </si>
  <si>
    <r>
      <t>王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</si>
  <si>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果酒（含酒精）; 白酒; 高粱酒;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</si>
  <si>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金稻子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</si>
  <si>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州奇治酒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</si>
  <si>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米酒; 青稞酒;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</si>
  <si>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蓝驰</t>
    </r>
  </si>
  <si>
    <r>
      <t xml:space="preserve">苹果酒; 梨酒; 黄酒; 蜂蜜酒;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葡萄酒</t>
    </r>
  </si>
  <si>
    <r>
      <t>大江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去</t>
    </r>
  </si>
  <si>
    <r>
      <t>湖北康磁酒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</si>
  <si>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甜酒; 苦味酒;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</si>
  <si>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北京市北京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</si>
  <si>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清酒（日本米酒）;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</si>
  <si>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宴粹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</si>
  <si>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渡十里（上海）国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</si>
  <si>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黄酒; 果酒（含酒精）</t>
    </r>
  </si>
  <si>
    <r>
      <t>南通功夫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漫科技有限公司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</si>
  <si>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</si>
  <si>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清酒（日本米酒）; 食用酒精; 薄荷酒; 米酒</t>
    </r>
  </si>
  <si>
    <t>德丰池</t>
  </si>
  <si>
    <r>
      <t>安徽古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</si>
  <si>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葡萄酒;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</si>
  <si>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贤书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</si>
  <si>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前程有限公司</t>
    </r>
  </si>
  <si>
    <r>
      <t>青稞酒;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白酒;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</si>
  <si>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格当尼日卡</t>
  </si>
  <si>
    <r>
      <t>墨脱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格当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尼日卡林下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</si>
  <si>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水果汽酒; 果酒（含酒精）; 甜果酒;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干型苹果酒;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青稞酒</t>
    </r>
  </si>
  <si>
    <t>TIGER'S ROAD</t>
  </si>
  <si>
    <r>
      <t>赵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</si>
  <si>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含酒精蛋奶酒</t>
    </r>
  </si>
  <si>
    <t>金色羔羊 ALTUNKOQKAR</t>
  </si>
  <si>
    <t>阿布力米提·依比布拉</t>
  </si>
  <si>
    <r>
      <t xml:space="preserve">茴芹酒（利口酒）; 苹果酒;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柑香酒; 薄荷酒; 餐后酒（利口酒和烈酒）</t>
    </r>
  </si>
  <si>
    <r>
      <t>北京市平谷区</t>
    </r>
    <r>
      <rPr>
        <sz val="11"/>
        <color theme="1"/>
        <rFont val="ＭＳ Ｐゴシック"/>
        <family val="3"/>
        <charset val="134"/>
        <scheme val="minor"/>
      </rPr>
      <t>镇罗营镇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创农业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</si>
  <si>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</si>
  <si>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 xml:space="preserve">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含酒精的气泡水;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</si>
  <si>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礼川渝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</si>
  <si>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酒研究院</t>
    </r>
  </si>
  <si>
    <r>
      <t xml:space="preserve">威士忌; 含酒精的气泡水;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清酒</t>
    </r>
  </si>
  <si>
    <t>一荐</t>
  </si>
  <si>
    <r>
      <t>鸿</t>
    </r>
    <r>
      <rPr>
        <sz val="11"/>
        <color theme="1"/>
        <rFont val="ＭＳ Ｐゴシック"/>
        <family val="3"/>
        <charset val="128"/>
        <scheme val="minor"/>
      </rPr>
      <t>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</si>
  <si>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果酒; 烈酒; 梅酒; 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青梅酒; 朗姆酒; 伏特加酒; 水果汽酒; 利口酒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</si>
  <si>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沟尚品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</si>
  <si>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黄酒; 白酒; 开胃酒; 果酒（含酒精）; 米酒; 白干酒（中国白酒）</t>
    </r>
  </si>
  <si>
    <t>清照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</si>
  <si>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</si>
  <si>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汽酒;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苹果酒; 酸酒（低等葡萄酒）; 黄酒</t>
    </r>
  </si>
  <si>
    <r>
      <t>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</si>
  <si>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浙江金指数投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</si>
  <si>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 xml:space="preserve">葡萄酒;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苦味酒; 薄荷酒; 青梅酒; 米酒; 白酒</t>
    </r>
  </si>
  <si>
    <t>鑫养元</t>
  </si>
  <si>
    <r>
      <t>陈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</si>
  <si>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</si>
  <si>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LSJKWINE</t>
  </si>
  <si>
    <r>
      <t>鲁</t>
    </r>
    <r>
      <rPr>
        <sz val="11"/>
        <color theme="1"/>
        <rFont val="ＭＳ Ｐゴシック"/>
        <family val="3"/>
        <charset val="128"/>
        <scheme val="minor"/>
      </rPr>
      <t>商盛世(北京)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</si>
  <si>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佐餐酒;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不起泡葡萄酒; 加烈葡萄酒;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</si>
  <si>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武功珍坊</t>
  </si>
  <si>
    <t>周敏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</si>
  <si>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果酒（含酒精）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</si>
  <si>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婵</t>
    </r>
  </si>
  <si>
    <t>杻阳科技有限公司</t>
  </si>
  <si>
    <r>
      <t>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</t>
    </r>
  </si>
  <si>
    <r>
      <t>棘米</t>
    </r>
    <r>
      <rPr>
        <sz val="11"/>
        <color theme="1"/>
        <rFont val="ＭＳ Ｐゴシック"/>
        <family val="3"/>
        <charset val="134"/>
        <scheme val="minor"/>
      </rPr>
      <t>琼浆</t>
    </r>
  </si>
  <si>
    <r>
      <t>湖南百印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</si>
  <si>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</t>
    </r>
  </si>
  <si>
    <t>陶香洞天</t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</si>
  <si>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</si>
  <si>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牧耕</t>
  </si>
  <si>
    <r>
      <t>西藏牧耕餐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</si>
  <si>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</si>
  <si>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亿顺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</si>
  <si>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安岭金</t>
    </r>
    <r>
      <rPr>
        <sz val="11"/>
        <color theme="1"/>
        <rFont val="ＭＳ Ｐゴシック"/>
        <family val="3"/>
        <charset val="134"/>
        <scheme val="minor"/>
      </rPr>
      <t>亿顺汉</t>
    </r>
    <r>
      <rPr>
        <sz val="11"/>
        <color theme="1"/>
        <rFont val="ＭＳ Ｐゴシック"/>
        <family val="3"/>
        <charset val="128"/>
        <scheme val="minor"/>
      </rPr>
      <t>麻种植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</si>
  <si>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</si>
  <si>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常台</t>
  </si>
  <si>
    <r>
      <t>李春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</si>
  <si>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</si>
  <si>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西藏唐古啦商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</si>
  <si>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露酒; 米酒; 黄酒;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</si>
  <si>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粤</t>
    </r>
  </si>
  <si>
    <r>
      <t>湛江市岭先酒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</si>
  <si>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米酒; 果酒（含酒精）; 果酒; 烈酒;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</si>
  <si>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挹</t>
  </si>
  <si>
    <r>
      <t>南昌秀挹三江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</si>
  <si>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汽酒;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</si>
  <si>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酿</t>
    </r>
  </si>
  <si>
    <t>徐水区行者酒行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</si>
  <si>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</si>
  <si>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白治庭兄弟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</si>
  <si>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西治庭酒店有限公司</t>
    </r>
  </si>
  <si>
    <r>
      <t>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</si>
  <si>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</si>
  <si>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</si>
  <si>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果酒; 白干酒（中国白酒）; 高粱酒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</si>
  <si>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开区渝川</t>
    </r>
    <r>
      <rPr>
        <sz val="11"/>
        <color theme="1"/>
        <rFont val="ＭＳ Ｐゴシック"/>
        <family val="3"/>
        <charset val="134"/>
        <scheme val="minor"/>
      </rPr>
      <t>华铜锅</t>
    </r>
    <r>
      <rPr>
        <sz val="11"/>
        <color theme="1"/>
        <rFont val="ＭＳ Ｐゴシック"/>
        <family val="3"/>
        <charset val="128"/>
        <scheme val="minor"/>
      </rPr>
      <t>涮老火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</si>
  <si>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黄酒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</si>
  <si>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波</t>
    </r>
    <r>
      <rPr>
        <sz val="11"/>
        <color theme="1"/>
        <rFont val="ＭＳ Ｐゴシック"/>
        <family val="3"/>
        <charset val="134"/>
        <scheme val="minor"/>
      </rPr>
      <t>频</t>
    </r>
    <r>
      <rPr>
        <sz val="11"/>
        <color theme="1"/>
        <rFont val="ＭＳ Ｐゴシック"/>
        <family val="3"/>
        <charset val="128"/>
        <scheme val="minor"/>
      </rPr>
      <t>道 CHANNEL WU</t>
    </r>
  </si>
  <si>
    <r>
      <t>杭州巴九灵文化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意股份有限公司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</si>
  <si>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米酒; 苹果酒; 薄荷酒; 杜松子酒;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</si>
  <si>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溪牛上品</t>
  </si>
  <si>
    <r>
      <t>韩</t>
    </r>
    <r>
      <rPr>
        <sz val="11"/>
        <color theme="1"/>
        <rFont val="ＭＳ Ｐゴシック"/>
        <family val="3"/>
        <charset val="128"/>
        <scheme val="minor"/>
      </rPr>
      <t>广河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</si>
  <si>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</si>
  <si>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宋青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</si>
  <si>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葡萄酒; 食用酒精; 朗姆酒; 威士忌; 黄酒; 白酒; 伏特加酒; 果酒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</si>
  <si>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山</t>
    </r>
  </si>
  <si>
    <t>马驷驹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</si>
  <si>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葡萄酒; 白酒; 高粱酒; 果酒（含酒精）; 清酒</t>
    </r>
  </si>
  <si>
    <r>
      <t>保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小西打</t>
    </r>
  </si>
  <si>
    <r>
      <t>斯味特果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</si>
  <si>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甜果酒;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</si>
  <si>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印象麻家堡</t>
  </si>
  <si>
    <t>山西杏花汾瓷酒厂股份有限公司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</si>
  <si>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果酒（含酒精）; 白酒; 露酒;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</si>
  <si>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帝衢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</si>
  <si>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州帝衢酒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</si>
  <si>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果酒（含酒精）; 清酒（日本米酒）; 黄酒; 烈酒; 白酒; 青稞酒; 葡萄酒</t>
    </r>
  </si>
  <si>
    <t>E TERRAKE 天芮</t>
  </si>
  <si>
    <r>
      <t>联</t>
    </r>
    <r>
      <rPr>
        <sz val="11"/>
        <color theme="1"/>
        <rFont val="ＭＳ Ｐゴシック"/>
        <family val="3"/>
        <charset val="128"/>
        <scheme val="minor"/>
      </rPr>
      <t>美集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</si>
  <si>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烈酒; 食用酒精;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</si>
  <si>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垣明之堂</t>
    </r>
  </si>
  <si>
    <r>
      <t>石家庄旅投集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文化体育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任公司演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</si>
  <si>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黄酒; 食用酒精;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</si>
  <si>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青年八角柜台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</si>
  <si>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</t>
    </r>
  </si>
  <si>
    <t>TERRAKE</t>
  </si>
  <si>
    <r>
      <t>食用酒精;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威士忌; 黄酒</t>
    </r>
  </si>
  <si>
    <t>S TJT</t>
  </si>
  <si>
    <t>江西双胞胎控股有限公司</t>
  </si>
  <si>
    <r>
      <t>苹果酒; 苦味酒;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</si>
  <si>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姚一烤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</si>
  <si>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州姚一烤餐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</si>
  <si>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开胃酒; 白酒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</si>
  <si>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</si>
  <si>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杨凯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</si>
  <si>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餐后酒（利口酒和烈酒）;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</si>
  <si>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袍点将</t>
    </r>
  </si>
  <si>
    <t>潘晨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</si>
  <si>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</si>
  <si>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JOSHY'S WINE</t>
  </si>
  <si>
    <r>
      <t>四川梵悦城文化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</si>
  <si>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</si>
  <si>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桑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</si>
  <si>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宁众启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</si>
  <si>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甜果酒; 葡萄酒; 白酒; 餐后酒（利口酒和烈酒）; 佐餐酒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</si>
  <si>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·境界</t>
    </r>
  </si>
  <si>
    <r>
      <t>上海正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</si>
  <si>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清酒（日本米酒）</t>
    </r>
  </si>
  <si>
    <r>
      <t>天目湖南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</si>
  <si>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天目湖（集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</si>
  <si>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</si>
  <si>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</si>
  <si>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如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</si>
  <si>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 xml:space="preserve">黄酒; 米酒;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高粱酒; 威士忌;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</si>
  <si>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小青</t>
    </r>
  </si>
  <si>
    <t>张顺飞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</si>
  <si>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白酒; 威士忌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</si>
  <si>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滇</t>
    </r>
  </si>
  <si>
    <r>
      <t>徐可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</si>
  <si>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蜂蜜酒;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</si>
  <si>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方溢养</t>
    </r>
  </si>
  <si>
    <r>
      <t>香港富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</si>
  <si>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果酒（含酒精）; 蒸煮提取物（利口酒和烈酒）; 白酒; 米酒</t>
    </r>
  </si>
  <si>
    <r>
      <t>溢养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</si>
  <si>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利口酒; 白酒; 果酒（含酒精）; 蒸煮提取物（利口酒和烈酒）; 食用酒精</t>
    </r>
  </si>
  <si>
    <r>
      <t>终</t>
    </r>
    <r>
      <rPr>
        <sz val="11"/>
        <color theme="1"/>
        <rFont val="ＭＳ Ｐゴシック"/>
        <family val="3"/>
        <charset val="128"/>
        <scheme val="minor"/>
      </rPr>
      <t>南会智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</si>
  <si>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南杉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</si>
  <si>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</si>
  <si>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孑台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</si>
  <si>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州卓丰酒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</si>
  <si>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苦味酒</t>
    </r>
  </si>
  <si>
    <t>B</t>
  </si>
  <si>
    <t>谢银凯</t>
  </si>
  <si>
    <r>
      <t xml:space="preserve">威士忌; 伏特加酒; 黄酒; 果酒;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白酒;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</si>
  <si>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盛杏老酒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</si>
  <si>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山西杏花杏作坊酒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</si>
  <si>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汽酒;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</si>
  <si>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</si>
  <si>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淮安白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</si>
  <si>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清酒;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黄酒</t>
    </r>
  </si>
  <si>
    <t>宏品壹号</t>
  </si>
  <si>
    <r>
      <t>梁启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</si>
  <si>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</si>
  <si>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 xml:space="preserve">葡萄酒; 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</si>
  <si>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</si>
  <si>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汽酒;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草本型利口酒; 开胃酒; 威士忌; 果酒</t>
    </r>
  </si>
  <si>
    <r>
      <t xml:space="preserve">FINE YUMMY 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洋造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</si>
  <si>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洋造餐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</si>
  <si>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</si>
  <si>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白杜</t>
  </si>
  <si>
    <r>
      <t>杜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</si>
  <si>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清酒（日本米酒）; 烈酒; 果酒（含酒精）; 白干酒（中国白酒）;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</si>
  <si>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瑞阳瑞雪</t>
  </si>
  <si>
    <t>田琪*****************X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</si>
  <si>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</si>
  <si>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禾生物科技有限公司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</si>
  <si>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餐后酒（利口酒和烈酒）; 蜂蜜酒; 青稞酒;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</si>
  <si>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MEDICAL QUEEN MQ</t>
  </si>
  <si>
    <r>
      <t>北京美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</si>
  <si>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开胃酒; 白酒; 薄荷酒; 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</si>
  <si>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葡王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</si>
  <si>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宁桑田生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</si>
  <si>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梨酒;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甜酒</t>
    </r>
  </si>
  <si>
    <t>杓溪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</si>
  <si>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州金山阳光假日酒店有限公司</t>
    </r>
  </si>
  <si>
    <r>
      <t xml:space="preserve">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</si>
  <si>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</si>
  <si>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安徽天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</si>
  <si>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葡萄酒</t>
    </r>
  </si>
  <si>
    <r>
      <t>玖玲</t>
    </r>
    <r>
      <rPr>
        <sz val="11"/>
        <color theme="1"/>
        <rFont val="ＭＳ Ｐゴシック"/>
        <family val="3"/>
        <charset val="134"/>
        <scheme val="minor"/>
      </rPr>
      <t>纯贵贡</t>
    </r>
  </si>
  <si>
    <t>赫俊玲</t>
  </si>
  <si>
    <t>白酒; 青稞酒</t>
  </si>
  <si>
    <t>滩头</t>
  </si>
  <si>
    <r>
      <t>隆回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府酒坊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</si>
  <si>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高粱酒; 果酒（含酒精）; 甜酒; 白干酒（中国白酒）</t>
    </r>
  </si>
  <si>
    <r>
      <t>海南秒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</si>
  <si>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白酒; 威士忌; 黄酒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</si>
  <si>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张龙</t>
    </r>
  </si>
  <si>
    <r>
      <t>太原市万柏林区王</t>
    </r>
    <r>
      <rPr>
        <sz val="11"/>
        <color theme="1"/>
        <rFont val="ＭＳ Ｐゴシック"/>
        <family val="3"/>
        <charset val="134"/>
        <scheme val="minor"/>
      </rPr>
      <t>张龙</t>
    </r>
    <r>
      <rPr>
        <sz val="11"/>
        <color theme="1"/>
        <rFont val="ＭＳ Ｐゴシック"/>
        <family val="3"/>
        <charset val="128"/>
        <scheme val="minor"/>
      </rPr>
      <t>主食坊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</si>
  <si>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</si>
  <si>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刘七哥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 xml:space="preserve"> LIU QIGE FARM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</si>
  <si>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云上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庭文化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</si>
  <si>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苹果酒;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</si>
  <si>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松口</t>
  </si>
  <si>
    <r>
      <t>谢</t>
    </r>
    <r>
      <rPr>
        <sz val="11"/>
        <color theme="1"/>
        <rFont val="ＭＳ Ｐゴシック"/>
        <family val="3"/>
        <charset val="128"/>
        <scheme val="minor"/>
      </rPr>
      <t>永牌</t>
    </r>
  </si>
  <si>
    <r>
      <t>米酒; 葡萄酒; 威士忌; 白酒; 蜂蜜酒; 蒸煮提取物（利口酒和烈酒）;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</si>
  <si>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禄格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</si>
  <si>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桂林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格园食品有限公司</t>
    </r>
  </si>
  <si>
    <r>
      <t xml:space="preserve">青稞酒;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</si>
  <si>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</si>
  <si>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</si>
  <si>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三省赤心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</si>
  <si>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薄荷酒; 开胃酒; 葡萄酒; 果酒（含酒精）</t>
    </r>
  </si>
  <si>
    <t>卧牛城</t>
  </si>
  <si>
    <r>
      <t>任志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</si>
  <si>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米酒; 葡萄酒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</si>
  <si>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</si>
  <si>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薄荷酒;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</si>
  <si>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</t>
    </r>
    <r>
      <rPr>
        <sz val="11"/>
        <color theme="1"/>
        <rFont val="ＭＳ Ｐゴシック"/>
        <family val="3"/>
        <charset val="134"/>
        <scheme val="minor"/>
      </rPr>
      <t>毕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</si>
  <si>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黄酒; 白酒; 果酒（含酒精）;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</si>
  <si>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鸡鸣</t>
    </r>
    <r>
      <rPr>
        <sz val="11"/>
        <color theme="1"/>
        <rFont val="ＭＳ Ｐゴシック"/>
        <family val="3"/>
        <charset val="128"/>
        <scheme val="minor"/>
      </rPr>
      <t>三省七星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</si>
  <si>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白酒; 葡萄酒;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</si>
  <si>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胡春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</si>
  <si>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州葫葫清酒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</si>
  <si>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黄酒;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利口酒; 米酒; 葡萄酒; 薄荷酒</t>
    </r>
  </si>
  <si>
    <t>安其生</t>
  </si>
  <si>
    <r>
      <t>谨锐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科技(上海)有限公司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</si>
  <si>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甜酒; 食用酒精</t>
    </r>
  </si>
  <si>
    <t>古志平壹麦香城</t>
  </si>
  <si>
    <t>广州一麦香城生物科技有限公司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</si>
  <si>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伏特加酒;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果酒（含酒精）; 黄酒</t>
    </r>
  </si>
  <si>
    <t>黔宝隆</t>
  </si>
  <si>
    <r>
      <t>曹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</si>
  <si>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威士忌</t>
    </r>
  </si>
  <si>
    <t>致富花</t>
  </si>
  <si>
    <r>
      <t>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果酒（含酒精）</t>
    </r>
  </si>
  <si>
    <t>微沺</t>
  </si>
  <si>
    <t>易之彭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</si>
  <si>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威士忌; 朗姆酒</t>
    </r>
  </si>
  <si>
    <t>ONEFOREVER</t>
  </si>
  <si>
    <r>
      <t>江南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市（杭州）文化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</si>
  <si>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果酒; 高粱酒; 梅酒; 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</si>
  <si>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德将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</si>
  <si>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城毅智慧碳源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境工程（成都）有限公司</t>
    </r>
  </si>
  <si>
    <r>
      <t xml:space="preserve">清酒（日本米酒）;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葡萄酒;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</si>
  <si>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向恬君</t>
  </si>
  <si>
    <r>
      <t>米酒; 甜酒; 果酒（含酒精）; 黄酒; 葡萄酒;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高粱酒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</si>
  <si>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（宁夏）文化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媒有限公司中宁分公司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</si>
  <si>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白酒; 清酒</t>
    </r>
  </si>
  <si>
    <r>
      <t>雄上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</si>
  <si>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姜俊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</si>
  <si>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青稞酒; 高粱酒; 黄酒;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</si>
  <si>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覆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</si>
  <si>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江西正言堂商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</si>
  <si>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露酒; 白酒;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</si>
  <si>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锦记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</si>
  <si>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锦记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</si>
  <si>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</si>
  <si>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圈定</t>
  </si>
  <si>
    <r>
      <t>广州市圈点文化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</si>
  <si>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</si>
  <si>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会稽山爽</t>
  </si>
  <si>
    <r>
      <t>会稽山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</si>
  <si>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</si>
  <si>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窖父奔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</si>
  <si>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四川万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奔</t>
    </r>
    <r>
      <rPr>
        <sz val="11"/>
        <color theme="1"/>
        <rFont val="ＭＳ Ｐゴシック"/>
        <family val="3"/>
        <charset val="134"/>
        <scheme val="minor"/>
      </rPr>
      <t>鸿实业发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</si>
  <si>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</si>
  <si>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汾阳酒祖酒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</si>
  <si>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高粱酒; 米酒; 露酒; 清酒; 青稞酒; 白酒; 梅酒</t>
    </r>
  </si>
  <si>
    <t>茶里茶外</t>
  </si>
  <si>
    <r>
      <t>鹤</t>
    </r>
    <r>
      <rPr>
        <sz val="11"/>
        <color theme="1"/>
        <rFont val="ＭＳ Ｐゴシック"/>
        <family val="3"/>
        <charset val="128"/>
        <scheme val="minor"/>
      </rPr>
      <t>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容阳文化旅游投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</si>
  <si>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食用酒精;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</si>
  <si>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粱之坊品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</si>
  <si>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粱之坊（山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</si>
  <si>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蜂蜜酒; 米酒;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</si>
  <si>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WANW U ZRWW L 0123456789</t>
  </si>
  <si>
    <r>
      <t>江西自然万物文化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</si>
  <si>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甜酒; 白酒; 甜果酒; 白干酒（中国白酒）;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</si>
  <si>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随性点</t>
  </si>
  <si>
    <t>利小桂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</si>
  <si>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烈性干酒; 威士忌; 黄酒;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</si>
  <si>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OUERHUA LIQUOR</t>
  </si>
  <si>
    <r>
      <t>广州欧</t>
    </r>
    <r>
      <rPr>
        <sz val="11"/>
        <color theme="1"/>
        <rFont val="ＭＳ Ｐゴシック"/>
        <family val="3"/>
        <charset val="134"/>
        <scheme val="minor"/>
      </rPr>
      <t>尔华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</si>
  <si>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开胃酒</t>
    </r>
  </si>
  <si>
    <t>英雄秦王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</si>
  <si>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市英雄渡酒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</si>
  <si>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</si>
  <si>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窎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</si>
  <si>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葡萄酒; 果酒（含酒精）</t>
    </r>
  </si>
  <si>
    <t>匡吉安</t>
  </si>
  <si>
    <r>
      <t xml:space="preserve">白酒; 含酒精的气泡水; 果酒（含酒精）; 清酒;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</si>
  <si>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世会都</t>
    </r>
  </si>
  <si>
    <r>
      <t>北京国都国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</si>
  <si>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黄酒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</si>
  <si>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律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 xml:space="preserve"> BLACK MIRROR LAWYERS</t>
    </r>
  </si>
  <si>
    <r>
      <t>四川葚爽酒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</si>
  <si>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</si>
  <si>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匡王金重九</t>
  </si>
  <si>
    <t>米健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</si>
  <si>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</si>
  <si>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</si>
  <si>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杭州味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</si>
  <si>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开胃酒; 白酒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</si>
  <si>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</si>
  <si>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米三巡</t>
  </si>
  <si>
    <r>
      <t>长兴</t>
    </r>
    <r>
      <rPr>
        <sz val="11"/>
        <color theme="1"/>
        <rFont val="ＭＳ Ｐゴシック"/>
        <family val="3"/>
        <charset val="128"/>
        <scheme val="minor"/>
      </rPr>
      <t>素园景</t>
    </r>
    <r>
      <rPr>
        <sz val="11"/>
        <color theme="1"/>
        <rFont val="ＭＳ Ｐゴシック"/>
        <family val="3"/>
        <charset val="134"/>
        <scheme val="minor"/>
      </rPr>
      <t>观艺术设计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</si>
  <si>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威士忌;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</t>
    </r>
  </si>
  <si>
    <r>
      <t xml:space="preserve">白酒; 黄酒;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</si>
  <si>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几</t>
    </r>
    <r>
      <rPr>
        <sz val="11"/>
        <color theme="1"/>
        <rFont val="ＭＳ Ｐゴシック"/>
        <family val="3"/>
        <charset val="134"/>
        <scheme val="minor"/>
      </rPr>
      <t>许</t>
    </r>
  </si>
  <si>
    <r>
      <t>四川川潮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牌体育科技有限公司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</si>
  <si>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威士忌</t>
    </r>
  </si>
  <si>
    <r>
      <t xml:space="preserve">潮 </t>
    </r>
    <r>
      <rPr>
        <sz val="11"/>
        <color theme="1"/>
        <rFont val="ＭＳ Ｐゴシック"/>
        <family val="3"/>
        <charset val="134"/>
        <scheme val="minor"/>
      </rPr>
      <t>贺澜</t>
    </r>
    <r>
      <rPr>
        <sz val="11"/>
        <color theme="1"/>
        <rFont val="ＭＳ Ｐゴシック"/>
        <family val="3"/>
        <charset val="128"/>
        <scheme val="minor"/>
      </rPr>
      <t>皇潮</t>
    </r>
  </si>
  <si>
    <r>
      <t>宁夏紫源葡萄酒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</si>
  <si>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苹果酒; 米酒; 黄酒; 葡萄酒;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</t>
    </r>
  </si>
  <si>
    <t>中食保臻</t>
  </si>
  <si>
    <r>
      <t>中食保臻（北京）科技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</si>
  <si>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汽酒; 果酒（含酒精）; 葡萄酒; 黄酒;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</t>
    </r>
  </si>
  <si>
    <t>尗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</si>
  <si>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门乐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</si>
  <si>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薄荷酒; 高粱酒; 黄酒; 果酒（含酒精）; 威士忌; 清酒; 青稞酒; 白酒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</si>
  <si>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开文旅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</si>
  <si>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</t>
    </r>
  </si>
  <si>
    <r>
      <t>留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</si>
  <si>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</si>
  <si>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</si>
  <si>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</si>
  <si>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揭阳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在厨中餐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</si>
  <si>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咖啡利口酒;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</si>
  <si>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拾美大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</si>
  <si>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州新世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</si>
  <si>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</si>
  <si>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r>
      <t>米的旅行日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</si>
  <si>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上海众</t>
    </r>
    <r>
      <rPr>
        <sz val="11"/>
        <color theme="1"/>
        <rFont val="ＭＳ Ｐゴシック"/>
        <family val="3"/>
        <charset val="134"/>
        <scheme val="minor"/>
      </rPr>
      <t>乐实业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</si>
  <si>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葡萄酒; 米酒; 白酒; 餐后酒（利口酒和烈酒）;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日式甜米酒</t>
    </r>
  </si>
  <si>
    <r>
      <t>吐火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</si>
  <si>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</si>
  <si>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黄酒; 甜酒; 露酒; 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</t>
    </r>
  </si>
  <si>
    <r>
      <t>奋为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</si>
  <si>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永芳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</si>
  <si>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开胃酒; 米酒; 黄酒;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</si>
  <si>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者</t>
    </r>
  </si>
  <si>
    <t>吴雨</t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</si>
  <si>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黄酒</t>
    </r>
  </si>
  <si>
    <r>
      <t>欲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</si>
  <si>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湖南星猫品牌运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</si>
  <si>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清酒; 威士忌; 米酒; 汽酒</t>
    </r>
  </si>
  <si>
    <t>秋香河</t>
  </si>
  <si>
    <r>
      <t>深圳恒泰丰生</t>
    </r>
    <r>
      <rPr>
        <sz val="11"/>
        <color theme="1"/>
        <rFont val="ＭＳ Ｐゴシック"/>
        <family val="3"/>
        <charset val="134"/>
        <scheme val="minor"/>
      </rPr>
      <t>态产业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</si>
  <si>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伏特加酒; 朗姆酒;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</si>
  <si>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明宇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思 MINGYU LISHI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</si>
  <si>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州明宇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思酒店（集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</si>
  <si>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</si>
  <si>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洪武太祖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</si>
  <si>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蜂蜜酒;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</si>
  <si>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宋韵美</t>
  </si>
  <si>
    <t>任田田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</si>
  <si>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甘蔗制烈酒</t>
    </r>
  </si>
  <si>
    <t>花氏酒窖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</si>
  <si>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</si>
  <si>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烈酒; 高粱酒</t>
    </r>
  </si>
  <si>
    <r>
      <t>仙方生物科技（山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</si>
  <si>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薄荷酒;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</si>
  <si>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界疆三湶</t>
  </si>
  <si>
    <r>
      <t>绥滨县</t>
    </r>
    <r>
      <rPr>
        <sz val="11"/>
        <color theme="1"/>
        <rFont val="ＭＳ Ｐゴシック"/>
        <family val="3"/>
        <charset val="128"/>
        <scheme val="minor"/>
      </rPr>
      <t>三湶白酒厂（个体工商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</si>
  <si>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米酒</t>
    </r>
  </si>
  <si>
    <t>彩草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</si>
  <si>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烈酒; 露酒; 青梅酒; 白酒; 黄酒; 高粱酒</t>
    </r>
  </si>
  <si>
    <t>中益古液井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</si>
  <si>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中益古液井酒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</si>
  <si>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苹果酒;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酸酒（低等葡萄酒）; 葡萄汽酒;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米酒; 清酒（日本米酒）;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加烈葡萄酒; 甜果酒;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开胃酒; 白葡萄酒;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老酒（...</t>
    </r>
  </si>
  <si>
    <t>九鼎鹿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</si>
  <si>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</si>
  <si>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文圣拳</t>
  </si>
  <si>
    <r>
      <t>汶上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文圣拳研究会</t>
    </r>
  </si>
  <si>
    <r>
      <t>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</si>
  <si>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米酒; 清酒（日本米酒）; 青稞酒; 开胃酒; 不起泡葡萄酒; 烈酒;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酸酒（低等葡萄酒）;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黄酒; 白酒; 苹果酒; 葡萄酒; 高粱酒;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加烈葡...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</si>
  <si>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农业农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州市植物保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中心）</t>
    </r>
  </si>
  <si>
    <r>
      <t>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</si>
  <si>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街</t>
    </r>
  </si>
  <si>
    <t>孟德新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</si>
  <si>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</si>
  <si>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夯沙</t>
  </si>
  <si>
    <r>
      <t>广州量醇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</si>
  <si>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清酒; 葡萄酒; 果酒（含酒精）; 米酒; 利口酒;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</si>
  <si>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槐蜂堂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</si>
  <si>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</si>
  <si>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</si>
  <si>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州酒老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</si>
  <si>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高粱酒; 黄酒; 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</si>
  <si>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皦日 起源</t>
  </si>
  <si>
    <r>
      <t>大山孵化器（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南）有限公司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</si>
  <si>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</si>
  <si>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原址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</si>
  <si>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州百年原址酒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</si>
  <si>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果酒; 米酒; 葡萄酒; 黄酒</t>
    </r>
  </si>
  <si>
    <t>太合星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</si>
  <si>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州万个供</t>
    </r>
    <r>
      <rPr>
        <sz val="11"/>
        <color theme="1"/>
        <rFont val="ＭＳ Ｐゴシック"/>
        <family val="3"/>
        <charset val="134"/>
        <scheme val="minor"/>
      </rPr>
      <t>应链产业发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</si>
  <si>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</t>
    </r>
  </si>
  <si>
    <r>
      <t>棠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</si>
  <si>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市昌茂酒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</si>
  <si>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露酒; 米酒; 烈酒; 蒸煮提取物（利口酒和烈酒）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</si>
  <si>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花山一号</t>
    </r>
  </si>
  <si>
    <t>福建日泰生物科技有限公司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</si>
  <si>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葡萄酒</t>
    </r>
  </si>
  <si>
    <t>原身</t>
  </si>
  <si>
    <r>
      <t xml:space="preserve">蒸煮提取物（利口酒和烈酒）; 果酒; 清酒（日本米酒）;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</si>
  <si>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川沱</t>
  </si>
  <si>
    <r>
      <t>四川川沱酒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</si>
  <si>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</si>
  <si>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棠小二</t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</si>
  <si>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白干酒（中国白酒）; 米酒; 蒸煮提取物（利口酒和烈酒）;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</si>
  <si>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独木关</t>
  </si>
  <si>
    <r>
      <t>海城市独木关文旅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</si>
  <si>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朗姆酒;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白酒</t>
    </r>
  </si>
  <si>
    <r>
      <t>皇冠公</t>
    </r>
    <r>
      <rPr>
        <sz val="11"/>
        <color theme="1"/>
        <rFont val="ＭＳ Ｐゴシック"/>
        <family val="3"/>
        <charset val="134"/>
        <scheme val="minor"/>
      </rPr>
      <t>鸡头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</si>
  <si>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州米奇来科技有限公司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</si>
  <si>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蜂蜜酒; 白酒; 葡萄酒;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</t>
    </r>
  </si>
  <si>
    <t>越粮</t>
  </si>
  <si>
    <t>赵帅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</si>
  <si>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</si>
  <si>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河粉</t>
    </r>
    <r>
      <rPr>
        <sz val="11"/>
        <color theme="1"/>
        <rFont val="ＭＳ Ｐゴシック"/>
        <family val="3"/>
        <charset val="134"/>
        <scheme val="minor"/>
      </rPr>
      <t>爷爷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</si>
  <si>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河粉</t>
    </r>
    <r>
      <rPr>
        <sz val="11"/>
        <color theme="1"/>
        <rFont val="ＭＳ Ｐゴシック"/>
        <family val="3"/>
        <charset val="134"/>
        <scheme val="minor"/>
      </rPr>
      <t>爷爷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</si>
  <si>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</si>
  <si>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葆葫芦</t>
  </si>
  <si>
    <r>
      <t>河南珀恩仕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</si>
  <si>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高粱酒;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烈酒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</si>
  <si>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章映日</t>
    </r>
  </si>
  <si>
    <r>
      <t>食用酒精; 白酒; 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</si>
  <si>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邦略</t>
  </si>
  <si>
    <r>
      <t>胡小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</si>
  <si>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露酒; 米酒; 黄酒;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</si>
  <si>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商庄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</si>
  <si>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州商庄酒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</si>
  <si>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</si>
  <si>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露酒; 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</t>
    </r>
  </si>
  <si>
    <t>禹金亭 酒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</si>
  <si>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</si>
  <si>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枕山</t>
    </r>
    <r>
      <rPr>
        <sz val="11"/>
        <color theme="1"/>
        <rFont val="ＭＳ Ｐゴシック"/>
        <family val="3"/>
        <charset val="134"/>
        <scheme val="minor"/>
      </rPr>
      <t>车库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</si>
  <si>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塞外七星葡萄酒技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（宁夏）有限公司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</si>
  <si>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清酒; 果酒（含酒精）; 烈酒</t>
    </r>
  </si>
  <si>
    <t>仙宜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</si>
  <si>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庆腾</t>
    </r>
    <r>
      <rPr>
        <sz val="11"/>
        <color theme="1"/>
        <rFont val="ＭＳ Ｐゴシック"/>
        <family val="3"/>
        <charset val="128"/>
        <scheme val="minor"/>
      </rPr>
      <t>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</si>
  <si>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青梅酒; 甜果酒;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果酒（含酒精）; 梅酒; 白酒; 烈酒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</si>
  <si>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豆立</t>
    </r>
  </si>
  <si>
    <t>安徽青芝堂生物科技有限公司</t>
  </si>
  <si>
    <r>
      <t xml:space="preserve">葡萄酒;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果酒（含酒精）; 开胃酒; 白酒</t>
    </r>
  </si>
  <si>
    <r>
      <t xml:space="preserve">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黄酒; 清酒（日本米酒）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</si>
  <si>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章</t>
    </r>
    <r>
      <rPr>
        <sz val="11"/>
        <color theme="1"/>
        <rFont val="ＭＳ Ｐゴシック"/>
        <family val="3"/>
        <charset val="134"/>
        <scheme val="minor"/>
      </rPr>
      <t>绣锦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</si>
  <si>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果酒（含酒精）</t>
    </r>
  </si>
  <si>
    <r>
      <t>渔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</si>
  <si>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梅酒; 甜果酒; 果酒; 烈酒;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</si>
  <si>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</si>
  <si>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夫（北京）科技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</si>
  <si>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</si>
  <si>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CHATEAU PRAISONEBO 派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堡 PS</t>
    </r>
  </si>
  <si>
    <t>王宝珍</t>
  </si>
  <si>
    <r>
      <t>果酒（含酒精）; 茴香酒（利口酒）;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</si>
  <si>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枕山膜拜酒庄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</si>
  <si>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米酒; 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</t>
    </r>
  </si>
  <si>
    <r>
      <t>酒仁世家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</si>
  <si>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 xml:space="preserve">葡萄酒;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</si>
  <si>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OS 欧声</t>
  </si>
  <si>
    <r>
      <t>泉州亨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</si>
  <si>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果酒（含酒精）;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葡萄酒; 威士忌; 黄酒</t>
    </r>
  </si>
  <si>
    <t>酺酃</t>
  </si>
  <si>
    <t>关忠利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</si>
  <si>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杜松子酒; 青稞酒; 白酒; 黄酒</t>
    </r>
  </si>
  <si>
    <r>
      <t>古藏秦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</si>
  <si>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胡江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</si>
  <si>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开胃酒; 黄酒</t>
    </r>
  </si>
  <si>
    <r>
      <t>人生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</si>
  <si>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白酒; 果酒（含酒精）; 食用酒精</t>
    </r>
  </si>
  <si>
    <r>
      <t>神州大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</si>
  <si>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广西朝溢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</si>
  <si>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</si>
  <si>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</si>
  <si>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开胃酒; 葡萄酒; 清酒（日本米酒）</t>
    </r>
  </si>
  <si>
    <t>硒养生命医学研究(山西)有限公司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</si>
  <si>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开胃酒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</si>
  <si>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久盼</t>
    </r>
  </si>
  <si>
    <t>深圳市广程杰瑞科技有限公司</t>
  </si>
  <si>
    <r>
      <t xml:space="preserve">黄酒; 威士忌;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葡萄酒; 果酒（含酒精）</t>
    </r>
  </si>
  <si>
    <r>
      <t>盈投科技控股集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</si>
  <si>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</si>
  <si>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李敏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</si>
  <si>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葡萄酒;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</si>
  <si>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申前SHENTOP</t>
  </si>
  <si>
    <t>上海申前科技有限公司</t>
  </si>
  <si>
    <r>
      <t>葡萄酒;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黄酒; 果酒（含酒精）; 青梅酒; 白酒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</si>
  <si>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果猫</t>
    </r>
  </si>
  <si>
    <t>沈宁立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</si>
  <si>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</si>
  <si>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栋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</si>
  <si>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栋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</si>
  <si>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食用酒精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</si>
  <si>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岛鸿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</si>
  <si>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海南椰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</si>
  <si>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 xml:space="preserve">汽酒;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白酒;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</si>
  <si>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鎏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</si>
  <si>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鎏（北京）科技有限公司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</si>
  <si>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汽酒; 葡萄酒; 米酒; 黄酒; 果酒（含酒精）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</si>
  <si>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岛鸿</t>
    </r>
    <r>
      <rPr>
        <sz val="11"/>
        <color theme="1"/>
        <rFont val="ＭＳ Ｐゴシック"/>
        <family val="3"/>
        <charset val="128"/>
        <scheme val="minor"/>
      </rPr>
      <t>祈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</si>
  <si>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蒸煮提取物（利口酒和烈酒）;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</t>
    </r>
  </si>
  <si>
    <t>康普艾</t>
  </si>
  <si>
    <t>李大志</t>
  </si>
  <si>
    <r>
      <t xml:space="preserve">朗姆酒;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</si>
  <si>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</si>
  <si>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帝酒厂</t>
    </r>
  </si>
  <si>
    <r>
      <t>开胃酒;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</t>
    </r>
  </si>
  <si>
    <t>天下</t>
  </si>
  <si>
    <r>
      <t>延安市宝塔区甜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</si>
  <si>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水果汽酒; 利口酒; 苹果酒; 果酒;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</t>
    </r>
  </si>
  <si>
    <t>逢逍遥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</si>
  <si>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</si>
  <si>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横琴深合投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</si>
  <si>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烈酒; 葡萄酒; 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</si>
  <si>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SG</t>
  </si>
  <si>
    <t>荣耀体育（湖北）有限公司</t>
  </si>
  <si>
    <r>
      <t>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</si>
  <si>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醉好弟兄</t>
  </si>
  <si>
    <r>
      <t>沈</t>
    </r>
    <r>
      <rPr>
        <sz val="11"/>
        <color theme="1"/>
        <rFont val="ＭＳ Ｐゴシック"/>
        <family val="3"/>
        <charset val="134"/>
        <scheme val="minor"/>
      </rPr>
      <t>维业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</si>
  <si>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</si>
  <si>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LOUIS GENTRY</t>
  </si>
  <si>
    <r>
      <t>王金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</si>
  <si>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开胃酒; 清酒（日本米酒）; 葡萄酒;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</si>
  <si>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云上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</si>
  <si>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云上酒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</si>
  <si>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米酒; 白酒;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</si>
  <si>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t>女儿欣</t>
  </si>
  <si>
    <r>
      <t>云南乙元食品开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</si>
  <si>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梨酒; 果酒（含酒精）; 黄酒; 米酒; 露酒;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</si>
  <si>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G</t>
  </si>
  <si>
    <r>
      <t>湖北省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</si>
  <si>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含酒精的气泡水; 白酒; 食用酒精;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</si>
  <si>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r>
      <t>王先</t>
    </r>
    <r>
      <rPr>
        <sz val="11"/>
        <color theme="1"/>
        <rFont val="ＭＳ Ｐゴシック"/>
        <family val="3"/>
        <charset val="134"/>
        <scheme val="minor"/>
      </rPr>
      <t>苼</t>
    </r>
  </si>
  <si>
    <r>
      <t>王先生（山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</si>
  <si>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开胃酒; 黄酒; 葡萄酒</t>
    </r>
  </si>
  <si>
    <t>客来韵</t>
  </si>
  <si>
    <r>
      <t>白酒; 烈酒;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</si>
  <si>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汩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</si>
  <si>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</si>
  <si>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六福臻藏</t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</si>
  <si>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</si>
  <si>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威士忌; 果酒（含酒精）; 米酒</t>
    </r>
  </si>
  <si>
    <t>九源王</t>
  </si>
  <si>
    <r>
      <t>山西九源王酒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</si>
  <si>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</si>
  <si>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爽野</t>
  </si>
  <si>
    <r>
      <t>陈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</si>
  <si>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汽酒; 黄酒; 白酒; 佐餐酒;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</si>
  <si>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本宜</t>
    </r>
  </si>
  <si>
    <r>
      <t>海博（江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</si>
  <si>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果酒; 米酒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</si>
  <si>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氿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</si>
  <si>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成超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</si>
  <si>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</si>
  <si>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富山三花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</si>
  <si>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</si>
  <si>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甜酒;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</si>
  <si>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玉露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香</t>
    </r>
  </si>
  <si>
    <t>上海美沁生物科技有限公司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</si>
  <si>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米酒; 黄酒;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</si>
  <si>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金板</t>
    </r>
    <r>
      <rPr>
        <sz val="11"/>
        <color theme="1"/>
        <rFont val="ＭＳ Ｐゴシック"/>
        <family val="3"/>
        <charset val="134"/>
        <scheme val="minor"/>
      </rPr>
      <t>闸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</si>
  <si>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锡华跃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</si>
  <si>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</si>
  <si>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HAKKA OF DONG SHAN</t>
  </si>
  <si>
    <r>
      <t>成都市合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汇劳务专业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</si>
  <si>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清酒（日本米酒）;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</si>
  <si>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弥福</t>
  </si>
  <si>
    <t>弥勒福酒庄园有限公司</t>
  </si>
  <si>
    <r>
      <t>果酒（含酒精）; 青稞酒; 黄酒;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</si>
  <si>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</si>
  <si>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郑记</t>
    </r>
    <r>
      <rPr>
        <sz val="11"/>
        <color theme="1"/>
        <rFont val="ＭＳ Ｐゴシック"/>
        <family val="3"/>
        <charset val="128"/>
        <scheme val="minor"/>
      </rPr>
      <t>茅酒酒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</si>
  <si>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</si>
  <si>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堑</t>
    </r>
  </si>
  <si>
    <r>
      <t>果酒（含酒精）; 清酒（日本米酒）; 伏特加酒; 青稞酒;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</si>
  <si>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林都伊村</t>
  </si>
  <si>
    <t>郭宏</t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</si>
  <si>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</si>
  <si>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买</t>
    </r>
    <r>
      <rPr>
        <sz val="11"/>
        <color theme="1"/>
        <rFont val="ＭＳ Ｐゴシック"/>
        <family val="3"/>
        <charset val="128"/>
        <scheme val="minor"/>
      </rPr>
      <t>方悠仙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</si>
  <si>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壹</t>
    </r>
  </si>
  <si>
    <t>烈酒; 果酒（含酒精）; 伏特加酒; 白葡萄酒; 开胃酒; 利口酒; 高粱酒; 威士忌; 白酒; 朗姆酒</t>
  </si>
  <si>
    <r>
      <t>川</t>
    </r>
    <r>
      <rPr>
        <sz val="11"/>
        <color theme="1"/>
        <rFont val="ＭＳ Ｐゴシック"/>
        <family val="3"/>
        <charset val="134"/>
        <scheme val="minor"/>
      </rPr>
      <t>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</si>
  <si>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</si>
  <si>
    <t>GUO QI JIANG GUO QI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</si>
  <si>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29"/>
        <scheme val="minor"/>
      </rPr>
      <t>亓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</si>
  <si>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烈酒; 果酒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</si>
  <si>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尚楼</t>
    </r>
  </si>
  <si>
    <r>
      <t>鹿邑</t>
    </r>
    <r>
      <rPr>
        <sz val="11"/>
        <color theme="1"/>
        <rFont val="ＭＳ Ｐゴシック"/>
        <family val="3"/>
        <charset val="134"/>
        <scheme val="minor"/>
      </rPr>
      <t>县杨</t>
    </r>
    <r>
      <rPr>
        <sz val="11"/>
        <color theme="1"/>
        <rFont val="ＭＳ Ｐゴシック"/>
        <family val="3"/>
        <charset val="128"/>
        <scheme val="minor"/>
      </rPr>
      <t>尚楼酒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</si>
  <si>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梨酒;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米酒; 白酒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</si>
  <si>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道医医学技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</si>
  <si>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>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黑覆盆子酒; 白干酒（中国白酒）; 白酒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</si>
  <si>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</si>
  <si>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明水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山水酒坊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</si>
  <si>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苦味酒; 果酒（含酒精）;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</si>
  <si>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卡布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堡 KABUROLL CASTLE</t>
    </r>
  </si>
  <si>
    <r>
      <t>上海艾美隆酒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</si>
  <si>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朗姆酒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</si>
  <si>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侣</t>
    </r>
    <r>
      <rPr>
        <sz val="11"/>
        <color theme="1"/>
        <rFont val="ＭＳ Ｐゴシック"/>
        <family val="3"/>
        <charset val="128"/>
        <scheme val="minor"/>
      </rPr>
      <t xml:space="preserve"> 喜酒</t>
    </r>
  </si>
  <si>
    <r>
      <t>赵伟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</si>
  <si>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梨酒; 白酒; 米酒; 葡萄酒; 开胃酒</t>
    </r>
  </si>
  <si>
    <t>粮引</t>
  </si>
  <si>
    <r>
      <t>北京米瑟莱商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</si>
  <si>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</t>
    </r>
  </si>
  <si>
    <t>清源河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</si>
  <si>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苏绿</t>
    </r>
    <r>
      <rPr>
        <sz val="11"/>
        <color theme="1"/>
        <rFont val="ＭＳ Ｐゴシック"/>
        <family val="3"/>
        <charset val="128"/>
        <scheme val="minor"/>
      </rPr>
      <t>之源供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</si>
  <si>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葡萄酒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</si>
  <si>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</si>
  <si>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侣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</si>
  <si>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</si>
  <si>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海卅府</t>
  </si>
  <si>
    <r>
      <t>汤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</si>
  <si>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</si>
  <si>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花中露</t>
  </si>
  <si>
    <t>李息明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</si>
  <si>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</si>
  <si>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卡弗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堡 KAFOER CASTLE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</si>
  <si>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</si>
  <si>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昭君佳雅 ZHAOJUNCAIA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</si>
  <si>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果酒; 朗姆酒;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</si>
  <si>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仰韶花开</t>
  </si>
  <si>
    <r>
      <t>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</si>
  <si>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COSTE DI BRENTA</t>
  </si>
  <si>
    <r>
      <t>南京圣路加商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</si>
  <si>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起泡白葡萄酒; 烈酒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</si>
  <si>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伍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</si>
  <si>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</si>
  <si>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菄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</si>
  <si>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英德市</t>
    </r>
    <r>
      <rPr>
        <sz val="11"/>
        <color theme="1"/>
        <rFont val="ＭＳ Ｐゴシック"/>
        <family val="3"/>
        <charset val="129"/>
        <scheme val="minor"/>
      </rPr>
      <t>菄</t>
    </r>
    <r>
      <rPr>
        <sz val="11"/>
        <color theme="1"/>
        <rFont val="ＭＳ Ｐゴシック"/>
        <family val="3"/>
        <charset val="134"/>
        <scheme val="minor"/>
      </rPr>
      <t>风农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</si>
  <si>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青稞酒; 葡萄酒; 食用酒精;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</si>
  <si>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果酒; 米酒; 清酒</t>
    </r>
  </si>
  <si>
    <r>
      <t>深圳茶悦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花文化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</si>
  <si>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甜果酒;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</si>
  <si>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双厚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</si>
  <si>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伏特加酒; 果酒（含酒精）; 葡萄酒</t>
    </r>
  </si>
  <si>
    <t>鹿宏堂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</si>
  <si>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宏博源建筑工程科技有限公司</t>
    </r>
  </si>
  <si>
    <r>
      <t>米酒; 果酒（含酒精）; 开胃酒;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</si>
  <si>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KLAIR ESTATE</t>
  </si>
  <si>
    <r>
      <t>邦瑞（山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</si>
  <si>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朗姆酒; 果酒（含酒精）;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</si>
  <si>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散步力</t>
  </si>
  <si>
    <r>
      <t>天津一番网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</si>
  <si>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梅酒; 果酒（含酒精）; 草莓酒;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甜酒; 葡萄酒</t>
    </r>
  </si>
  <si>
    <t>DJ</t>
  </si>
  <si>
    <r>
      <t>祖宏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</si>
  <si>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青稞酒; 威士忌;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</si>
  <si>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内蒙古自治区酒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</si>
  <si>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白酒; 米酒; 食用酒精;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</si>
  <si>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食用酒精; 黄酒;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伏特加酒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</si>
  <si>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凰令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</si>
  <si>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璇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</si>
  <si>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</si>
  <si>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食用酒精; 黄酒; 威士忌;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</si>
  <si>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</si>
  <si>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</si>
  <si>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食用酒精;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伏特加酒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</si>
  <si>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龙谭</t>
    </r>
  </si>
  <si>
    <t>徐志勇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</si>
  <si>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</si>
  <si>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清酒; 食用酒精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</si>
  <si>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慰</t>
    </r>
    <r>
      <rPr>
        <sz val="11"/>
        <color theme="1"/>
        <rFont val="ＭＳ Ｐゴシック"/>
        <family val="3"/>
        <charset val="134"/>
        <scheme val="minor"/>
      </rPr>
      <t>飞驰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</si>
  <si>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</si>
  <si>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</si>
  <si>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方式酒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</si>
  <si>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米酒; 清酒; 黄酒; 白酒; 汽酒; 果酒（含酒精）;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</si>
  <si>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筱佬帝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</si>
  <si>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</si>
  <si>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朗姆酒;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</si>
  <si>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t>天山想念</t>
  </si>
  <si>
    <t>想念食品股份有限公司</t>
  </si>
  <si>
    <r>
      <t>青稞酒;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</si>
  <si>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HOPEYARD 雅的后院</t>
  </si>
  <si>
    <r>
      <t>钱潇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</si>
  <si>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白干酒（中国白酒）; 水果汽酒;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葡萄酒; 草莓酒</t>
    </r>
  </si>
  <si>
    <t>含䌷</t>
  </si>
  <si>
    <r>
      <t>醺淘网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</si>
  <si>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清酒（日本米酒）; 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</si>
  <si>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渝</t>
    </r>
  </si>
  <si>
    <r>
      <t>宕昌九台春酒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</si>
  <si>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</si>
  <si>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美人私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 xml:space="preserve"> GOSSIPS</t>
    </r>
  </si>
  <si>
    <r>
      <t>中鑫澳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（北京）投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</si>
  <si>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</si>
  <si>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侯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</si>
  <si>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科礼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</si>
  <si>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开胃酒</t>
    </r>
  </si>
  <si>
    <t>路邑甘醇</t>
  </si>
  <si>
    <r>
      <t>路邑（云南）酒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</si>
  <si>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加烈葡萄酒;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威士忌;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</si>
  <si>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t>小酩翁</t>
  </si>
  <si>
    <t>高康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</si>
  <si>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黄酒; 清酒（日本米酒）; 威士忌;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</si>
  <si>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HUANG GONG YAN JIU</t>
  </si>
  <si>
    <r>
      <t>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</si>
  <si>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</t>
    </r>
  </si>
  <si>
    <t>曹家班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</si>
  <si>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高祖酒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</si>
  <si>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葡萄酒</t>
    </r>
  </si>
  <si>
    <t>晚成</t>
  </si>
  <si>
    <r>
      <t>马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</si>
  <si>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</si>
  <si>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中子淮</t>
  </si>
  <si>
    <t>杨伟华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</si>
  <si>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米酒; 黄酒; 白酒; 葡萄酒; 果酒（含酒精）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</si>
  <si>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梦令</t>
    </r>
  </si>
  <si>
    <r>
      <t>开胃酒;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蜂蜜酒</t>
    </r>
  </si>
  <si>
    <t>濮仁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</si>
  <si>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</si>
  <si>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</si>
  <si>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古水坊</t>
  </si>
  <si>
    <t>梁保峰******************</t>
  </si>
  <si>
    <r>
      <t>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果酒; 米酒; 烈性干酒; 烈酒; 白干酒（中国白酒）</t>
    </r>
  </si>
  <si>
    <t>瑶森植雄春</t>
  </si>
  <si>
    <r>
      <t>郑</t>
    </r>
    <r>
      <rPr>
        <sz val="11"/>
        <color theme="1"/>
        <rFont val="ＭＳ Ｐゴシック"/>
        <family val="3"/>
        <charset val="128"/>
        <scheme val="minor"/>
      </rPr>
      <t>泳</t>
    </r>
  </si>
  <si>
    <r>
      <t>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</si>
  <si>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黑土品至</t>
  </si>
  <si>
    <t>伊美特食品有限公司</t>
  </si>
  <si>
    <r>
      <t>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</si>
  <si>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吟今宵</t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</si>
  <si>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</si>
  <si>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杜侯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</si>
  <si>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清酒（日本米酒）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</si>
  <si>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</si>
  <si>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蜂蜜酒;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</si>
  <si>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酒 974</t>
  </si>
  <si>
    <r>
      <t>胡</t>
    </r>
    <r>
      <rPr>
        <sz val="11"/>
        <color theme="1"/>
        <rFont val="ＭＳ Ｐゴシック"/>
        <family val="3"/>
        <charset val="134"/>
        <scheme val="minor"/>
      </rPr>
      <t>锦辉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</si>
  <si>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</si>
  <si>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九樽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</si>
  <si>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</si>
  <si>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以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</si>
  <si>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市新会区会禄都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</si>
  <si>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米酒; 白酒;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</si>
  <si>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黔清梦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</si>
  <si>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蜂蜜酒;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</t>
    </r>
  </si>
  <si>
    <r>
      <t>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清酒; 食用酒精</t>
    </r>
  </si>
  <si>
    <t>LAN JING HENG</t>
  </si>
  <si>
    <r>
      <t>澜</t>
    </r>
    <r>
      <rPr>
        <sz val="11"/>
        <color theme="1"/>
        <rFont val="ＭＳ Ｐゴシック"/>
        <family val="3"/>
        <charset val="128"/>
        <scheme val="minor"/>
      </rPr>
      <t>景衡科技（重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</si>
  <si>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开胃酒;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</si>
  <si>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仟味一鼎</t>
  </si>
  <si>
    <r>
      <t>河南一鼎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</si>
  <si>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米酒; 白酒; 葡萄汽酒;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不起泡葡萄酒; 甜酒; 清酒; 黄酒</t>
    </r>
  </si>
  <si>
    <t>秦元坊</t>
  </si>
  <si>
    <t>代浪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</si>
  <si>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蜂蜜酒; 开胃酒; 黄酒</t>
    </r>
  </si>
  <si>
    <t>无刀</t>
  </si>
  <si>
    <t>彭芳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</si>
  <si>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葡萄酒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</si>
  <si>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茂</t>
    </r>
  </si>
  <si>
    <r>
      <t>叶光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</si>
  <si>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</si>
  <si>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巴尊</t>
  </si>
  <si>
    <r>
      <t>米酒; 黄酒; 高粱酒; 果酒（含酒精）;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</si>
  <si>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可汗台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</si>
  <si>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州常荣酒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</si>
  <si>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</si>
  <si>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峨密真泠</t>
  </si>
  <si>
    <r>
      <t>昆明知三昧文化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</si>
  <si>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</si>
  <si>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噽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</si>
  <si>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省老品牌管理有限公司</t>
    </r>
  </si>
  <si>
    <r>
      <t>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黄酒; 白酒; 食用酒精; 葡萄酒</t>
    </r>
  </si>
  <si>
    <t>一生盛景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</si>
  <si>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</si>
  <si>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一只蝉</t>
  </si>
  <si>
    <r>
      <t>奎文区云上酒速达酒水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</si>
  <si>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</si>
  <si>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岛莲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</si>
  <si>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敦石（浙江）企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</si>
  <si>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</si>
  <si>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立南春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</si>
  <si>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茶脉文化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</si>
  <si>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葡萄酒; 果酒（含酒精）; 苹果酒; 薄荷酒; 米酒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</si>
  <si>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酉坊</t>
    </r>
  </si>
  <si>
    <r>
      <t>四平市宝来酒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</si>
  <si>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</si>
  <si>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凌九洲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</si>
  <si>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白酒</t>
    </r>
  </si>
  <si>
    <t>小南海圣迹</t>
  </si>
  <si>
    <r>
      <t>成都盛誉庄商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</si>
  <si>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威士忌; 伏特加酒; 白酒</t>
    </r>
  </si>
  <si>
    <t>麦豆町</t>
  </si>
  <si>
    <r>
      <t>李金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</si>
  <si>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白干酒（中国白酒）; 白酒; 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</si>
  <si>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</si>
  <si>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江西江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</si>
  <si>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高粱酒; 蜂蜜酒; 食用酒精</t>
    </r>
  </si>
  <si>
    <t>奏粤</t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</si>
  <si>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</si>
  <si>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葡萄酒;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开胃酒; 威士忌</t>
    </r>
  </si>
  <si>
    <r>
      <t>蜀山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</si>
  <si>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</si>
  <si>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苹果酒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</si>
  <si>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沟</t>
    </r>
  </si>
  <si>
    <t>王高升</t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</si>
  <si>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</si>
  <si>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ZZJ</t>
  </si>
  <si>
    <t>河南三珍坊食品有限公司</t>
  </si>
  <si>
    <r>
      <t>烈酒;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</si>
  <si>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来滋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</si>
  <si>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来滋（上海）供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</si>
  <si>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果酒（含酒精）; 蜂蜜酒;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</si>
  <si>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天下天之境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</si>
  <si>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</si>
  <si>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</si>
  <si>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天下天之藏</t>
    </r>
  </si>
  <si>
    <r>
      <t xml:space="preserve">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</si>
  <si>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戈蕾</t>
    </r>
  </si>
  <si>
    <r>
      <t>苏鹏进</t>
    </r>
    <r>
      <rPr>
        <sz val="11"/>
        <color theme="1"/>
        <rFont val="ＭＳ Ｐゴシック"/>
        <family val="3"/>
        <charset val="128"/>
        <scheme val="minor"/>
      </rPr>
      <t>出口（烟台）有限公司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</si>
  <si>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</si>
  <si>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JEWELLY FACE</t>
  </si>
  <si>
    <t>上海心慕与你品牌管理有限公司</t>
  </si>
  <si>
    <r>
      <t>葡萄酒;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</si>
  <si>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</si>
  <si>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山西文宇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源科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</si>
  <si>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高粱酒; 青梅酒;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</si>
  <si>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薰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</si>
  <si>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薰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酒造株式会社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</si>
  <si>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</si>
  <si>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西湖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</si>
  <si>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</si>
  <si>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</si>
  <si>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豫圣仲景</t>
  </si>
  <si>
    <r>
      <t xml:space="preserve">露酒; 清酒;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</t>
    </r>
  </si>
  <si>
    <t>晓苏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</si>
  <si>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泉洋酒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</si>
  <si>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清酒（日本米酒）</t>
    </r>
  </si>
  <si>
    <t>德裕全</t>
  </si>
  <si>
    <r>
      <t>上海醉琉玲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</si>
  <si>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朗姆酒;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清酒（日本米酒）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</si>
  <si>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天下天之道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</si>
  <si>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伏特加酒; 威士忌; 食用酒精;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</si>
  <si>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KAMAL MANOR</t>
  </si>
  <si>
    <r>
      <t>漳州市金尊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</si>
  <si>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高粱酒;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</si>
  <si>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哚婵</t>
    </r>
  </si>
  <si>
    <r>
      <t>浙江恒真酒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</si>
  <si>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</si>
  <si>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天下天之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</si>
  <si>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白酒; 烈酒; 食用酒精;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</si>
  <si>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开心旋</t>
  </si>
  <si>
    <r>
      <t>明治（中国）投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</si>
  <si>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汽酒; 果酒（含酒精）</t>
    </r>
  </si>
  <si>
    <t>石人山</t>
  </si>
  <si>
    <r>
      <t>水天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</si>
  <si>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米酒; 白酒; 葡萄酒;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</si>
  <si>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天下天之窖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</si>
  <si>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</si>
  <si>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佰通佰佳</t>
  </si>
  <si>
    <r>
      <t>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</si>
  <si>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开胃酒;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露酒;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</si>
  <si>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TIANSHEN</t>
  </si>
  <si>
    <r>
      <t>酷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</si>
  <si>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梅酒; 利口酒;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</si>
  <si>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DF</t>
  </si>
  <si>
    <r>
      <t>德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</si>
  <si>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清酒（日本米酒）; 葡萄酒; 米酒; 白酒; 果酒（含酒精）</t>
    </r>
  </si>
  <si>
    <r>
      <t>成煜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</si>
  <si>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曹江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</si>
  <si>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白干酒（中国白酒）; 白酒; 高粱酒; 米酒;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</si>
  <si>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9"/>
        <scheme val="minor"/>
      </rPr>
      <t>溎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</si>
  <si>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</si>
  <si>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薄荷酒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</si>
  <si>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穹</t>
    </r>
  </si>
  <si>
    <r>
      <t>九州文学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播（深圳）有限公司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</si>
  <si>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苦味酒; 米酒; 伏特加酒;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</si>
  <si>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花醉花</t>
  </si>
  <si>
    <r>
      <t>王</t>
    </r>
    <r>
      <rPr>
        <sz val="11"/>
        <color theme="1"/>
        <rFont val="ＭＳ Ｐゴシック"/>
        <family val="3"/>
        <charset val="134"/>
        <scheme val="minor"/>
      </rPr>
      <t>红华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</si>
  <si>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白酒; 米酒</t>
    </r>
  </si>
  <si>
    <t>始祖天和</t>
  </si>
  <si>
    <r>
      <t>王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</si>
  <si>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</si>
  <si>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始祖天和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</si>
  <si>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</t>
    </r>
  </si>
  <si>
    <t>大塘辣姐</t>
  </si>
  <si>
    <r>
      <t>湖南豪嘉文化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</si>
  <si>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甜酒; 水果汽酒;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清酒</t>
    </r>
  </si>
  <si>
    <t>鹿王匠</t>
  </si>
  <si>
    <t>李十平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</si>
  <si>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</t>
    </r>
  </si>
  <si>
    <t>助元康</t>
  </si>
  <si>
    <t>李文日</t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</si>
  <si>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青稞酒</t>
    </r>
  </si>
  <si>
    <t>郧锦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</si>
  <si>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郧锦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</si>
  <si>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黄酒; 果酒（含酒精）; 葡萄酒;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</si>
  <si>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双池液</t>
  </si>
  <si>
    <r>
      <t>冯</t>
    </r>
    <r>
      <rPr>
        <sz val="11"/>
        <color theme="1"/>
        <rFont val="ＭＳ Ｐゴシック"/>
        <family val="3"/>
        <charset val="128"/>
        <scheme val="minor"/>
      </rPr>
      <t>加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</si>
  <si>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</si>
  <si>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TEOCHEW GANA</t>
  </si>
  <si>
    <t>潮州市橄醇食品有限公司</t>
  </si>
  <si>
    <r>
      <t>果酒（含酒精）; 开胃酒; 烈酒;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</t>
    </r>
  </si>
  <si>
    <t>MAGREE</t>
  </si>
  <si>
    <t>宁波市吉利达食品有限公司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</si>
  <si>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清酒（日本米酒）; 葡萄酒</t>
    </r>
  </si>
  <si>
    <t>6319 LIU SAN YI JIU</t>
  </si>
  <si>
    <t>王秋玲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</si>
  <si>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</si>
  <si>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循天魂</t>
  </si>
  <si>
    <r>
      <t>弥勒市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农资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</si>
  <si>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</si>
  <si>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秘瑶春</t>
  </si>
  <si>
    <t>樊蓉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</si>
  <si>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</si>
  <si>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春浪清</t>
  </si>
  <si>
    <r>
      <t>韦</t>
    </r>
    <r>
      <rPr>
        <sz val="11"/>
        <color theme="1"/>
        <rFont val="ＭＳ Ｐゴシック"/>
        <family val="3"/>
        <charset val="128"/>
        <scheme val="minor"/>
      </rPr>
      <t>添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</si>
  <si>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</t>
    </r>
  </si>
  <si>
    <t>邱台曾氏家族</t>
  </si>
  <si>
    <t>邱勇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</si>
  <si>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果酒（含酒精）; 开胃酒; 蒸煮提取物（利口酒和烈酒）; 清酒</t>
    </r>
  </si>
  <si>
    <r>
      <t>妙黎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</si>
  <si>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斯娃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</si>
  <si>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果酒; 蜂蜜酒;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</si>
  <si>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晋人吟</t>
  </si>
  <si>
    <r>
      <t>白酒; 威士忌; 青稞酒;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</si>
  <si>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春波清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</si>
  <si>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青稞酒</t>
    </r>
  </si>
  <si>
    <r>
      <t>曲雕拾</t>
    </r>
    <r>
      <rPr>
        <sz val="11"/>
        <color theme="1"/>
        <rFont val="ＭＳ Ｐゴシック"/>
        <family val="3"/>
        <charset val="134"/>
        <scheme val="minor"/>
      </rPr>
      <t>忆</t>
    </r>
  </si>
  <si>
    <t>郑东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</si>
  <si>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酸酒（低等葡萄酒）</t>
    </r>
  </si>
  <si>
    <t>即非</t>
  </si>
  <si>
    <r>
      <t>黄酒; 果酒（含酒精）; 米酒; 白酒; 伏特加酒;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</si>
  <si>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</si>
  <si>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</si>
  <si>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白酒; 开胃酒;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</si>
  <si>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SHAMBHALA HOLY TOWER</t>
  </si>
  <si>
    <r>
      <t>成都洛瑞塔企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</si>
  <si>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</si>
  <si>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赤源</t>
    </r>
  </si>
  <si>
    <t>李林虎</t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</si>
  <si>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</si>
  <si>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井卉堂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</si>
  <si>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坊森渡教育科技有限公司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</si>
  <si>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</si>
  <si>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西柿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</si>
  <si>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县亿</t>
    </r>
    <r>
      <rPr>
        <sz val="11"/>
        <color theme="1"/>
        <rFont val="ＭＳ Ｐゴシック"/>
        <family val="3"/>
        <charset val="128"/>
        <scheme val="minor"/>
      </rPr>
      <t>启盈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</si>
  <si>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</si>
  <si>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大碗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</si>
  <si>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南卿清酒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</si>
  <si>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清酒;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</si>
  <si>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甲林弘</t>
  </si>
  <si>
    <t>石林</t>
  </si>
  <si>
    <r>
      <t xml:space="preserve">清酒;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</si>
  <si>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豚湾</t>
    </r>
  </si>
  <si>
    <r>
      <t>四川泰和易通商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</si>
  <si>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苹果酒; 葡萄酒; 果酒（含酒精）; 薄荷酒</t>
    </r>
  </si>
  <si>
    <r>
      <t>蜂香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</si>
  <si>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甜蜜谷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</si>
  <si>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</si>
  <si>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尊霸天下</t>
  </si>
  <si>
    <r>
      <t>苏</t>
    </r>
    <r>
      <rPr>
        <sz val="11"/>
        <color theme="1"/>
        <rFont val="ＭＳ Ｐゴシック"/>
        <family val="3"/>
        <charset val="128"/>
        <scheme val="minor"/>
      </rPr>
      <t>学元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</si>
  <si>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</t>
    </r>
  </si>
  <si>
    <r>
      <t>云逸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深南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</si>
  <si>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深南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</si>
  <si>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苹果酒; 白酒; 葡萄酒; 露酒; 米酒; 果酒（含酒精）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</si>
  <si>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恩情献窖</t>
    </r>
  </si>
  <si>
    <r>
      <t>高建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</si>
  <si>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食用酒精;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黄酒; 含酒精的气泡水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</si>
  <si>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鱼跃龙门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</si>
  <si>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</si>
  <si>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清酒; 青稞酒;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</si>
  <si>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豚之湾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</si>
  <si>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薄荷酒; 苹果酒;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</si>
  <si>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</si>
  <si>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浑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白酒坊（个人独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</si>
  <si>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</si>
  <si>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黔皇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</si>
  <si>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王大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</si>
  <si>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清酒（日本米酒）; 开胃酒;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</si>
  <si>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明老氿</t>
  </si>
  <si>
    <t>明金文</t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</si>
  <si>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</si>
  <si>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梁</t>
    </r>
  </si>
  <si>
    <t>王江</t>
  </si>
  <si>
    <r>
      <t xml:space="preserve">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</si>
  <si>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源老九家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</si>
  <si>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似乾</t>
    </r>
  </si>
  <si>
    <r>
      <t>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</si>
  <si>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哈根达斯</t>
  </si>
  <si>
    <t>美国通用磨坊食品公司</t>
  </si>
  <si>
    <r>
      <t xml:space="preserve">利口酒; 杜松子酒;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</si>
  <si>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若千古</t>
  </si>
  <si>
    <t>付菊先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</si>
  <si>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开胃酒; 黄酒</t>
    </r>
  </si>
  <si>
    <t>TUDUCK</t>
  </si>
  <si>
    <t>佛山市徒客云科技有限公司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</si>
  <si>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果酒;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白酒; 威士忌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</si>
  <si>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堂老于家</t>
    </r>
  </si>
  <si>
    <t>肖彬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</si>
  <si>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</si>
  <si>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t>三才道</t>
  </si>
  <si>
    <r>
      <t>河南三才道生物制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</si>
  <si>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葡萄酒; 黄酒; 白酒;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</si>
  <si>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r>
      <t>虞庄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</si>
  <si>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州虞庄酒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</si>
  <si>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</si>
  <si>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迦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圣派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</si>
  <si>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市茅迦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</si>
  <si>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</si>
  <si>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挖角久坊</t>
  </si>
  <si>
    <t>张赵东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</si>
  <si>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</si>
  <si>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r>
      <t>京王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</si>
  <si>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宏博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</si>
  <si>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食用酒精;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</si>
  <si>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碧春宝古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</si>
  <si>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市民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</si>
  <si>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白酒;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</si>
  <si>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西建松林</t>
  </si>
  <si>
    <r>
      <t>王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</si>
  <si>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</si>
  <si>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仙水一方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</si>
  <si>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良耐建筑工程有限公司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</si>
  <si>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</si>
  <si>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曲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</si>
  <si>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开胃酒</t>
    </r>
  </si>
  <si>
    <t>TMVP</t>
  </si>
  <si>
    <r>
      <t>王宏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</si>
  <si>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白酒; 威士忌; 葡萄酒</t>
    </r>
  </si>
  <si>
    <r>
      <t>唐梅古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</si>
  <si>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黄酒; 梅酒; 果酒;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</si>
  <si>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禾千谷</t>
  </si>
  <si>
    <t>云南禾千谷生物科技有限公司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</si>
  <si>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果酒; 露酒</t>
    </r>
  </si>
  <si>
    <t>三渡金宴台</t>
  </si>
  <si>
    <r>
      <t>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</si>
  <si>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食用酒精;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果酒（含酒精）</t>
    </r>
  </si>
  <si>
    <t>无丑枝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</si>
  <si>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州民宿旅游文化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</si>
  <si>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</si>
  <si>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塔</t>
    </r>
    <r>
      <rPr>
        <sz val="11"/>
        <color theme="1"/>
        <rFont val="ＭＳ Ｐゴシック"/>
        <family val="3"/>
        <charset val="134"/>
        <scheme val="minor"/>
      </rPr>
      <t>纪</t>
    </r>
  </si>
  <si>
    <t>余宝珍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</si>
  <si>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</si>
  <si>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六妹妹</t>
  </si>
  <si>
    <t>吴昌宸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</si>
  <si>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</si>
  <si>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溪游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</si>
  <si>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云港天谷米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</si>
  <si>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利口酒;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</si>
  <si>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寿元碟音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</si>
  <si>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</si>
  <si>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</si>
  <si>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黔山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</si>
  <si>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</si>
  <si>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食用酒精;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米酒; 威士忌; 清酒（日本米酒）</t>
    </r>
  </si>
  <si>
    <t>张帅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</si>
  <si>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</si>
  <si>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ROUCAL POWER</t>
  </si>
  <si>
    <r>
      <t>李昌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</si>
  <si>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葡萄酒; 蒸煮提取物（利口酒和烈酒）; 米酒; 白酒</t>
    </r>
  </si>
  <si>
    <t>石狩</t>
  </si>
  <si>
    <r>
      <t>食用酒精; 威士忌; 葡萄酒; 黄酒; 清酒（日本米酒）; 果酒（含酒精）; 苹果酒;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</si>
  <si>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</si>
  <si>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RB健康（美国）有限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</si>
  <si>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</si>
  <si>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r>
      <t>宝古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</si>
  <si>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</si>
  <si>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荣昌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</si>
  <si>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市荣昌康福来酒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</si>
  <si>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礼湾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 xml:space="preserve"> LIWENYAR</t>
    </r>
  </si>
  <si>
    <r>
      <t>帕提古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·艾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孜*****************X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</si>
  <si>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酸酒（低等葡萄酒）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</si>
  <si>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天下酒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</si>
  <si>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</si>
  <si>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虞庄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</si>
  <si>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</si>
  <si>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伊河金特</t>
  </si>
  <si>
    <r>
      <t>新疆伊犁</t>
    </r>
    <r>
      <rPr>
        <sz val="11"/>
        <color theme="1"/>
        <rFont val="ＭＳ Ｐゴシック"/>
        <family val="3"/>
        <charset val="134"/>
        <scheme val="minor"/>
      </rPr>
      <t>库尔</t>
    </r>
    <r>
      <rPr>
        <sz val="11"/>
        <color theme="1"/>
        <rFont val="ＭＳ Ｐゴシック"/>
        <family val="3"/>
        <charset val="128"/>
        <scheme val="minor"/>
      </rPr>
      <t>德宁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</si>
  <si>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葡萄酒</t>
    </r>
  </si>
  <si>
    <t>克旗大青山</t>
  </si>
  <si>
    <t>祁永丰******************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</si>
  <si>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</si>
  <si>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福禄星福禄寿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</si>
  <si>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州广福酒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</si>
  <si>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</si>
  <si>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中盛献礼</t>
  </si>
  <si>
    <r>
      <t>赵聪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</si>
  <si>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蜂蜜酒; 米酒</t>
    </r>
  </si>
  <si>
    <t>粮鑫大</t>
  </si>
  <si>
    <r>
      <t>安徽国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</si>
  <si>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</si>
  <si>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CLASSY·KIDS</t>
  </si>
  <si>
    <r>
      <t>卡士乳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</si>
  <si>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米酒;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</t>
    </r>
  </si>
  <si>
    <r>
      <t>马腾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</si>
  <si>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佑香港文化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</si>
  <si>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</si>
  <si>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宝家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</si>
  <si>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州神鼎酒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</si>
  <si>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</si>
  <si>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候以酒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</si>
  <si>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迪卡（北京）文化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</si>
  <si>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</si>
  <si>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古毅</t>
  </si>
  <si>
    <r>
      <t>陈</t>
    </r>
    <r>
      <rPr>
        <sz val="11"/>
        <color theme="1"/>
        <rFont val="ＭＳ Ｐゴシック"/>
        <family val="3"/>
        <charset val="128"/>
        <scheme val="minor"/>
      </rPr>
      <t>桂荣</t>
    </r>
  </si>
  <si>
    <r>
      <t xml:space="preserve">烈酒;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</t>
    </r>
  </si>
  <si>
    <t>名粹</t>
  </si>
  <si>
    <r>
      <t>白酒; 开胃酒; 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蒸煮提取物（利口酒和烈酒）; 高粱酒</t>
    </r>
  </si>
  <si>
    <r>
      <t>赫富金</t>
    </r>
    <r>
      <rPr>
        <sz val="11"/>
        <color theme="1"/>
        <rFont val="ＭＳ Ｐゴシック"/>
        <family val="3"/>
        <charset val="134"/>
        <scheme val="minor"/>
      </rPr>
      <t>锤</t>
    </r>
    <r>
      <rPr>
        <sz val="11"/>
        <color theme="1"/>
        <rFont val="ＭＳ Ｐゴシック"/>
        <family val="3"/>
        <charset val="128"/>
        <scheme val="minor"/>
      </rPr>
      <t>酒庄</t>
    </r>
  </si>
  <si>
    <t>温彦国</t>
  </si>
  <si>
    <r>
      <t>黄酒;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</si>
  <si>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八里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</si>
  <si>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桂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</si>
  <si>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</si>
  <si>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三敫台</t>
  </si>
  <si>
    <r>
      <t>白酒; 白干酒（中国白酒）; 果酒（含酒精）;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</si>
  <si>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香杏嶽尚</t>
  </si>
  <si>
    <r>
      <t>珠海香杏岳尚健康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</si>
  <si>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</si>
  <si>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孔儒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第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</si>
  <si>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淑霞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</si>
  <si>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</si>
  <si>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 xml:space="preserve">清酒（日本米酒）; 葡萄酒; 米酒; 露酒;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餐后酒（利口酒和烈酒）</t>
    </r>
  </si>
  <si>
    <t>金卡久氿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</si>
  <si>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州金之卡酒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</si>
  <si>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果酒; 白干酒（中国白酒）; 食用酒精; 高粱酒;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白酒</t>
    </r>
  </si>
  <si>
    <r>
      <t>功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</si>
  <si>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 xml:space="preserve">葡萄酒;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白酒</t>
    </r>
  </si>
  <si>
    <r>
      <t>犟巭</t>
    </r>
    <r>
      <rPr>
        <sz val="11"/>
        <color theme="1"/>
        <rFont val="ＭＳ Ｐゴシック"/>
        <family val="3"/>
        <charset val="128"/>
        <scheme val="minor"/>
      </rPr>
      <t>㵘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</si>
  <si>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庆济贡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</si>
  <si>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米酒; 果酒; 开胃酒</t>
    </r>
  </si>
  <si>
    <t>山山不息</t>
  </si>
  <si>
    <r>
      <t>青川海伶山珍商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</si>
  <si>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</si>
  <si>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臻方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</si>
  <si>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和园酒文化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</si>
  <si>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利口酒;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</si>
  <si>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活宇宙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</si>
  <si>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毅企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</si>
  <si>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</t>
    </r>
  </si>
  <si>
    <t>谷曲天</t>
  </si>
  <si>
    <r>
      <t>黄酒;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</si>
  <si>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州省多彩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</si>
  <si>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利口酒; 果酒（含酒精）; 青稞酒; 开胃酒</t>
    </r>
  </si>
  <si>
    <t>澳拉拜富</t>
  </si>
  <si>
    <r>
      <t>亿</t>
    </r>
    <r>
      <rPr>
        <sz val="11"/>
        <color theme="1"/>
        <rFont val="ＭＳ Ｐゴシック"/>
        <family val="3"/>
        <charset val="128"/>
        <scheme val="minor"/>
      </rPr>
      <t>晟烈酒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（香港）有限公司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</si>
  <si>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白酒</t>
    </r>
  </si>
  <si>
    <t>超越哥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</si>
  <si>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柒月好物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</si>
  <si>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青稞酒;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</si>
  <si>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座上黔</t>
  </si>
  <si>
    <r>
      <t>韦</t>
    </r>
    <r>
      <rPr>
        <sz val="11"/>
        <color theme="1"/>
        <rFont val="ＭＳ Ｐゴシック"/>
        <family val="3"/>
        <charset val="128"/>
        <scheme val="minor"/>
      </rPr>
      <t>国良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</si>
  <si>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酸酒（低等葡萄酒）; 果酒（含酒精）; 黄酒; 汽酒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</si>
  <si>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里有</t>
    </r>
    <r>
      <rPr>
        <sz val="11"/>
        <color theme="1"/>
        <rFont val="ＭＳ Ｐゴシック"/>
        <family val="3"/>
        <charset val="134"/>
        <scheme val="minor"/>
      </rPr>
      <t>桦</t>
    </r>
  </si>
  <si>
    <t>周桐亮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</si>
  <si>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白酒; 葡萄酒</t>
    </r>
  </si>
  <si>
    <r>
      <t>郇城</t>
    </r>
    <r>
      <rPr>
        <sz val="11"/>
        <color theme="1"/>
        <rFont val="ＭＳ Ｐゴシック"/>
        <family val="3"/>
        <charset val="134"/>
        <scheme val="minor"/>
      </rPr>
      <t>记</t>
    </r>
  </si>
  <si>
    <t>刘春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</si>
  <si>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黄酒</t>
    </r>
  </si>
  <si>
    <t>利餐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</si>
  <si>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州信德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</si>
  <si>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白干酒（中国白酒）; 米酒; 利口酒</t>
    </r>
  </si>
  <si>
    <r>
      <t>德士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 xml:space="preserve"> DUSTURN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</si>
  <si>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</si>
  <si>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 xml:space="preserve">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</si>
  <si>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草木中</t>
  </si>
  <si>
    <r>
      <t>宁夏志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源石葡萄酒庄有限公司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</si>
  <si>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烈酒;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加烈葡萄酒; 果酒（含酒精）</t>
    </r>
  </si>
  <si>
    <t>枝情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</si>
  <si>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</si>
  <si>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GLEN MAX</t>
  </si>
  <si>
    <t>廖解英</t>
  </si>
  <si>
    <r>
      <t>白酒; 高粱酒;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甜酒;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</si>
  <si>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采梅山</t>
  </si>
  <si>
    <t>范豪豪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</si>
  <si>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</si>
  <si>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乡纯</t>
    </r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</si>
  <si>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三粮酒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</si>
  <si>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</si>
  <si>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武永俊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</si>
  <si>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开胃酒;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利口酒;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</t>
    </r>
  </si>
  <si>
    <t>健董堂</t>
  </si>
  <si>
    <t>上海香媛美容有限公司</t>
  </si>
  <si>
    <r>
      <t>米酒; 葡萄酒; 高粱酒;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</si>
  <si>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调红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</si>
  <si>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肃鹏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</si>
  <si>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果酒（含酒精）; 葡萄酒;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</t>
    </r>
  </si>
  <si>
    <r>
      <t>航序酒</t>
    </r>
    <r>
      <rPr>
        <sz val="11"/>
        <color theme="1"/>
        <rFont val="ＭＳ Ｐゴシック"/>
        <family val="3"/>
        <charset val="134"/>
        <scheme val="minor"/>
      </rPr>
      <t>业</t>
    </r>
  </si>
  <si>
    <t>刘天雄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</si>
  <si>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汽酒;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果酒（含酒精）; 葡萄酒; 米酒; 甜酒</t>
    </r>
  </si>
  <si>
    <t>梨芝清露</t>
  </si>
  <si>
    <r>
      <t>李雨</t>
    </r>
    <r>
      <rPr>
        <sz val="11"/>
        <color theme="1"/>
        <rFont val="ＭＳ Ｐゴシック"/>
        <family val="3"/>
        <charset val="134"/>
        <scheme val="minor"/>
      </rPr>
      <t>潇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</si>
  <si>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薄荷酒; 露酒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</si>
  <si>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</si>
  <si>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四川中</t>
    </r>
    <r>
      <rPr>
        <sz val="11"/>
        <color theme="1"/>
        <rFont val="ＭＳ Ｐゴシック"/>
        <family val="3"/>
        <charset val="134"/>
        <scheme val="minor"/>
      </rPr>
      <t>桩</t>
    </r>
    <r>
      <rPr>
        <sz val="11"/>
        <color theme="1"/>
        <rFont val="ＭＳ Ｐゴシック"/>
        <family val="3"/>
        <charset val="128"/>
        <scheme val="minor"/>
      </rPr>
      <t>工程咨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</si>
  <si>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高粱酒; 葡萄酒; 青稞酒; 果酒; 白酒</t>
    </r>
  </si>
  <si>
    <t>趵大千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</si>
  <si>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宝洗衣有限公司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</si>
  <si>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干型苹果酒;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</si>
  <si>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神晋酒</t>
  </si>
  <si>
    <r>
      <t>毛元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</si>
  <si>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青梅酒; 葡萄酒;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露酒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</si>
  <si>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枪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</si>
  <si>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餐后酒（利口酒和烈酒）;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利口酒</t>
    </r>
  </si>
  <si>
    <t>AFTERBIRDS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</si>
  <si>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</si>
  <si>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</t>
    </r>
  </si>
  <si>
    <r>
      <t>提</t>
    </r>
    <r>
      <rPr>
        <sz val="11"/>
        <color theme="1"/>
        <rFont val="ＭＳ Ｐゴシック"/>
        <family val="3"/>
        <charset val="134"/>
        <scheme val="minor"/>
      </rPr>
      <t>壶爱</t>
    </r>
  </si>
  <si>
    <r>
      <t>四川大学青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研究院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</si>
  <si>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</si>
  <si>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酌特</t>
  </si>
  <si>
    <r>
      <t>张</t>
    </r>
    <r>
      <rPr>
        <sz val="11"/>
        <color theme="1"/>
        <rFont val="ＭＳ Ｐゴシック"/>
        <family val="3"/>
        <charset val="128"/>
        <scheme val="minor"/>
      </rPr>
      <t>修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</si>
  <si>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高粱酒; 白酒; 黄酒;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</si>
  <si>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近中</t>
  </si>
  <si>
    <r>
      <t>马</t>
    </r>
    <r>
      <rPr>
        <sz val="11"/>
        <color theme="1"/>
        <rFont val="ＭＳ Ｐゴシック"/>
        <family val="3"/>
        <charset val="128"/>
        <scheme val="minor"/>
      </rPr>
      <t>笑培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</si>
  <si>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</si>
  <si>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啤猴</t>
    </r>
  </si>
  <si>
    <r>
      <t>北京意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</si>
  <si>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烈酒;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梨酒; 米酒</t>
    </r>
  </si>
  <si>
    <t>帮丰</t>
  </si>
  <si>
    <t>杭州帮丰厨具有限公司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</si>
  <si>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伏特加酒</t>
    </r>
  </si>
  <si>
    <t>九合千行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</si>
  <si>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西九合千行商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</si>
  <si>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甜酒; 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</t>
    </r>
  </si>
  <si>
    <r>
      <t>菲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</si>
  <si>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</si>
  <si>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高粱酒; 葡萄酒;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</si>
  <si>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醴全</t>
  </si>
  <si>
    <r>
      <t>罗</t>
    </r>
    <r>
      <rPr>
        <sz val="11"/>
        <color theme="1"/>
        <rFont val="ＭＳ Ｐゴシック"/>
        <family val="3"/>
        <charset val="128"/>
        <scheme val="minor"/>
      </rPr>
      <t>某全</t>
    </r>
  </si>
  <si>
    <t>米酒</t>
  </si>
  <si>
    <t>奔唐</t>
  </si>
  <si>
    <t>宋建超</t>
  </si>
  <si>
    <r>
      <t>高粱酒; 葡萄酒;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</si>
  <si>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一号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甲</t>
    </r>
  </si>
  <si>
    <r>
      <t>广州市朝印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</si>
  <si>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</si>
  <si>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众彩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</si>
  <si>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品物流配送中心有限公司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</si>
  <si>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</t>
    </r>
  </si>
  <si>
    <t>棣医堂</t>
  </si>
  <si>
    <r>
      <t>河南依身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</si>
  <si>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黄酒; 葡萄酒;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米酒; 果酒; 利口酒; 白酒; 蒸煮提取物（利口酒和烈酒）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</si>
  <si>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</si>
  <si>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故国神游（舟山）文化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</si>
  <si>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五加皮酒（中国混合烈酒）;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</t>
    </r>
  </si>
  <si>
    <t>源石草木中</t>
  </si>
  <si>
    <r>
      <t>果酒（含酒精）; 葡萄酒; 利口酒; 甜酒;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</si>
  <si>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巨唐</t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</si>
  <si>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黄酒</t>
    </r>
  </si>
  <si>
    <t>尼·福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</si>
  <si>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黄酒;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</si>
  <si>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SNOW'S E 香娜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</si>
  <si>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瑞安市</t>
    </r>
    <r>
      <rPr>
        <sz val="11"/>
        <color theme="1"/>
        <rFont val="ＭＳ Ｐゴシック"/>
        <family val="3"/>
        <charset val="134"/>
        <scheme val="minor"/>
      </rPr>
      <t>谢锦</t>
    </r>
    <r>
      <rPr>
        <sz val="11"/>
        <color theme="1"/>
        <rFont val="ＭＳ Ｐゴシック"/>
        <family val="3"/>
        <charset val="128"/>
        <scheme val="minor"/>
      </rPr>
      <t>服装店</t>
    </r>
  </si>
  <si>
    <r>
      <t>果酒（含酒精）; 葡萄酒;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</si>
  <si>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气象</t>
    </r>
  </si>
  <si>
    <r>
      <t>白酒; 葡萄酒; 五加皮酒（中国混合烈酒）;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烈性干酒;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</si>
  <si>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植引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</si>
  <si>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西植引企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</si>
  <si>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含酒精的气泡水;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</si>
  <si>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饫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</si>
  <si>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</si>
  <si>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</si>
  <si>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花之</t>
    </r>
    <r>
      <rPr>
        <sz val="11"/>
        <color theme="1"/>
        <rFont val="ＭＳ Ｐゴシック"/>
        <family val="3"/>
        <charset val="134"/>
        <scheme val="minor"/>
      </rPr>
      <t>语对</t>
    </r>
    <r>
      <rPr>
        <sz val="11"/>
        <color theme="1"/>
        <rFont val="ＭＳ Ｐゴシック"/>
        <family val="3"/>
        <charset val="128"/>
        <scheme val="minor"/>
      </rPr>
      <t>青山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</si>
  <si>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花之</t>
    </r>
    <r>
      <rPr>
        <sz val="11"/>
        <color theme="1"/>
        <rFont val="ＭＳ Ｐゴシック"/>
        <family val="3"/>
        <charset val="134"/>
        <scheme val="minor"/>
      </rPr>
      <t>语乡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</si>
  <si>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</si>
  <si>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太暹</t>
  </si>
  <si>
    <t>邵桂清</t>
  </si>
  <si>
    <r>
      <t>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</si>
  <si>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南北</t>
    </r>
    <r>
      <rPr>
        <sz val="11"/>
        <color theme="1"/>
        <rFont val="ＭＳ Ｐゴシック"/>
        <family val="3"/>
        <charset val="134"/>
        <scheme val="minor"/>
      </rPr>
      <t>崂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</si>
  <si>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神之草企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</si>
  <si>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黑醋栗酒;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</si>
  <si>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祁留香</t>
  </si>
  <si>
    <t>黎志民</t>
  </si>
  <si>
    <r>
      <t>开胃酒; 清酒（日本米酒）;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葡萄酒</t>
    </r>
  </si>
  <si>
    <t>茶望</t>
  </si>
  <si>
    <r>
      <t>克文庄(江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)供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</si>
  <si>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威士忌; 伏特加酒; 清酒; 烈酒;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</si>
  <si>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恏</t>
    </r>
    <r>
      <rPr>
        <sz val="11"/>
        <color theme="1"/>
        <rFont val="ＭＳ Ｐゴシック"/>
        <family val="3"/>
        <charset val="128"/>
        <scheme val="minor"/>
      </rPr>
      <t>酒不</t>
    </r>
    <r>
      <rPr>
        <sz val="11"/>
        <color theme="1"/>
        <rFont val="ＭＳ Ｐゴシック"/>
        <family val="3"/>
        <charset val="134"/>
        <scheme val="minor"/>
      </rPr>
      <t>枧</t>
    </r>
  </si>
  <si>
    <r>
      <t>湖北房州有礼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</si>
  <si>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高粱酒; 黄酒; 米酒; 露酒;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</si>
  <si>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仙清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</si>
  <si>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南通小江水酒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</si>
  <si>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高粱酒; 果酒; 白酒; 日式甜米酒; 黄酒; 葡萄酒</t>
    </r>
  </si>
  <si>
    <t>麓游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</si>
  <si>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</si>
  <si>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利口酒; 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</t>
    </r>
  </si>
  <si>
    <t>黔北玖章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</si>
  <si>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市野人酒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</si>
  <si>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利口酒;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</si>
  <si>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乴</t>
  </si>
  <si>
    <t>金戈</t>
  </si>
  <si>
    <r>
      <t>食用酒精; 米酒;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</si>
  <si>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女儿国</t>
    </r>
    <r>
      <rPr>
        <sz val="11"/>
        <color theme="1"/>
        <rFont val="ＭＳ Ｐゴシック"/>
        <family val="3"/>
        <charset val="134"/>
        <scheme val="minor"/>
      </rPr>
      <t>红缘</t>
    </r>
  </si>
  <si>
    <r>
      <t>南京好女儿酒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</si>
  <si>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</si>
  <si>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丰运达工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</si>
  <si>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</si>
  <si>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华宾满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</si>
  <si>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秀美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</si>
  <si>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威士忌;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</si>
  <si>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路易威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国王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</si>
  <si>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酩悦(天津)国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</si>
  <si>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</si>
  <si>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金猴</t>
    </r>
  </si>
  <si>
    <r>
      <t>四川省川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</si>
  <si>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</si>
  <si>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申之皇</t>
  </si>
  <si>
    <r>
      <t>上海申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源企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</si>
  <si>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果酒（含酒精）; 开胃酒;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</si>
  <si>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臧春年</t>
  </si>
  <si>
    <t>臧春年******************</t>
  </si>
  <si>
    <r>
      <t xml:space="preserve">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黄酒; 白酒; 葡萄酒; 果酒（含酒精）</t>
    </r>
  </si>
  <si>
    <t>GOLUBITSKOE ESTATE GOLUBITSKAYA STRELKA</t>
  </si>
  <si>
    <r>
      <t>诺</t>
    </r>
    <r>
      <rPr>
        <sz val="11"/>
        <color theme="1"/>
        <rFont val="ＭＳ Ｐゴシック"/>
        <family val="3"/>
        <charset val="128"/>
        <scheme val="minor"/>
      </rPr>
      <t>瓦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夫品牌有限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</si>
  <si>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汽酒; 葡萄酒</t>
  </si>
  <si>
    <t>煨源地</t>
  </si>
  <si>
    <t>涂淑妍</t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</si>
  <si>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</si>
  <si>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建溪源</t>
  </si>
  <si>
    <r>
      <t>邱桂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</si>
  <si>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</si>
  <si>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都</t>
    </r>
  </si>
  <si>
    <t>张华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</si>
  <si>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</si>
  <si>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康莱</t>
    </r>
  </si>
  <si>
    <r>
      <t>桂林全州</t>
    </r>
    <r>
      <rPr>
        <sz val="11"/>
        <color theme="1"/>
        <rFont val="ＭＳ Ｐゴシック"/>
        <family val="3"/>
        <charset val="134"/>
        <scheme val="minor"/>
      </rPr>
      <t>县绿</t>
    </r>
    <r>
      <rPr>
        <sz val="11"/>
        <color theme="1"/>
        <rFont val="ＭＳ Ｐゴシック"/>
        <family val="3"/>
        <charset val="128"/>
        <scheme val="minor"/>
      </rPr>
      <t>康莱生物科技有限公司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</si>
  <si>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蒸煮提取物（利口酒和烈酒）;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</si>
  <si>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共川</t>
  </si>
  <si>
    <r>
      <t>新津区共川酒坊（个体工商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</si>
  <si>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高粱酒; 白酒;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</si>
  <si>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美之蔬</t>
  </si>
  <si>
    <t>岳阳市美之蔬食品有限公司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</si>
  <si>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</si>
  <si>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株醴</t>
  </si>
  <si>
    <r>
      <t>湖南臻心文化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</si>
  <si>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白干酒（中国白酒）; 米酒; 清酒（日本米酒）; 葡萄酒;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</si>
  <si>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顺递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</si>
  <si>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北京巨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</si>
  <si>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</t>
    </r>
  </si>
  <si>
    <t>SKEZU</t>
  </si>
  <si>
    <r>
      <t>杭州属客族品牌运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</si>
  <si>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果酒; 伏特加酒; 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</si>
  <si>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雷志杭</t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</si>
  <si>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岩市上杭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古石岩米酒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制厂</t>
    </r>
  </si>
  <si>
    <r>
      <t>黄酒; 薄荷酒;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</t>
    </r>
  </si>
  <si>
    <t>BOILING SOURCE AREA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</si>
  <si>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葡萄酒;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</si>
  <si>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索里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</si>
  <si>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稻城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琅琅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</si>
  <si>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日式甜米酒;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日本梅子酒; 露酒; 果酒; 清酒; 白酒; 葡萄酒</t>
    </r>
  </si>
  <si>
    <r>
      <t>龙维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</si>
  <si>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御坊（深圳）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</si>
  <si>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威士忌; 米酒</t>
    </r>
  </si>
  <si>
    <t>六曲山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</si>
  <si>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</si>
  <si>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</si>
  <si>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三潭映月</t>
  </si>
  <si>
    <r>
      <t>杭州西湖十景食品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</si>
  <si>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葡萄酒; 清酒（日本米酒）;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</si>
  <si>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</si>
  <si>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州恒力源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</si>
  <si>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伏特加酒; 白酒</t>
    </r>
  </si>
  <si>
    <t>FRUITY HILL</t>
  </si>
  <si>
    <r>
      <t>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</si>
  <si>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范学院 LUOYANG NORMAL UNIVERSITY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</si>
  <si>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范学院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</si>
  <si>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</si>
  <si>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仙人殿</t>
  </si>
  <si>
    <r>
      <t>杨</t>
    </r>
    <r>
      <rPr>
        <sz val="11"/>
        <color theme="1"/>
        <rFont val="ＭＳ Ｐゴシック"/>
        <family val="3"/>
        <charset val="128"/>
        <scheme val="minor"/>
      </rPr>
      <t>勇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</si>
  <si>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果酒（含酒精）; 蜂蜜酒; 黄酒</t>
    </r>
  </si>
  <si>
    <t>台泉酒谷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</si>
  <si>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</si>
  <si>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威士忌; 朗姆酒; 利口酒; 开胃酒; 白酒; 伏特加酒; 烈酒; 果酒（含酒精）; 高粱酒; 白葡萄酒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</si>
  <si>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范学院 1916 LUOYANG NORMAL UNIVERSITY</t>
    </r>
  </si>
  <si>
    <r>
      <t>白酒;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</si>
  <si>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REVELATION FAMILLE DECOSTER</t>
  </si>
  <si>
    <t>卡汀娜酒庄</t>
  </si>
  <si>
    <r>
      <t>路易国王酩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</si>
  <si>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</si>
  <si>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r>
      <t>硬</t>
    </r>
    <r>
      <rPr>
        <sz val="11"/>
        <color theme="1"/>
        <rFont val="ＭＳ Ｐゴシック"/>
        <family val="3"/>
        <charset val="134"/>
        <scheme val="minor"/>
      </rPr>
      <t>枭</t>
    </r>
  </si>
  <si>
    <r>
      <t>奢香派酒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</si>
  <si>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</si>
  <si>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</si>
  <si>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（海南省）企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</si>
  <si>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</si>
  <si>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</si>
  <si>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山浙商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</si>
  <si>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黄酒</t>
    </r>
  </si>
  <si>
    <r>
      <t>啊</t>
    </r>
    <r>
      <rPr>
        <sz val="11"/>
        <color theme="1"/>
        <rFont val="ＭＳ Ｐゴシック"/>
        <family val="3"/>
        <charset val="129"/>
        <scheme val="minor"/>
      </rPr>
      <t>哞哞</t>
    </r>
  </si>
  <si>
    <t>代新琳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</si>
  <si>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</si>
  <si>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</si>
  <si>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黄酒;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</si>
  <si>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古酒州</t>
  </si>
  <si>
    <r>
      <t>杨泽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</si>
  <si>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</si>
  <si>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GOLUBITSKOE ESTATE</t>
  </si>
  <si>
    <t>潮天禄</t>
  </si>
  <si>
    <r>
      <t>佛山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</si>
  <si>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</si>
  <si>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文祥湖印象 WEN XIANG LAKE IMPRESSION</t>
  </si>
  <si>
    <r>
      <t>温州思想者企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策划咨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</si>
  <si>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食用酒精;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</si>
  <si>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广西廖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</si>
  <si>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白干酒（中国白酒）; 开胃酒;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</si>
  <si>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芯花村匠</t>
  </si>
  <si>
    <t>魏青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</si>
  <si>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蜂蜜酒</t>
    </r>
  </si>
  <si>
    <t>牧泉金尊</t>
  </si>
  <si>
    <r>
      <t>呼和浩特市牧泉酒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</si>
  <si>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</si>
  <si>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柔雅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</si>
  <si>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</si>
  <si>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黄酒</t>
    </r>
  </si>
  <si>
    <t>七旺</t>
  </si>
  <si>
    <t>七旺有限公司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</si>
  <si>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</si>
  <si>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t>清力特</t>
  </si>
  <si>
    <r>
      <t>汾阳市酒香四溢商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</si>
  <si>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威士忌;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</si>
  <si>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雒厨春常在</t>
  </si>
  <si>
    <t>黄常志</t>
  </si>
  <si>
    <r>
      <t>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威士忌; 开胃酒; 葡萄酒; 白酒; 食用酒精</t>
    </r>
  </si>
  <si>
    <r>
      <t>陈树</t>
    </r>
    <r>
      <rPr>
        <sz val="11"/>
        <color theme="1"/>
        <rFont val="ＭＳ Ｐゴシック"/>
        <family val="3"/>
        <charset val="128"/>
        <scheme val="minor"/>
      </rPr>
      <t>凡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</si>
  <si>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白酒; 利口酒; 黄酒</t>
    </r>
  </si>
  <si>
    <r>
      <t>正求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</si>
  <si>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欧阳海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</si>
  <si>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餐后酒（利口酒和烈酒）; 苹果酒</t>
    </r>
  </si>
  <si>
    <t>香茗盛</t>
  </si>
  <si>
    <r>
      <t>李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</si>
  <si>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葡萄酒; 果酒（含酒精）</t>
    </r>
  </si>
  <si>
    <r>
      <t>食有大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</si>
  <si>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食有大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）食品研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</si>
  <si>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餐后酒（利口酒和烈酒）; 食用酒精; 米酒; 白酒</t>
    </r>
  </si>
  <si>
    <t>高武帝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</si>
  <si>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市山阴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</si>
  <si>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</si>
  <si>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奢美</t>
  </si>
  <si>
    <r>
      <t>贺</t>
    </r>
    <r>
      <rPr>
        <sz val="11"/>
        <color theme="1"/>
        <rFont val="ＭＳ Ｐゴシック"/>
        <family val="3"/>
        <charset val="128"/>
        <scheme val="minor"/>
      </rPr>
      <t>方元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</si>
  <si>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</si>
  <si>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吉室湾</t>
  </si>
  <si>
    <t>陈乐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</si>
  <si>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烈酒;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</si>
  <si>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禧意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</si>
  <si>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</si>
  <si>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清酒（日本米酒）; 开胃酒;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</si>
  <si>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宁夏任意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</si>
  <si>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</si>
  <si>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王阿朶</t>
  </si>
  <si>
    <t>都匀市翠萍生物科技有限公司</t>
  </si>
  <si>
    <r>
      <t xml:space="preserve">汽酒;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</si>
  <si>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粟食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</si>
  <si>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边亿</t>
    </r>
    <r>
      <rPr>
        <sz val="11"/>
        <color theme="1"/>
        <rFont val="ＭＳ Ｐゴシック"/>
        <family val="3"/>
        <charset val="128"/>
        <scheme val="minor"/>
      </rPr>
      <t>丰食品有限公司</t>
    </r>
  </si>
  <si>
    <r>
      <t>果酒（含酒精）; 威士忌; 苹果酒;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日式甜米酒; 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</si>
  <si>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米花妹</t>
  </si>
  <si>
    <r>
      <t>陈</t>
    </r>
    <r>
      <rPr>
        <sz val="11"/>
        <color theme="1"/>
        <rFont val="ＭＳ Ｐゴシック"/>
        <family val="3"/>
        <charset val="128"/>
        <scheme val="minor"/>
      </rPr>
      <t>平均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</si>
  <si>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</si>
  <si>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禧又</t>
    </r>
    <r>
      <rPr>
        <sz val="11"/>
        <color theme="1"/>
        <rFont val="ＭＳ Ｐゴシック"/>
        <family val="3"/>
        <charset val="134"/>
        <scheme val="minor"/>
      </rPr>
      <t>乐</t>
    </r>
  </si>
  <si>
    <t>卢莹</t>
  </si>
  <si>
    <r>
      <t xml:space="preserve">黄酒; 威士忌; 烈酒;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</si>
  <si>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寻浆诀</t>
  </si>
  <si>
    <r>
      <t>谢</t>
    </r>
    <r>
      <rPr>
        <sz val="11"/>
        <color theme="1"/>
        <rFont val="ＭＳ Ｐゴシック"/>
        <family val="3"/>
        <charset val="128"/>
        <scheme val="minor"/>
      </rPr>
      <t>麒麟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</si>
  <si>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清酒; 伏特加酒; 白葡萄酒; 威士忌;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</t>
    </r>
  </si>
  <si>
    <t>巴河望天湖</t>
  </si>
  <si>
    <t>湖北星雅廊食品有限公司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</si>
  <si>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清酒（日本米酒）; 蜂蜜酒; 白酒; 葡萄酒; 汽酒</t>
    </r>
  </si>
  <si>
    <t>膳益司</t>
  </si>
  <si>
    <r>
      <t>四川百世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</si>
  <si>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米酒; 餐后酒（利口酒和烈酒）; 开胃酒; 清酒（日本米酒）; 苹果酒; 果酒（含酒精）; 白酒; 黄酒</t>
    </r>
  </si>
  <si>
    <t>慈中情</t>
  </si>
  <si>
    <r>
      <t>慈溪市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城烟酒商行</t>
    </r>
  </si>
  <si>
    <r>
      <t>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开胃酒; 黄酒; 白酒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</si>
  <si>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遇曦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</si>
  <si>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遇曦品牌管理有限公司</t>
    </r>
  </si>
  <si>
    <r>
      <t>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</si>
  <si>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</si>
  <si>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河北禧陌园供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</si>
  <si>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米酒; 食用酒精; 黄酒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</si>
  <si>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葛叙</t>
    </r>
  </si>
  <si>
    <t>黄小波*****************X</t>
  </si>
  <si>
    <r>
      <t>米酒; 黄酒; 白酒; 威士忌;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</si>
  <si>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</si>
  <si>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杭州木</t>
    </r>
    <r>
      <rPr>
        <sz val="11"/>
        <color theme="1"/>
        <rFont val="ＭＳ Ｐゴシック"/>
        <family val="3"/>
        <charset val="134"/>
        <scheme val="minor"/>
      </rPr>
      <t>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</si>
  <si>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起泡白葡萄酒;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阿蒙蒂拉多白葡萄酒;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</si>
  <si>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涢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</si>
  <si>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涢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</si>
  <si>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食用酒精;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</si>
  <si>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POWEROFFIRE</t>
  </si>
  <si>
    <r>
      <t>北京寰盛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</si>
  <si>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果酒; 日本梅子酒;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白干酒（中国白酒）; 烈酒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</si>
  <si>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旺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</si>
  <si>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</si>
  <si>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梅酒; 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</si>
  <si>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风乐乐</t>
    </r>
    <r>
      <rPr>
        <sz val="11"/>
        <color theme="1"/>
        <rFont val="ＭＳ Ｐゴシック"/>
        <family val="3"/>
        <charset val="128"/>
        <scheme val="minor"/>
      </rPr>
      <t xml:space="preserve"> CE FELOO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</si>
  <si>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吉酒庄有限公司</t>
    </r>
  </si>
  <si>
    <r>
      <t>果酒; 薄荷酒;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</si>
  <si>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AOBEN VALLEY</t>
  </si>
  <si>
    <r>
      <t>候朝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</si>
  <si>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</si>
  <si>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r>
      <t>玫</t>
    </r>
    <r>
      <rPr>
        <sz val="11"/>
        <color theme="1"/>
        <rFont val="ＭＳ Ｐゴシック"/>
        <family val="3"/>
        <charset val="134"/>
        <scheme val="minor"/>
      </rPr>
      <t>斓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纷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</si>
  <si>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</si>
  <si>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</si>
  <si>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集寛</t>
    </r>
    <r>
      <rPr>
        <sz val="11"/>
        <color theme="1"/>
        <rFont val="ＭＳ Ｐゴシック"/>
        <family val="3"/>
        <charset val="129"/>
        <scheme val="minor"/>
      </rPr>
      <t>醹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</si>
  <si>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</si>
  <si>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蜂蜜酒;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米酒; 伏特加酒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</si>
  <si>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四囍 ANCESTRAL LIONS FOUR JOY</t>
    </r>
  </si>
  <si>
    <t>杨贵长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</si>
  <si>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果酒; 威士忌; 米酒; 烈酒; 葡萄酒</t>
    </r>
  </si>
  <si>
    <r>
      <t>盈安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</si>
  <si>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江北国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</si>
  <si>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</si>
  <si>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椮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</si>
  <si>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吉林省正参元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</si>
  <si>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威士忌;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</si>
  <si>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白狄</t>
  </si>
  <si>
    <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阿蒙蒂拉多白葡萄酒;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</si>
  <si>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r>
      <t>新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</si>
  <si>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葡萄酒; 米酒;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</si>
  <si>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米坊</t>
    </r>
    <r>
      <rPr>
        <sz val="11"/>
        <color theme="1"/>
        <rFont val="ＭＳ Ｐゴシック"/>
        <family val="3"/>
        <charset val="134"/>
        <scheme val="minor"/>
      </rPr>
      <t>颂</t>
    </r>
  </si>
  <si>
    <t>周理想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</si>
  <si>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</si>
  <si>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感虎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</si>
  <si>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玉良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</si>
  <si>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</si>
  <si>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燕台山百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</si>
  <si>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政岳</t>
    </r>
  </si>
  <si>
    <r>
      <t>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</si>
  <si>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竖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</si>
  <si>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庆马</t>
    </r>
    <r>
      <rPr>
        <sz val="11"/>
        <color theme="1"/>
        <rFont val="ＭＳ Ｐゴシック"/>
        <family val="3"/>
        <charset val="128"/>
        <scheme val="minor"/>
      </rPr>
      <t>良品牌策划有限公司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</si>
  <si>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</t>
    </r>
  </si>
  <si>
    <t>清山易都</t>
  </si>
  <si>
    <r>
      <t>河北清山易都园林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化工程有限公司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</si>
  <si>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朗姆酒; 葡萄酒;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</si>
  <si>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妙喜舒</t>
  </si>
  <si>
    <r>
      <t>团</t>
    </r>
    <r>
      <rPr>
        <sz val="11"/>
        <color theme="1"/>
        <rFont val="ＭＳ Ｐゴシック"/>
        <family val="3"/>
        <charset val="128"/>
        <scheme val="minor"/>
      </rPr>
      <t>启（海南）商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</si>
  <si>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</si>
  <si>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桶泉</t>
  </si>
  <si>
    <r>
      <t>吴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</si>
  <si>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青稞酒; 果酒（含酒精）; 清酒（日本米酒）; 伏特加酒; 白酒</t>
    </r>
  </si>
  <si>
    <t>三畔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</si>
  <si>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</si>
  <si>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米酒; 汽酒; 白酒; 葡萄酒;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</si>
  <si>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LOUIS VISCATO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</si>
  <si>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</si>
  <si>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果酒; 利口酒</t>
    </r>
  </si>
  <si>
    <t>津洒王</t>
  </si>
  <si>
    <r>
      <t>天津市津品一口香酒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</si>
  <si>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高粱酒;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</si>
  <si>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津洒帝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</si>
  <si>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</si>
  <si>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甬港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物</t>
    </r>
  </si>
  <si>
    <t>宁波永阳信息科技有限公司</t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</si>
  <si>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</si>
  <si>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多阿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麦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</si>
  <si>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藏羌自治州藏康旺酒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</si>
  <si>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米酒; 葡萄酒; 青稞酒; 果酒（含酒精）;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</si>
  <si>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</si>
  <si>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米酒; 开胃酒; 葡萄酒; 薄荷酒; 食用酒精; 青稞酒; 果酒（含酒精）</t>
    </r>
  </si>
  <si>
    <t>志渡</t>
  </si>
  <si>
    <t>黄秋梅</t>
  </si>
  <si>
    <r>
      <t>威士忌; 果酒（含酒精）; 黄酒; 米酒; 伏特加酒;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</si>
  <si>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皖才</t>
  </si>
  <si>
    <r>
      <t>安徽功成世家酒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</si>
  <si>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</si>
  <si>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檀泉</t>
  </si>
  <si>
    <r>
      <t>葡萄酒; 伏特加酒; 黄酒; 白酒; 果酒（含酒精）;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</si>
  <si>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帆</t>
    </r>
    <r>
      <rPr>
        <sz val="11"/>
        <color theme="1"/>
        <rFont val="ＭＳ Ｐゴシック"/>
        <family val="3"/>
        <charset val="134"/>
        <scheme val="minor"/>
      </rPr>
      <t>风顺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</si>
  <si>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葡萄酒; 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</si>
  <si>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皋宗</t>
  </si>
  <si>
    <r>
      <t>骆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鸥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</si>
  <si>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清酒; 果酒; 甜酒; 葡萄酒; 黄酒</t>
    </r>
  </si>
  <si>
    <t>宝威堂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</si>
  <si>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食用酒精;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</si>
  <si>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奉禹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</si>
  <si>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双社</t>
    </r>
  </si>
  <si>
    <r>
      <t>甜酒; 起泡白葡萄酒; 葡萄酒;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果酒（含酒精）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</si>
  <si>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紫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</si>
  <si>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小莽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</si>
  <si>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</si>
  <si>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</si>
  <si>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邵元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</si>
  <si>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甜酒; 黄酒; 威士忌; 高粱酒; 白酒; 清酒; 食用酒精</t>
    </r>
  </si>
  <si>
    <t>梅好愿望</t>
  </si>
  <si>
    <t>曹林******************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</si>
  <si>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白酒; 梅酒; 威士忌; 葡萄酒; 米酒; 黄酒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</si>
  <si>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葫芦王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</si>
  <si>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</si>
  <si>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高粱酒; 白干酒（中国白酒）;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</si>
  <si>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</si>
  <si>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大花</t>
    </r>
    <r>
      <rPr>
        <sz val="11"/>
        <color theme="1"/>
        <rFont val="ＭＳ Ｐゴシック"/>
        <family val="3"/>
        <charset val="134"/>
        <scheme val="minor"/>
      </rPr>
      <t>篮环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</si>
  <si>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</si>
  <si>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君福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</si>
  <si>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</si>
  <si>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白酒;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</si>
  <si>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崇文街</t>
  </si>
  <si>
    <r>
      <t>保定雄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健康管理服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</si>
  <si>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甜酒;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烈酒</t>
    </r>
  </si>
  <si>
    <t>斛山河</t>
  </si>
  <si>
    <t>黄毛妮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</si>
  <si>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威士忌;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伏特加酒</t>
    </r>
  </si>
  <si>
    <t>关河口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</si>
  <si>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</si>
  <si>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r>
      <t>大唐</t>
    </r>
    <r>
      <rPr>
        <sz val="11"/>
        <color theme="1"/>
        <rFont val="ＭＳ Ｐゴシック"/>
        <family val="3"/>
        <charset val="134"/>
        <scheme val="minor"/>
      </rPr>
      <t>贞观</t>
    </r>
    <r>
      <rPr>
        <sz val="11"/>
        <color theme="1"/>
        <rFont val="ＭＳ Ｐゴシック"/>
        <family val="3"/>
        <charset val="128"/>
        <scheme val="minor"/>
      </rPr>
      <t>王</t>
    </r>
  </si>
  <si>
    <t>安梓熠******************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</si>
  <si>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</si>
  <si>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首占</t>
  </si>
  <si>
    <t>范明亮</t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</si>
  <si>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</si>
  <si>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知养益生</t>
  </si>
  <si>
    <r>
      <t>郑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炜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</si>
  <si>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开胃酒; 米酒</t>
    </r>
  </si>
  <si>
    <r>
      <t>支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妮</t>
    </r>
  </si>
  <si>
    <r>
      <t>四川支美康国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</si>
  <si>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</si>
  <si>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筱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</si>
  <si>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州黔小妹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</si>
  <si>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米酒; 果酒（含酒精）; 餐后酒（利口酒和烈酒）;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</si>
  <si>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桂清花</t>
  </si>
  <si>
    <r>
      <t>广西南宁同心</t>
    </r>
    <r>
      <rPr>
        <sz val="11"/>
        <color theme="1"/>
        <rFont val="ＭＳ Ｐゴシック"/>
        <family val="3"/>
        <charset val="134"/>
        <scheme val="minor"/>
      </rPr>
      <t>圆贸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</si>
  <si>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</si>
  <si>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今朝三十六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</si>
  <si>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南今朝酒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</si>
  <si>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白酒; 果酒; 梅酒</t>
    </r>
  </si>
  <si>
    <r>
      <t xml:space="preserve">杜松子酒; 梨酒; 米酒; 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</si>
  <si>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楚道天府国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</t>
    </r>
  </si>
  <si>
    <r>
      <t>湖北省立耀建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</si>
  <si>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梨酒; 米酒; 黄酒; 白酒;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</si>
  <si>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知否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</si>
  <si>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州吉商酒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</si>
  <si>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苹果酒; 餐后酒（利口酒和烈酒）</t>
    </r>
  </si>
  <si>
    <t>天台湖</t>
  </si>
  <si>
    <r>
      <t>杨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</si>
  <si>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白酒; 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</si>
  <si>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熊猫浅浅 PANDAQIANQIAN</t>
  </si>
  <si>
    <r>
      <t>陆</t>
    </r>
    <r>
      <rPr>
        <sz val="11"/>
        <color theme="1"/>
        <rFont val="ＭＳ Ｐゴシック"/>
        <family val="3"/>
        <charset val="128"/>
        <scheme val="minor"/>
      </rPr>
      <t>青芳</t>
    </r>
  </si>
  <si>
    <r>
      <t>白酒;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利口酒</t>
    </r>
  </si>
  <si>
    <t>柔魁</t>
  </si>
  <si>
    <r>
      <t>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</si>
  <si>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稻境界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</si>
  <si>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东肽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</si>
  <si>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果酒</t>
    </r>
  </si>
  <si>
    <t>藏本源</t>
  </si>
  <si>
    <r>
      <t>李</t>
    </r>
    <r>
      <rPr>
        <sz val="11"/>
        <color theme="1"/>
        <rFont val="ＭＳ Ｐゴシック"/>
        <family val="3"/>
        <charset val="134"/>
        <scheme val="minor"/>
      </rPr>
      <t>凤莲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</si>
  <si>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</si>
  <si>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窑声</t>
    </r>
    <r>
      <rPr>
        <sz val="11"/>
        <color theme="1"/>
        <rFont val="ＭＳ Ｐゴシック"/>
        <family val="3"/>
        <charset val="134"/>
        <scheme val="minor"/>
      </rPr>
      <t>亿变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</si>
  <si>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州窑声</t>
    </r>
    <r>
      <rPr>
        <sz val="11"/>
        <color theme="1"/>
        <rFont val="ＭＳ Ｐゴシック"/>
        <family val="3"/>
        <charset val="134"/>
        <scheme val="minor"/>
      </rPr>
      <t>亿变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</si>
  <si>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开胃酒; 白酒;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</si>
  <si>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藏勤</t>
    </r>
  </si>
  <si>
    <r>
      <t xml:space="preserve">黄酒; 烈酒;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</si>
  <si>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嫡匠台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</si>
  <si>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</si>
  <si>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威士忌;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伏特加酒</t>
    </r>
  </si>
  <si>
    <r>
      <t>裕乾</t>
    </r>
    <r>
      <rPr>
        <sz val="11"/>
        <color theme="1"/>
        <rFont val="ＭＳ Ｐゴシック"/>
        <family val="3"/>
        <charset val="134"/>
        <scheme val="minor"/>
      </rPr>
      <t>苏</t>
    </r>
  </si>
  <si>
    <t>候保建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</si>
  <si>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米酒; 烈酒;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</si>
  <si>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品兜</t>
    </r>
  </si>
  <si>
    <t>杭州倪王科技有限公司</t>
  </si>
  <si>
    <r>
      <t>白酒; 食用酒精;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</si>
  <si>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伏嘉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FUCARER</t>
    </r>
  </si>
  <si>
    <t>惠超</t>
  </si>
  <si>
    <r>
      <t>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餐后酒（利口酒和烈酒）; 果酒（含酒精）; 白酒;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</si>
  <si>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川</t>
    </r>
  </si>
  <si>
    <t>吉志明</t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</si>
  <si>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</si>
  <si>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澳瑞格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</si>
  <si>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开胃酒; 白酒; 伏特加酒</t>
    </r>
  </si>
  <si>
    <t>青山运</t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</si>
  <si>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</si>
  <si>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</si>
  <si>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</si>
  <si>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成江</t>
    </r>
  </si>
  <si>
    <r>
      <t>烈酒; 白酒; 果酒;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</si>
  <si>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椹花怒放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</si>
  <si>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清本安中医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</si>
  <si>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白酒; 米酒; 葡萄酒; 食用酒精;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</si>
  <si>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水启丰圣</t>
  </si>
  <si>
    <t>广州伴生科技有限公司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</si>
  <si>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</si>
  <si>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晋意人</t>
  </si>
  <si>
    <r>
      <t>山西清香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缸酒厂股份有限公司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</si>
  <si>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</si>
  <si>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季</t>
    </r>
    <r>
      <rPr>
        <sz val="11"/>
        <color theme="1"/>
        <rFont val="ＭＳ Ｐゴシック"/>
        <family val="3"/>
        <charset val="134"/>
        <scheme val="minor"/>
      </rPr>
      <t>绝尘</t>
    </r>
  </si>
  <si>
    <r>
      <t>深圳万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鼎信投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</si>
  <si>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</si>
  <si>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萨罗</t>
    </r>
    <r>
      <rPr>
        <sz val="11"/>
        <color theme="1"/>
        <rFont val="ＭＳ Ｐゴシック"/>
        <family val="3"/>
        <charset val="128"/>
        <scheme val="minor"/>
      </rPr>
      <t>尼</t>
    </r>
  </si>
  <si>
    <t>邵秋云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</si>
  <si>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</si>
  <si>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路酩6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</si>
  <si>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州路酩酒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</si>
  <si>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青稞酒; 开胃酒;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</si>
  <si>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好毯</t>
    </r>
    <r>
      <rPr>
        <sz val="11"/>
        <color theme="1"/>
        <rFont val="ＭＳ Ｐゴシック"/>
        <family val="3"/>
        <charset val="134"/>
        <scheme val="minor"/>
      </rPr>
      <t>帐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</si>
  <si>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泰物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</si>
  <si>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黄酒; 米酒; 食用酒精;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烈酒; 高粱酒</t>
    </r>
  </si>
  <si>
    <t>大工匠臻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</si>
  <si>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</si>
  <si>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烈酒; 白酒; 黄酒;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</si>
  <si>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WANGBINGQIAN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</si>
  <si>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</si>
  <si>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彧</t>
    </r>
  </si>
  <si>
    <r>
      <t>胡敏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</si>
  <si>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白酒; 开胃酒; 苹果酒; 高粱酒; 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</t>
    </r>
  </si>
  <si>
    <t>英雄天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</si>
  <si>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云天酒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</si>
  <si>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</si>
  <si>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漯河城投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融科技有限公司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</si>
  <si>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</t>
    </r>
  </si>
  <si>
    <t>瑞普蜜思 REAPMIS</t>
  </si>
  <si>
    <r>
      <t>青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(上海)供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</si>
  <si>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</si>
  <si>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潘冨</t>
  </si>
  <si>
    <r>
      <t>深圳市酒之家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</si>
  <si>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米酒; 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</si>
  <si>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遵琮名</t>
  </si>
  <si>
    <t>黄生洪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</si>
  <si>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果酒;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米酒; 果酒（含酒精）</t>
    </r>
  </si>
  <si>
    <t>路酩9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</si>
  <si>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</si>
  <si>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t>村暖花开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</si>
  <si>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云港谷粒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</si>
  <si>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</si>
  <si>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钧</t>
    </r>
    <r>
      <rPr>
        <sz val="11"/>
        <color theme="1"/>
        <rFont val="ＭＳ Ｐゴシック"/>
        <family val="3"/>
        <charset val="128"/>
        <scheme val="minor"/>
      </rPr>
      <t>弓</t>
    </r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</si>
  <si>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</si>
  <si>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</si>
  <si>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央厚</t>
  </si>
  <si>
    <r>
      <t>化国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</si>
  <si>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黄酒; 食用酒精;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</si>
  <si>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</si>
  <si>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军</t>
    </r>
  </si>
  <si>
    <t>果酒; 葡萄酒; 米酒; 黄酒; 白酒; 食用酒精; 开胃酒; 汽酒; 清酒; 甜酒</t>
  </si>
  <si>
    <r>
      <t>蒙</t>
    </r>
    <r>
      <rPr>
        <sz val="11"/>
        <color theme="1"/>
        <rFont val="ＭＳ Ｐゴシック"/>
        <family val="3"/>
        <charset val="134"/>
        <scheme val="minor"/>
      </rPr>
      <t>兴</t>
    </r>
  </si>
  <si>
    <t>董占海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</si>
  <si>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米酒; 果酒（含酒精）; 黄酒; 烈酒;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</si>
  <si>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路酩老板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</si>
  <si>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</si>
  <si>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百家策</t>
  </si>
  <si>
    <t>福建智富家数字信息科技有限公司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</si>
  <si>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清酒</t>
    </r>
  </si>
  <si>
    <t>伊云山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</si>
  <si>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</si>
  <si>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白干酒（中国白酒）; 白酒; 葡萄酒; 黄酒; 米酒; 食用酒精; 果酒（含酒精）</t>
    </r>
  </si>
  <si>
    <r>
      <t>观兰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</si>
  <si>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河北范阳酒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</si>
  <si>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</si>
  <si>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t>鑫蜀欧</t>
  </si>
  <si>
    <r>
      <t>成都鑫蜀欧餐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配送有限公司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</si>
  <si>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</si>
  <si>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NEEDONCE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</si>
  <si>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食用酒精;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</si>
  <si>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一五九眼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</si>
  <si>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伟红</t>
    </r>
  </si>
  <si>
    <r>
      <t>米酒;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薄荷酒;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</si>
  <si>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叙</t>
    </r>
  </si>
  <si>
    <r>
      <t>鲜语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</si>
  <si>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</si>
  <si>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宴河梦</t>
  </si>
  <si>
    <r>
      <t>贾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</si>
  <si>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</si>
  <si>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路酩酩庄</t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</si>
  <si>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</si>
  <si>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</si>
  <si>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</si>
  <si>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威士忌;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</si>
  <si>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京瑞玖</t>
  </si>
  <si>
    <t>四川御霖瑞生物科技有限公司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</si>
  <si>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</si>
  <si>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致利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</si>
  <si>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变</t>
    </r>
    <r>
      <rPr>
        <sz val="11"/>
        <color theme="1"/>
        <rFont val="ＭＳ Ｐゴシック"/>
        <family val="3"/>
        <charset val="128"/>
        <scheme val="minor"/>
      </rPr>
      <t>赫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</si>
  <si>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</si>
  <si>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迎客椿</t>
  </si>
  <si>
    <r>
      <t>郭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</si>
  <si>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烈酒</t>
    </r>
  </si>
  <si>
    <t>潘冨兄弟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</si>
  <si>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白酒</t>
    </r>
  </si>
  <si>
    <t>盖世神州</t>
  </si>
  <si>
    <r>
      <t>顾</t>
    </r>
    <r>
      <rPr>
        <sz val="11"/>
        <color theme="1"/>
        <rFont val="ＭＳ Ｐゴシック"/>
        <family val="3"/>
        <charset val="128"/>
        <scheme val="minor"/>
      </rPr>
      <t>孝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</si>
  <si>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黄酒; 伏特加酒</t>
    </r>
  </si>
  <si>
    <t>路酩三十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</si>
  <si>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</t>
    </r>
  </si>
  <si>
    <r>
      <t>路酩酩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</si>
  <si>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</si>
  <si>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王小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</si>
  <si>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延杰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</si>
  <si>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</si>
  <si>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r>
      <t>江山虎</t>
    </r>
    <r>
      <rPr>
        <sz val="11"/>
        <color theme="1"/>
        <rFont val="ＭＳ Ｐゴシック"/>
        <family val="3"/>
        <charset val="134"/>
        <scheme val="minor"/>
      </rPr>
      <t>啸</t>
    </r>
  </si>
  <si>
    <r>
      <t>威士忌; 果酒（含酒精）;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</si>
  <si>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念山福</t>
  </si>
  <si>
    <r>
      <t>白酒;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</t>
    </r>
  </si>
  <si>
    <t>大工匠典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</si>
  <si>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青稞酒</t>
    </r>
  </si>
  <si>
    <t>大工匠久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</si>
  <si>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烈酒; 高粱酒</t>
    </r>
  </si>
  <si>
    <t>独酌秀</t>
  </si>
  <si>
    <t>高秀广</t>
  </si>
  <si>
    <r>
      <t>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</t>
    </r>
  </si>
  <si>
    <t>粤依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</si>
  <si>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国盾特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保安集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</si>
  <si>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白酒; 蒸煮提取物（利口酒和烈酒）;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</si>
  <si>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东风袅袅</t>
  </si>
  <si>
    <r>
      <t>广州菲倍德商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</si>
  <si>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苹果酒; 蝮蛇酒;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</si>
  <si>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那斗粮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</si>
  <si>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迪巧生物科技有限公司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</si>
  <si>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米酒; 果酒</t>
    </r>
  </si>
  <si>
    <t>孜鑫源</t>
  </si>
  <si>
    <t>河南省孜鑫生物科技有限公司</t>
  </si>
  <si>
    <r>
      <t xml:space="preserve">松叶酒;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黑覆盆子酒; 刺五加酒; 五加皮酒（中国混合烈酒）; 青稞酒; 白酒</t>
    </r>
  </si>
  <si>
    <t>广府椿</t>
  </si>
  <si>
    <r>
      <t xml:space="preserve">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</si>
  <si>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土</t>
    </r>
    <r>
      <rPr>
        <sz val="11"/>
        <color theme="1"/>
        <rFont val="ＭＳ Ｐゴシック"/>
        <family val="3"/>
        <charset val="134"/>
        <scheme val="minor"/>
      </rPr>
      <t>满鲜</t>
    </r>
  </si>
  <si>
    <r>
      <t>安徽三德子好甄</t>
    </r>
    <r>
      <rPr>
        <sz val="11"/>
        <color theme="1"/>
        <rFont val="ＭＳ Ｐゴシック"/>
        <family val="3"/>
        <charset val="134"/>
        <scheme val="minor"/>
      </rPr>
      <t>选农业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</si>
  <si>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果酒（含酒精）; 白酒</t>
    </r>
  </si>
  <si>
    <r>
      <t>路酩酩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</si>
  <si>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青稞酒; 开胃酒;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</si>
  <si>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r>
      <t>路酩董事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</si>
  <si>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</si>
  <si>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老皮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</si>
  <si>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卢诗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</si>
  <si>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开胃酒;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</si>
  <si>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周大尊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</si>
  <si>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米酒; 薄荷酒; 开胃酒; 蜂蜜酒; 梨酒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</si>
  <si>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酉</t>
    </r>
  </si>
  <si>
    <t>香格里拉市本草生物科技有限公司</t>
  </si>
  <si>
    <r>
      <t>黄酒; 葡萄酒; 蜂蜜酒; 青稞酒;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黑覆盆子酒; 汽酒; 果酒（含酒精）</t>
    </r>
  </si>
  <si>
    <t>零食小宇宙</t>
  </si>
  <si>
    <t>上海芯果科技有限公司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</si>
  <si>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</si>
  <si>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琞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</si>
  <si>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</si>
  <si>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</t>
    </r>
  </si>
  <si>
    <r>
      <t>合肥甘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</si>
  <si>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</si>
  <si>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路酩 10</t>
  </si>
  <si>
    <r>
      <t xml:space="preserve">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</si>
  <si>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t>路酩二十</t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</si>
  <si>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 xml:space="preserve">香型）;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</t>
    </r>
  </si>
  <si>
    <t>原写</t>
  </si>
  <si>
    <r>
      <t>伍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平</t>
    </r>
  </si>
  <si>
    <t>白酒; 米酒; 食用酒精; 汽酒; 葡萄酒; 黄酒; 开胃酒; 清酒; 甜酒; 果酒</t>
  </si>
  <si>
    <t>醴春坊</t>
  </si>
  <si>
    <r>
      <t>四川百年坊酒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</si>
  <si>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白酒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</si>
  <si>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小白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</si>
  <si>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家汶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</si>
  <si>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食用酒精; 米酒;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</si>
  <si>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天邦民酒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</si>
  <si>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市天邦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</si>
  <si>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高粱酒;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</si>
  <si>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小念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</si>
  <si>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</si>
  <si>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r>
      <t>胡君适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</si>
  <si>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绍兴远</t>
    </r>
    <r>
      <rPr>
        <sz val="11"/>
        <color theme="1"/>
        <rFont val="ＭＳ Ｐゴシック"/>
        <family val="3"/>
        <charset val="128"/>
        <scheme val="minor"/>
      </rPr>
      <t>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</si>
  <si>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蜂蜜酒; 酸酒（低等葡萄酒）; 米酒;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</si>
  <si>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</si>
  <si>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西天地人和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</si>
  <si>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</si>
  <si>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巧添</t>
  </si>
  <si>
    <r>
      <t>陈</t>
    </r>
    <r>
      <rPr>
        <sz val="11"/>
        <color theme="1"/>
        <rFont val="ＭＳ Ｐゴシック"/>
        <family val="3"/>
        <charset val="128"/>
        <scheme val="minor"/>
      </rPr>
      <t>九洲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</si>
  <si>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果酒（含酒精）</t>
    </r>
  </si>
  <si>
    <t>将酒君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</si>
  <si>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</si>
  <si>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自在仙</t>
    </r>
  </si>
  <si>
    <r>
      <t>亳州市今生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</si>
  <si>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</si>
  <si>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艾欧得到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</si>
  <si>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市捍天下酒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</si>
  <si>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开胃酒</t>
    </r>
  </si>
  <si>
    <t>仙聚韵</t>
  </si>
  <si>
    <r>
      <t>郑</t>
    </r>
    <r>
      <rPr>
        <sz val="11"/>
        <color theme="1"/>
        <rFont val="ＭＳ Ｐゴシック"/>
        <family val="3"/>
        <charset val="128"/>
        <scheme val="minor"/>
      </rPr>
      <t>媚雅</t>
    </r>
  </si>
  <si>
    <r>
      <t>汽酒; 伏特加酒;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</si>
  <si>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路酩企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</si>
  <si>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香型）; 白酒; 黄酒</t>
    </r>
  </si>
  <si>
    <t>天邦口粮</t>
  </si>
  <si>
    <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</si>
  <si>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烨</t>
    </r>
    <r>
      <rPr>
        <sz val="11"/>
        <color theme="1"/>
        <rFont val="ＭＳ Ｐゴシック"/>
        <family val="3"/>
        <charset val="128"/>
        <scheme val="minor"/>
      </rPr>
      <t>翊台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</si>
  <si>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</si>
  <si>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青稞酒; 白酒</t>
    </r>
  </si>
  <si>
    <t>丰王</t>
  </si>
  <si>
    <r>
      <t>四川省邛</t>
    </r>
    <r>
      <rPr>
        <sz val="11"/>
        <color theme="1"/>
        <rFont val="ＭＳ Ｐゴシック"/>
        <family val="3"/>
        <charset val="134"/>
        <scheme val="minor"/>
      </rPr>
      <t>崃</t>
    </r>
    <r>
      <rPr>
        <sz val="11"/>
        <color theme="1"/>
        <rFont val="ＭＳ Ｐゴシック"/>
        <family val="3"/>
        <charset val="128"/>
        <scheme val="minor"/>
      </rPr>
      <t>市江洋酒厂</t>
    </r>
  </si>
  <si>
    <r>
      <t>伏特加酒;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</si>
  <si>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誉占成名</t>
  </si>
  <si>
    <r>
      <t>鹿邑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</si>
  <si>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</si>
  <si>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晋居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</si>
  <si>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王文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</si>
  <si>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汽酒;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</si>
  <si>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宁昊</t>
    </r>
  </si>
  <si>
    <t>姚灵台******************</t>
  </si>
  <si>
    <r>
      <t xml:space="preserve">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</si>
  <si>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深州市城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有限公司泠瑶文旅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</si>
  <si>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</si>
  <si>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随商·神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故里</t>
    </r>
  </si>
  <si>
    <r>
      <t>湖北世界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</si>
  <si>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白干酒（中国白酒）; 米酒; 清酒; 白酒; 果酒（含酒精）;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</si>
  <si>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奔</t>
    </r>
    <r>
      <rPr>
        <sz val="11"/>
        <color theme="1"/>
        <rFont val="ＭＳ Ｐゴシック"/>
        <family val="3"/>
        <charset val="134"/>
        <scheme val="minor"/>
      </rPr>
      <t>轶绝尘</t>
    </r>
  </si>
  <si>
    <t>曾霞******************</t>
  </si>
  <si>
    <r>
      <t xml:space="preserve">黄酒; 果酒; 利口酒; 米酒; 白酒; 汽酒; 烈酒;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</si>
  <si>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善益源</t>
  </si>
  <si>
    <r>
      <t>华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科技（安徽）有限公司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</si>
  <si>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</t>
    </r>
  </si>
  <si>
    <t>范明春</t>
  </si>
  <si>
    <r>
      <t>福建教养文化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</si>
  <si>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</si>
  <si>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柏无</t>
    </r>
    <r>
      <rPr>
        <sz val="11"/>
        <color theme="1"/>
        <rFont val="ＭＳ Ｐゴシック"/>
        <family val="3"/>
        <charset val="134"/>
        <scheme val="minor"/>
      </rPr>
      <t>忧</t>
    </r>
  </si>
  <si>
    <t>王子燕</t>
  </si>
  <si>
    <r>
      <t>威士忌;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烈酒</t>
    </r>
  </si>
  <si>
    <r>
      <t>焊</t>
    </r>
    <r>
      <rPr>
        <sz val="11"/>
        <color theme="1"/>
        <rFont val="ＭＳ Ｐゴシック"/>
        <family val="3"/>
        <charset val="128"/>
        <scheme val="minor"/>
      </rPr>
      <t>花情</t>
    </r>
  </si>
  <si>
    <r>
      <t>吴建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</si>
  <si>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</si>
  <si>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薛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下疆腩</t>
    </r>
  </si>
  <si>
    <t>薛光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</si>
  <si>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白酒; 米酒; 威士忌; 高粱酒</t>
    </r>
  </si>
  <si>
    <t>卧仙泉</t>
  </si>
  <si>
    <r>
      <t>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</si>
  <si>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</si>
  <si>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雄炮</t>
  </si>
  <si>
    <t>吴棣明</t>
  </si>
  <si>
    <r>
      <t xml:space="preserve">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含酒精的气泡水; 米酒; 汽酒;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</si>
  <si>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默</t>
    </r>
  </si>
  <si>
    <r>
      <t>巨鹿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玖赫供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</si>
  <si>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</t>
    </r>
  </si>
  <si>
    <t>珍美仁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</si>
  <si>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佳供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</si>
  <si>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</si>
  <si>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高源逸品</t>
  </si>
  <si>
    <t>陶云</t>
  </si>
  <si>
    <r>
      <t>黄酒; 果酒; 白酒;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</si>
  <si>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圣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</si>
  <si>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海南圣喆投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</si>
  <si>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果酒（含酒精）; 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</si>
  <si>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君如意</t>
  </si>
  <si>
    <t>邹庆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</si>
  <si>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利口酒;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</t>
    </r>
  </si>
  <si>
    <t>境仰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</si>
  <si>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米酒; 黄酒; 汽酒</t>
    </r>
  </si>
  <si>
    <t>二十四景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</si>
  <si>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三金食品有限公司</t>
    </r>
  </si>
  <si>
    <r>
      <t xml:space="preserve">黄酒; 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蒸煮提取物（利口酒和烈酒）; 果酒（含酒精）; 葡萄酒;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</si>
  <si>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茌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</si>
  <si>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t>南宁云泰云食品有限公司</t>
  </si>
  <si>
    <r>
      <t xml:space="preserve">白酒;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</si>
  <si>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酒</t>
    </r>
  </si>
  <si>
    <t>李建春</t>
  </si>
  <si>
    <r>
      <t>茴香酒; 蒸煮提取物（利口酒和烈酒）;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黄酒; 果酒（含酒精）</t>
    </r>
  </si>
  <si>
    <t>TRI-TRI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</si>
  <si>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两万里文化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</si>
  <si>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高粱酒; 米酒; 白酒;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</si>
  <si>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㷠酒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</si>
  <si>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</si>
  <si>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清酒（日本米酒）; 威士忌; 白酒; 烈酒;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</si>
  <si>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瓦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奇·袋鼠</t>
    </r>
  </si>
  <si>
    <r>
      <t>江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</si>
  <si>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威士忌; 果酒; 葡萄酒;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汽酒; 伏特加酒; 开胃酒</t>
    </r>
  </si>
  <si>
    <t>范明公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</si>
  <si>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</si>
  <si>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个山合</t>
  </si>
  <si>
    <r>
      <t>四川回心文化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</si>
  <si>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米酒; 露酒;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</t>
    </r>
  </si>
  <si>
    <t>瑯琊曾子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</si>
  <si>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东泽</t>
    </r>
    <r>
      <rPr>
        <sz val="11"/>
        <color theme="1"/>
        <rFont val="ＭＳ Ｐゴシック"/>
        <family val="3"/>
        <charset val="128"/>
        <scheme val="minor"/>
      </rPr>
      <t>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</si>
  <si>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青梅酒;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露酒;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</si>
  <si>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周香英</t>
  </si>
  <si>
    <r>
      <t>新疆疆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仕科技有限公司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</si>
  <si>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</t>
    </r>
  </si>
  <si>
    <t>小谷首</t>
  </si>
  <si>
    <r>
      <t>任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</si>
  <si>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</si>
  <si>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金陵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</si>
  <si>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</si>
  <si>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威士忌;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黄酒; 烈酒;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</si>
  <si>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蜀香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上花</t>
    </r>
  </si>
  <si>
    <t>卢垒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</si>
  <si>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白酒;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</si>
  <si>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忠合天地</t>
  </si>
  <si>
    <r>
      <t>上海如是道建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</si>
  <si>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</si>
  <si>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海古</t>
    </r>
    <r>
      <rPr>
        <sz val="11"/>
        <color theme="1"/>
        <rFont val="ＭＳ Ｐゴシック"/>
        <family val="3"/>
        <charset val="134"/>
        <scheme val="minor"/>
      </rPr>
      <t>蓝</t>
    </r>
  </si>
  <si>
    <t>洪宝彦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</si>
  <si>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清酒（日本米酒）; 黄酒; 白酒; 烈酒;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</si>
  <si>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典澄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</si>
  <si>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庆锦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通教育科技有限公司</t>
    </r>
  </si>
  <si>
    <r>
      <t xml:space="preserve">米酒;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</si>
  <si>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t>仟佰合合</t>
  </si>
  <si>
    <t>焦松</t>
  </si>
  <si>
    <r>
      <t>果酒（含酒精）; 苹果酒;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白酒; 青稞酒; 葡萄酒</t>
    </r>
  </si>
  <si>
    <r>
      <t>孓</t>
    </r>
    <r>
      <rPr>
        <sz val="11"/>
        <color theme="1"/>
        <rFont val="ＭＳ Ｐゴシック"/>
        <family val="3"/>
        <charset val="128"/>
        <scheme val="minor"/>
      </rPr>
      <t>悟</t>
    </r>
  </si>
  <si>
    <t>李彬彬</t>
  </si>
  <si>
    <r>
      <t xml:space="preserve">威士忌; 白酒;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</si>
  <si>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庄燕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故事</t>
    </r>
  </si>
  <si>
    <t>王彬彬</t>
  </si>
  <si>
    <r>
      <t>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</si>
  <si>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德星垣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</si>
  <si>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启</t>
    </r>
    <r>
      <rPr>
        <sz val="11"/>
        <color theme="1"/>
        <rFont val="ＭＳ Ｐゴシック"/>
        <family val="3"/>
        <charset val="134"/>
        <scheme val="minor"/>
      </rPr>
      <t>赋农业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</si>
  <si>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</si>
  <si>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昭月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</si>
  <si>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市献亭酒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</si>
  <si>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白干酒（中国白酒）; 果酒（含酒精）;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</si>
  <si>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共三江</t>
  </si>
  <si>
    <t>陈凤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</si>
  <si>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</si>
  <si>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大</t>
    </r>
  </si>
  <si>
    <t>雅安中土大后方健康管理有限公司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</si>
  <si>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汽酒; 果酒; 黄酒</t>
    </r>
  </si>
  <si>
    <t>IRATUFIK</t>
  </si>
  <si>
    <r>
      <t>吉林省瑶池商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</si>
  <si>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</si>
  <si>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薄霜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</si>
  <si>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白酒</t>
    </r>
  </si>
  <si>
    <t>NINGGUOREN</t>
  </si>
  <si>
    <r>
      <t>江</t>
    </r>
    <r>
      <rPr>
        <sz val="11"/>
        <color theme="1"/>
        <rFont val="ＭＳ Ｐゴシック"/>
        <family val="3"/>
        <charset val="134"/>
        <scheme val="minor"/>
      </rPr>
      <t>焘</t>
    </r>
  </si>
  <si>
    <r>
      <t>果酒（含酒精）; 蜂蜜酒; 米酒; 开胃酒;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</si>
  <si>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北点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想品牌管理有限公司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</si>
  <si>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</si>
  <si>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男川</t>
  </si>
  <si>
    <t>王利祥</t>
  </si>
  <si>
    <t>酸酒（低等葡萄酒）; 烈酒; 米酒; 甜酒; 清酒; 梅酒; 白酒; 高粱酒; 威士忌; 果酒（含酒精）</t>
  </si>
  <si>
    <r>
      <t>万穗</t>
    </r>
    <r>
      <rPr>
        <sz val="11"/>
        <color theme="1"/>
        <rFont val="ＭＳ Ｐゴシック"/>
        <family val="3"/>
        <charset val="134"/>
        <scheme val="minor"/>
      </rPr>
      <t>爱</t>
    </r>
  </si>
  <si>
    <t>王桃芳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</si>
  <si>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</si>
  <si>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爽</t>
    </r>
  </si>
  <si>
    <r>
      <t>阿不都外力·</t>
    </r>
    <r>
      <rPr>
        <sz val="11"/>
        <color theme="1"/>
        <rFont val="ＭＳ Ｐゴシック"/>
        <family val="3"/>
        <charset val="134"/>
        <scheme val="minor"/>
      </rPr>
      <t>买买</t>
    </r>
    <r>
      <rPr>
        <sz val="11"/>
        <color theme="1"/>
        <rFont val="ＭＳ Ｐゴシック"/>
        <family val="3"/>
        <charset val="128"/>
        <scheme val="minor"/>
      </rPr>
      <t>提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</si>
  <si>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伏特加酒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</si>
  <si>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倾壶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</si>
  <si>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</si>
  <si>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葡愿</t>
  </si>
  <si>
    <r>
      <t>柯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</si>
  <si>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开胃酒; 清酒（日本米酒）; 威士忌; 黄酒</t>
    </r>
  </si>
  <si>
    <r>
      <t>梨元</t>
    </r>
    <r>
      <rPr>
        <sz val="11"/>
        <color theme="1"/>
        <rFont val="ＭＳ Ｐゴシック"/>
        <family val="3"/>
        <charset val="134"/>
        <scheme val="minor"/>
      </rPr>
      <t>纪</t>
    </r>
  </si>
  <si>
    <t>魏瑞材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</si>
  <si>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黄酒; 蜂蜜酒; 白酒; 梨酒;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</si>
  <si>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诺亚凯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</si>
  <si>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河南省爵斗酒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</si>
  <si>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蜂蜜酒;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</si>
  <si>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印来</t>
    </r>
  </si>
  <si>
    <r>
      <t>云南元真投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</si>
  <si>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</si>
  <si>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酒巷良辰</t>
  </si>
  <si>
    <r>
      <t>吴</t>
    </r>
    <r>
      <rPr>
        <sz val="11"/>
        <color theme="1"/>
        <rFont val="ＭＳ Ｐゴシック"/>
        <family val="3"/>
        <charset val="134"/>
        <scheme val="minor"/>
      </rPr>
      <t>艳阁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</si>
  <si>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</si>
  <si>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群羊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主</t>
    </r>
  </si>
  <si>
    <t>黄大友</t>
  </si>
  <si>
    <r>
      <t xml:space="preserve">果酒（含酒精）; 清酒（日本米酒）;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</si>
  <si>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玉三云味莱</t>
  </si>
  <si>
    <r>
      <t>云南玉三餐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</si>
  <si>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葡萄酒; 甜果酒; 果酒;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</si>
  <si>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紫君思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</si>
  <si>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</si>
  <si>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露酒; 果酒（含酒精）; 清酒</t>
    </r>
  </si>
  <si>
    <t>JOYAREA</t>
  </si>
  <si>
    <r>
      <t>安町供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</si>
  <si>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</si>
  <si>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臣粮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</si>
  <si>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阚</t>
    </r>
    <r>
      <rPr>
        <sz val="11"/>
        <color theme="1"/>
        <rFont val="ＭＳ Ｐゴシック"/>
        <family val="3"/>
        <charset val="128"/>
        <scheme val="minor"/>
      </rPr>
      <t>玉新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</si>
  <si>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含酒精的潘趣酒;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</si>
  <si>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t>招趣</t>
  </si>
  <si>
    <r>
      <t>陈</t>
    </r>
    <r>
      <rPr>
        <sz val="11"/>
        <color theme="1"/>
        <rFont val="ＭＳ Ｐゴシック"/>
        <family val="3"/>
        <charset val="128"/>
        <scheme val="minor"/>
      </rPr>
      <t>郁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</si>
  <si>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</si>
  <si>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趣</t>
    </r>
  </si>
  <si>
    <t>王玉峰</t>
  </si>
  <si>
    <t>白酒; 米酒; 清酒; 酸酒（低等葡萄酒）; 果酒（含酒精）; 梅酒; 高粱酒; 威士忌; 甜酒; 烈酒</t>
  </si>
  <si>
    <r>
      <t>缘</t>
    </r>
    <r>
      <rPr>
        <sz val="11"/>
        <color theme="1"/>
        <rFont val="ＭＳ Ｐゴシック"/>
        <family val="3"/>
        <charset val="128"/>
        <scheme val="minor"/>
      </rPr>
      <t>雅花</t>
    </r>
  </si>
  <si>
    <r>
      <t>李汶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</si>
  <si>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开胃酒;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果酒（含酒精）; 葡萄酒; 威士忌</t>
    </r>
  </si>
  <si>
    <r>
      <t>修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仙 酒</t>
    </r>
  </si>
  <si>
    <r>
      <t>成都大气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</si>
  <si>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露酒; 葡萄酒; 果酒; 麦芽威士忌; 黄酒; 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白干酒（中国白酒）; 高粱酒</t>
    </r>
  </si>
  <si>
    <r>
      <t>骄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</si>
  <si>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南通宜家</t>
    </r>
    <r>
      <rPr>
        <sz val="11"/>
        <color theme="1"/>
        <rFont val="ＭＳ Ｐゴシック"/>
        <family val="3"/>
        <charset val="134"/>
        <scheme val="minor"/>
      </rPr>
      <t>兴业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</si>
  <si>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露酒; 葡萄酒;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</si>
  <si>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履言</t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</si>
  <si>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</si>
  <si>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米酒; 伏特加酒; 葡萄酒; 威士忌; 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</si>
  <si>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遂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</si>
  <si>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遂川腊小伙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</si>
  <si>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高粱酒; 食用酒精</t>
    </r>
  </si>
  <si>
    <r>
      <t>盛事光</t>
    </r>
    <r>
      <rPr>
        <sz val="11"/>
        <color theme="1"/>
        <rFont val="ＭＳ Ｐゴシック"/>
        <family val="3"/>
        <charset val="134"/>
        <scheme val="minor"/>
      </rPr>
      <t>辉</t>
    </r>
  </si>
  <si>
    <t>陈创</t>
  </si>
  <si>
    <r>
      <t xml:space="preserve">黄酒; 白酒;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</si>
  <si>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台草原酒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</si>
  <si>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</si>
  <si>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食用酒精; 葡萄酒; 高粱酒; 白酒; 利口酒;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</t>
    </r>
  </si>
  <si>
    <t>GLOW OWO</t>
  </si>
  <si>
    <t>朱群英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</si>
  <si>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高粱酒;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</si>
  <si>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迪</t>
    </r>
  </si>
  <si>
    <r>
      <t>湘阴</t>
    </r>
    <r>
      <rPr>
        <sz val="11"/>
        <color theme="1"/>
        <rFont val="ＭＳ Ｐゴシック"/>
        <family val="3"/>
        <charset val="134"/>
        <scheme val="minor"/>
      </rPr>
      <t>县邹</t>
    </r>
    <r>
      <rPr>
        <sz val="11"/>
        <color theme="1"/>
        <rFont val="ＭＳ Ｐゴシック"/>
        <family val="3"/>
        <charset val="128"/>
        <scheme val="minor"/>
      </rPr>
      <t>霞百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</si>
  <si>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黄酒; 白酒; 葡萄酒; 威士忌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</si>
  <si>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取</t>
    </r>
  </si>
  <si>
    <r>
      <t>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洲</t>
    </r>
  </si>
  <si>
    <t>白酒; 高粱酒; 酸酒（低等葡萄酒）; 梅酒; 清酒; 米酒; 甜酒; 果酒（含酒精）; 烈酒; 威士忌</t>
  </si>
  <si>
    <t>墨家乾坤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</si>
  <si>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白酒; 果酒（含酒精）</t>
    </r>
  </si>
  <si>
    <t>好阿婆</t>
  </si>
  <si>
    <t>黎文霞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</si>
  <si>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青稞酒; 烈酒; 米酒</t>
    </r>
  </si>
  <si>
    <r>
      <t>巴蜀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麻子</t>
    </r>
  </si>
  <si>
    <r>
      <t>四川康特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健生物技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</si>
  <si>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</si>
  <si>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私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弟弟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</si>
  <si>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私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</si>
  <si>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</si>
  <si>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瑞千富</t>
  </si>
  <si>
    <r>
      <t>德宏宏世商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</si>
  <si>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</si>
  <si>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九子福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</si>
  <si>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庭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</si>
  <si>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</si>
  <si>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落花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鉴</t>
    </r>
  </si>
  <si>
    <t>英才添翼教育科技（西安）有限公司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</si>
  <si>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白酒; 露酒; 果酒（含酒精）; 果酒; 白葡萄酒; 葡萄酒; 威士忌; 佐餐酒</t>
    </r>
  </si>
  <si>
    <t>健加宝</t>
  </si>
  <si>
    <r>
      <t>陈</t>
    </r>
    <r>
      <rPr>
        <sz val="11"/>
        <color theme="1"/>
        <rFont val="ＭＳ Ｐゴシック"/>
        <family val="3"/>
        <charset val="128"/>
        <scheme val="minor"/>
      </rPr>
      <t>江素</t>
    </r>
  </si>
  <si>
    <t>米酒; 蜂蜜酒; 青稞酒; 蝮蛇酒; 白酒; 黄酒; 五加皮酒（中国混合烈酒）; 露酒; 葡萄酒; 果酒（含酒精）</t>
  </si>
  <si>
    <t>矼酒</t>
  </si>
  <si>
    <r>
      <t>陈</t>
    </r>
    <r>
      <rPr>
        <sz val="11"/>
        <color theme="1"/>
        <rFont val="ＭＳ Ｐゴシック"/>
        <family val="3"/>
        <charset val="128"/>
        <scheme val="minor"/>
      </rPr>
      <t>中坤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</si>
  <si>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烈酒;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</si>
  <si>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</si>
  <si>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</si>
  <si>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巧婆媳</t>
  </si>
  <si>
    <t>黎明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</si>
  <si>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甜酒</t>
    </r>
  </si>
  <si>
    <t>瑞草香坊</t>
  </si>
  <si>
    <r>
      <t>上海茶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道文化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</si>
  <si>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柑香酒; 茴芹酒（利口酒）; 果酒（含酒精）</t>
    </r>
  </si>
  <si>
    <t>呈朕</t>
  </si>
  <si>
    <r>
      <t>汤</t>
    </r>
    <r>
      <rPr>
        <sz val="11"/>
        <color theme="1"/>
        <rFont val="ＭＳ Ｐゴシック"/>
        <family val="3"/>
        <charset val="128"/>
        <scheme val="minor"/>
      </rPr>
      <t>瑞英</t>
    </r>
  </si>
  <si>
    <r>
      <t xml:space="preserve">葡萄酒; 清酒（日本米酒）;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威士忌; 米酒</t>
    </r>
  </si>
  <si>
    <t>俏滋登</t>
  </si>
  <si>
    <r>
      <t>郓</t>
    </r>
    <r>
      <rPr>
        <sz val="11"/>
        <color theme="1"/>
        <rFont val="ＭＳ Ｐゴシック"/>
        <family val="3"/>
        <charset val="128"/>
        <scheme val="minor"/>
      </rPr>
      <t>城伊伴网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</si>
  <si>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清酒（日本米酒）;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</si>
  <si>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源石礼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之邦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</si>
  <si>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甜酒; 果酒（含酒精）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</si>
  <si>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田</t>
    </r>
  </si>
  <si>
    <t>白酒; 酸酒（低等葡萄酒）; 烈酒; 清酒; 高粱酒; 梅酒; 米酒; 甜酒; 威士忌; 果酒（含酒精）</t>
  </si>
  <si>
    <r>
      <t>浏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</si>
  <si>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佳怡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</si>
  <si>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</si>
  <si>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馨世界</t>
  </si>
  <si>
    <r>
      <t>赵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</si>
  <si>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</si>
  <si>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呼制</t>
  </si>
  <si>
    <r>
      <t>河北特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</si>
  <si>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蒸煮提取物（利口酒和烈酒）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</si>
  <si>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丛间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</si>
  <si>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</si>
  <si>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黄酒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</si>
  <si>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鹤</t>
    </r>
  </si>
  <si>
    <t>酸酒（低等葡萄酒）; 高粱酒; 威士忌; 烈酒; 白酒; 果酒（含酒精）; 甜酒; 清酒; 梅酒; 米酒</t>
  </si>
  <si>
    <t>肥通天下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</si>
  <si>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西万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佳园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</si>
  <si>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苹果酒; 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</si>
  <si>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相知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</si>
  <si>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白酒; 黄酒; 蜂蜜酒;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</si>
  <si>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蓝调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</si>
  <si>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</si>
  <si>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黄酒; 威士忌</t>
    </r>
  </si>
  <si>
    <r>
      <t>鳄</t>
    </r>
    <r>
      <rPr>
        <sz val="11"/>
        <color theme="1"/>
        <rFont val="ＭＳ Ｐゴシック"/>
        <family val="3"/>
        <charset val="128"/>
        <scheme val="minor"/>
      </rPr>
      <t>泊源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</si>
  <si>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鳄</t>
    </r>
    <r>
      <rPr>
        <sz val="11"/>
        <color theme="1"/>
        <rFont val="ＭＳ Ｐゴシック"/>
        <family val="3"/>
        <charset val="128"/>
        <scheme val="minor"/>
      </rPr>
      <t>泊源养殖有限公司</t>
    </r>
  </si>
  <si>
    <r>
      <t xml:space="preserve">露酒; 黄酒; 开胃酒; 葡萄酒;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</si>
  <si>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馨之漫</t>
  </si>
  <si>
    <r>
      <t>葡萄酒; 开胃酒; 青稞酒;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</t>
    </r>
  </si>
  <si>
    <r>
      <t>纮</t>
    </r>
    <r>
      <rPr>
        <sz val="11"/>
        <color theme="1"/>
        <rFont val="ＭＳ Ｐゴシック"/>
        <family val="3"/>
        <charset val="128"/>
        <scheme val="minor"/>
      </rPr>
      <t>天柔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</si>
  <si>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</si>
  <si>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</t>
    </r>
  </si>
  <si>
    <t>泓旗玖</t>
  </si>
  <si>
    <r>
      <t>韦</t>
    </r>
    <r>
      <rPr>
        <sz val="11"/>
        <color theme="1"/>
        <rFont val="ＭＳ Ｐゴシック"/>
        <family val="3"/>
        <charset val="128"/>
        <scheme val="minor"/>
      </rPr>
      <t>少敏</t>
    </r>
  </si>
  <si>
    <r>
      <t>开胃酒; 威士忌; 果酒（含酒精）;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</si>
  <si>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秦臻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</si>
  <si>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西秦臻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禾科技有限公司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</si>
  <si>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薄荷酒;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</si>
  <si>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随聚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</si>
  <si>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禄存同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</si>
  <si>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</si>
  <si>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</si>
  <si>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段</t>
    </r>
    <r>
      <rPr>
        <sz val="11"/>
        <color theme="1"/>
        <rFont val="ＭＳ Ｐゴシック"/>
        <family val="3"/>
        <charset val="129"/>
        <scheme val="minor"/>
      </rPr>
      <t>焓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</si>
  <si>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威士忌;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</si>
  <si>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妮德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</si>
  <si>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</si>
  <si>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江河</t>
    </r>
  </si>
  <si>
    <r>
      <t>深圳左和右包装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</si>
  <si>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蜂蜜酒;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</si>
  <si>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皇八道</t>
  </si>
  <si>
    <r>
      <t>葛</t>
    </r>
    <r>
      <rPr>
        <sz val="11"/>
        <color theme="1"/>
        <rFont val="ＭＳ Ｐゴシック"/>
        <family val="3"/>
        <charset val="134"/>
        <scheme val="minor"/>
      </rPr>
      <t>亚飞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</si>
  <si>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</t>
    </r>
  </si>
  <si>
    <t>不从</t>
  </si>
  <si>
    <r>
      <t>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果酒（含酒精）; 葡萄酒;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</si>
  <si>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猛古烈</t>
  </si>
  <si>
    <t>内蒙古蒙古包食品有限公司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</si>
  <si>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</si>
  <si>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悦春光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</si>
  <si>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</si>
  <si>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映金泉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</si>
  <si>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氏桔正酒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</si>
  <si>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果酒（含酒精）; 白干酒（中国白酒）;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</si>
  <si>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房氏金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鹿</t>
    </r>
  </si>
  <si>
    <r>
      <t>吉林省壹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</si>
  <si>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</si>
  <si>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山景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</si>
  <si>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</si>
  <si>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燕山望</t>
  </si>
  <si>
    <r>
      <t>南岸区佳禾酒水坊（个体工商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</si>
  <si>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</si>
  <si>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丈夫</t>
    </r>
  </si>
  <si>
    <r>
      <t xml:space="preserve">果酒（含酒精）; 清酒（日本米酒）;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黄酒; 米酒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</si>
  <si>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</si>
  <si>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t>袁振涛</t>
  </si>
  <si>
    <r>
      <t>白酒; 白干酒（中国白酒）;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果酒（含酒精）</t>
    </r>
  </si>
  <si>
    <r>
      <t>暖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</si>
  <si>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白酒; 青稞酒; 露酒; 高粱酒;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</si>
  <si>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派</t>
    </r>
    <r>
      <rPr>
        <sz val="11"/>
        <color theme="1"/>
        <rFont val="ＭＳ Ｐゴシック"/>
        <family val="3"/>
        <charset val="134"/>
        <scheme val="minor"/>
      </rPr>
      <t>昸昸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</si>
  <si>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畅农</t>
    </r>
    <r>
      <rPr>
        <sz val="11"/>
        <color theme="1"/>
        <rFont val="ＭＳ Ｐゴシック"/>
        <family val="3"/>
        <charset val="128"/>
        <scheme val="minor"/>
      </rPr>
      <t>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</si>
  <si>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梨酒; 白干酒（中国白酒）; 白酒; 米酒; 清酒; 黄酒; 烈酒; 烈性干酒;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</si>
  <si>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仅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</si>
  <si>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</si>
  <si>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</t>
    </r>
  </si>
  <si>
    <t>桃小凡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</si>
  <si>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春市欣浩然商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</si>
  <si>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高粱酒; 白酒;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</si>
  <si>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</si>
  <si>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</si>
  <si>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米酒;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高粱酒; 果酒; 清酒; 露酒</t>
    </r>
  </si>
  <si>
    <r>
      <t>漠恒天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</si>
  <si>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巴彦淖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化工有限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</si>
  <si>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开胃酒; 葡萄酒</t>
    </r>
  </si>
  <si>
    <t>葡公爵</t>
  </si>
  <si>
    <r>
      <t>黄酒; 葡萄酒;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</si>
  <si>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勿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</si>
  <si>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志良</t>
    </r>
  </si>
  <si>
    <r>
      <t>米酒; 果酒（含酒精）; 白酒; 日本梅子酒;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伏特加酒;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</si>
  <si>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LUYI SUWEI</t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</si>
  <si>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</si>
  <si>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</si>
  <si>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聚德老</t>
    </r>
  </si>
  <si>
    <t>陈艳</t>
  </si>
  <si>
    <r>
      <t>苦味酒; 清酒（日本米酒）; 青稞酒; 蜂蜜酒; 果酒（含酒精）; 杜松子酒;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</si>
  <si>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厢记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</si>
  <si>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厢记</t>
    </r>
    <r>
      <rPr>
        <sz val="11"/>
        <color theme="1"/>
        <rFont val="ＭＳ Ｐゴシック"/>
        <family val="3"/>
        <charset val="128"/>
        <scheme val="minor"/>
      </rPr>
      <t>（浙江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阳）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</si>
  <si>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混合威士忌酒; 白酒; 米酒; 葡萄酒; 果酒（含酒精）; 伏特加酒;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</si>
  <si>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取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</si>
  <si>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松</t>
    </r>
  </si>
  <si>
    <t>威士忌; 高粱酒; 烈酒; 米酒; 梅酒; 果酒（含酒精）; 酸酒（低等葡萄酒）; 甜酒; 白酒; 清酒</t>
  </si>
  <si>
    <r>
      <t>佰吉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</si>
  <si>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西青</t>
    </r>
    <r>
      <rPr>
        <sz val="11"/>
        <color theme="1"/>
        <rFont val="ＭＳ Ｐゴシック"/>
        <family val="3"/>
        <charset val="134"/>
        <scheme val="minor"/>
      </rPr>
      <t>农实业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</si>
  <si>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清酒;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</si>
  <si>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醉福大运</t>
  </si>
  <si>
    <r>
      <t>丘秋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</si>
  <si>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米酒; 食用酒精; 高粱酒; 葡萄酒;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</si>
  <si>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三千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</si>
  <si>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三千邯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</si>
  <si>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白干酒（中国白酒）;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</si>
  <si>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</si>
  <si>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</si>
  <si>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薄荷酒;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清酒; 杜松子酒</t>
    </r>
  </si>
  <si>
    <t>福万喜</t>
  </si>
  <si>
    <r>
      <t>四川智如酒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</si>
  <si>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食用酒精; 露酒; 米酒; 高粱酒; 水果汽酒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</si>
  <si>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生岳</t>
    </r>
  </si>
  <si>
    <r>
      <t xml:space="preserve">果酒（含酒精）; 葡萄酒; 青稞酒;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高粱酒; 食用酒精; 白酒</t>
    </r>
  </si>
  <si>
    <t>京派清</t>
  </si>
  <si>
    <r>
      <t>张</t>
    </r>
    <r>
      <rPr>
        <sz val="11"/>
        <color theme="1"/>
        <rFont val="ＭＳ Ｐゴシック"/>
        <family val="3"/>
        <charset val="128"/>
        <scheme val="minor"/>
      </rPr>
      <t>少宁</t>
    </r>
  </si>
  <si>
    <r>
      <t>黄酒; 果酒; 葡萄酒; 白酒; 露酒;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</si>
  <si>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扶</t>
    </r>
    <r>
      <rPr>
        <sz val="11"/>
        <color theme="1"/>
        <rFont val="ＭＳ Ｐゴシック"/>
        <family val="3"/>
        <charset val="134"/>
        <scheme val="minor"/>
      </rPr>
      <t>龙语</t>
    </r>
  </si>
  <si>
    <t>利威拓医学科技（上海）有限公司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</si>
  <si>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高粱酒;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</si>
  <si>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观龙</t>
    </r>
    <r>
      <rPr>
        <sz val="11"/>
        <color theme="1"/>
        <rFont val="ＭＳ Ｐゴシック"/>
        <family val="3"/>
        <charset val="128"/>
        <scheme val="minor"/>
      </rPr>
      <t>廷</t>
    </r>
  </si>
  <si>
    <t>付梦深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</si>
  <si>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</si>
  <si>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禾山枝</t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</si>
  <si>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</si>
  <si>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</si>
  <si>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雅疆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</si>
  <si>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色通达信息科技有限公司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</si>
  <si>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</si>
  <si>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花脉</t>
    </r>
  </si>
  <si>
    <t>相海峰</t>
  </si>
  <si>
    <r>
      <t xml:space="preserve">葡萄酒; 米酒; 烈酒;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</si>
  <si>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香中天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</si>
  <si>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</si>
  <si>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</t>
    </r>
  </si>
  <si>
    <r>
      <t>青和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合真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</si>
  <si>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青和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合（重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</si>
  <si>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薄荷酒; 果酒;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</si>
  <si>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史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本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</si>
  <si>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举</t>
    </r>
    <r>
      <rPr>
        <sz val="11"/>
        <color theme="1"/>
        <rFont val="ＭＳ Ｐゴシック"/>
        <family val="3"/>
        <charset val="128"/>
        <scheme val="minor"/>
      </rPr>
      <t>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</si>
  <si>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米酒; 烈酒;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青稞酒; 黄酒; 白酒</t>
    </r>
  </si>
  <si>
    <r>
      <t>贡业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</si>
  <si>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</si>
  <si>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r>
      <t>秘福</t>
    </r>
    <r>
      <rPr>
        <sz val="11"/>
        <color theme="1"/>
        <rFont val="ＭＳ Ｐゴシック"/>
        <family val="3"/>
        <charset val="134"/>
        <scheme val="minor"/>
      </rPr>
      <t>门</t>
    </r>
  </si>
  <si>
    <t>曾阳洋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</si>
  <si>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果酒（含酒精）; 白酒</t>
    </r>
  </si>
  <si>
    <r>
      <t>酌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</si>
  <si>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</si>
  <si>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寿翁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</si>
  <si>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中国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</si>
  <si>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白酒; 梅酒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</si>
  <si>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曼礼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</si>
  <si>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</si>
  <si>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</si>
  <si>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THE KING WONG</t>
  </si>
  <si>
    <t>麦稻智慧科技有限公司</t>
  </si>
  <si>
    <r>
      <t>清酒; 食用酒精; 威士忌;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</si>
  <si>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t>BVL</t>
  </si>
  <si>
    <r>
      <t>高玉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</si>
  <si>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果酒（含酒精）;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</si>
  <si>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善平囍</t>
    </r>
    <r>
      <rPr>
        <sz val="11"/>
        <color theme="1"/>
        <rFont val="ＭＳ Ｐゴシック"/>
        <family val="3"/>
        <charset val="134"/>
        <scheme val="minor"/>
      </rPr>
      <t>顺财</t>
    </r>
  </si>
  <si>
    <r>
      <t>高密</t>
    </r>
    <r>
      <rPr>
        <sz val="11"/>
        <color theme="1"/>
        <rFont val="ＭＳ Ｐゴシック"/>
        <family val="3"/>
        <charset val="134"/>
        <scheme val="minor"/>
      </rPr>
      <t>龙啸农业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</si>
  <si>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</si>
  <si>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淬火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魂</t>
    </r>
  </si>
  <si>
    <r>
      <t>四川天下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</si>
  <si>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</si>
  <si>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大盛古庄年迹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</si>
  <si>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</si>
  <si>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</si>
  <si>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淼君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</si>
  <si>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这</t>
    </r>
    <r>
      <rPr>
        <sz val="11"/>
        <color theme="1"/>
        <rFont val="ＭＳ Ｐゴシック"/>
        <family val="3"/>
        <charset val="128"/>
        <scheme val="minor"/>
      </rPr>
      <t>有堆品牌管理有限公司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</si>
  <si>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果酒; 开胃酒; 清酒（日本米酒）; 白酒; 黄酒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</si>
  <si>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吉祥</t>
    </r>
    <r>
      <rPr>
        <sz val="11"/>
        <color theme="1"/>
        <rFont val="ＭＳ Ｐゴシック"/>
        <family val="3"/>
        <charset val="134"/>
        <scheme val="minor"/>
      </rPr>
      <t>结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</si>
  <si>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</si>
  <si>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</si>
  <si>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漳州万姓集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</si>
  <si>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</si>
  <si>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了草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</si>
  <si>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本也文化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</si>
  <si>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甜酒; 清酒; 米酒;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</si>
  <si>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奇厨</t>
  </si>
  <si>
    <r>
      <t>南京奇厨餐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</si>
  <si>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葡萄酒; 开胃酒</t>
    </r>
  </si>
  <si>
    <t>麦柰思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</si>
  <si>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州池甑有度酒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</si>
  <si>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青稞酒; 伏特加酒;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</si>
  <si>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奥嘉克</t>
  </si>
  <si>
    <r>
      <t>鲁</t>
    </r>
    <r>
      <rPr>
        <sz val="11"/>
        <color theme="1"/>
        <rFont val="ＭＳ Ｐゴシック"/>
        <family val="3"/>
        <charset val="128"/>
        <scheme val="minor"/>
      </rPr>
      <t>商物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</si>
  <si>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</si>
  <si>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药师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</si>
  <si>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信宏仁医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</si>
  <si>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食用酒精; 五加皮酒（中国混合烈酒）; 黄酒; 白酒;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</si>
  <si>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品尚礼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</si>
  <si>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</si>
  <si>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黄酒; 果酒;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</si>
  <si>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熙荔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</si>
  <si>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</si>
  <si>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r>
      <t>库尔</t>
    </r>
    <r>
      <rPr>
        <sz val="11"/>
        <color theme="1"/>
        <rFont val="ＭＳ Ｐゴシック"/>
        <family val="3"/>
        <charset val="128"/>
        <scheme val="minor"/>
      </rPr>
      <t>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</si>
  <si>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加烈葡萄酒;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不起泡葡萄酒;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</si>
  <si>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妤妤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</si>
  <si>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</si>
  <si>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梨酒;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葡萄酒;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蜂蜜酒</t>
    </r>
  </si>
  <si>
    <r>
      <t>萝</t>
    </r>
    <r>
      <rPr>
        <sz val="11"/>
        <color theme="1"/>
        <rFont val="ＭＳ Ｐゴシック"/>
        <family val="3"/>
        <charset val="128"/>
        <scheme val="minor"/>
      </rPr>
      <t>卜同学</t>
    </r>
  </si>
  <si>
    <r>
      <t>邱</t>
    </r>
    <r>
      <rPr>
        <sz val="11"/>
        <color theme="1"/>
        <rFont val="ＭＳ Ｐゴシック"/>
        <family val="3"/>
        <charset val="134"/>
        <scheme val="minor"/>
      </rPr>
      <t>鹏辉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</si>
  <si>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烈酒;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白酒</t>
    </r>
  </si>
  <si>
    <t>思序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</si>
  <si>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甘蔗制烈酒;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</si>
  <si>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中瓯酒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</si>
  <si>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燕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</si>
  <si>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</si>
  <si>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t>粮窖佬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</si>
  <si>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</si>
  <si>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</si>
  <si>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黄岭嶂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</si>
  <si>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农艺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</si>
  <si>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烈酒; 甜酒;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</si>
  <si>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几酌</t>
  </si>
  <si>
    <r>
      <t xml:space="preserve">清酒（日本米酒）; 威士忌; 白酒; 开胃酒;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</si>
  <si>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湘醽春</t>
  </si>
  <si>
    <r>
      <t>罗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</si>
  <si>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利口酒;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</si>
  <si>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好励</t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</si>
  <si>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市好励文具有限公司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</si>
  <si>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甜果酒; 高粱酒; 威士忌;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五加皮酒（中国混合烈酒）;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</si>
  <si>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鉴载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</si>
  <si>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甘蔗制烈酒</t>
    </r>
  </si>
  <si>
    <t>箕麓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</si>
  <si>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职</t>
    </r>
    <r>
      <rPr>
        <sz val="11"/>
        <color theme="1"/>
        <rFont val="ＭＳ Ｐゴシック"/>
        <family val="3"/>
        <charset val="128"/>
        <scheme val="minor"/>
      </rPr>
      <t>教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</si>
  <si>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 xml:space="preserve">白酒;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</si>
  <si>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t>嘉康君享</t>
  </si>
  <si>
    <r>
      <t>云南名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</si>
  <si>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蝮蛇酒; 露酒; 果酒（含酒精）;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</si>
  <si>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清酒（日本米酒）;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</si>
  <si>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</si>
  <si>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州省金印子文化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</si>
  <si>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露酒; 青梅酒; 白酒;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</si>
  <si>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朝酒州</t>
  </si>
  <si>
    <t>高国朋</t>
  </si>
  <si>
    <r>
      <t>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</si>
  <si>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朕兄弟</t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</si>
  <si>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县陈飘钊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</si>
  <si>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果酒（含酒精）; 清酒（日本米酒）; 葡萄酒</t>
    </r>
  </si>
  <si>
    <t>清炫青花中</t>
  </si>
  <si>
    <t>郭新建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</si>
  <si>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汽酒; 果酒（含酒精）; 伏特加酒; 葡萄酒;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</si>
  <si>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凰依</t>
    </r>
  </si>
  <si>
    <r>
      <t>上海康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</si>
  <si>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果酒（含酒精）; 水果汽酒; 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</si>
  <si>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叶才虎君典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</si>
  <si>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市助黔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</si>
  <si>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果酒（含酒精）; 清酒（日本米酒）; 开胃酒</t>
    </r>
  </si>
  <si>
    <t>BUTLERCHO'S</t>
  </si>
  <si>
    <r>
      <t>管家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（广州）运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</si>
  <si>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</si>
  <si>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相思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</si>
  <si>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海霞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</si>
  <si>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</si>
  <si>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微存</t>
  </si>
  <si>
    <r>
      <t>深圳市互雨国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</si>
  <si>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白干酒（中国白酒）; 五加皮酒（中国混合烈酒）; 葡萄酒; 白葡萄酒; 高粱酒</t>
    </r>
  </si>
  <si>
    <t>TB</t>
  </si>
  <si>
    <r>
      <t>湖北晟盈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</si>
  <si>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白酒; 黄酒; 葡萄酒; 白干酒（中国白酒）;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</t>
    </r>
  </si>
  <si>
    <t>贵亿鸿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</si>
  <si>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义贵亿鸿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</si>
  <si>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果酒; 白酒</t>
    </r>
  </si>
  <si>
    <t>黉缘</t>
  </si>
  <si>
    <r>
      <t>伏特加酒;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威士忌; 果酒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</si>
  <si>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香立群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</si>
  <si>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</si>
  <si>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天安禧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</si>
  <si>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</si>
  <si>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</si>
  <si>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在田生物科技有限公司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</si>
  <si>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薄荷酒; 威士忌; 利口酒; 朗姆酒;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苦味酒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</si>
  <si>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择</t>
    </r>
    <r>
      <rPr>
        <sz val="11"/>
        <color theme="1"/>
        <rFont val="ＭＳ Ｐゴシック"/>
        <family val="3"/>
        <charset val="128"/>
        <scheme val="minor"/>
      </rPr>
      <t>基酒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</si>
  <si>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威士忌; 伏特加酒; 白酒; 白干酒（中国白酒）; 高粱酒</t>
    </r>
  </si>
  <si>
    <t>赤蒙通</t>
  </si>
  <si>
    <r>
      <t>内蒙古同心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</si>
  <si>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</si>
  <si>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致酒坊</t>
    </r>
  </si>
  <si>
    <r>
      <t>陈亚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</si>
  <si>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威士忌; 黄酒; 烈酒;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</si>
  <si>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宴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</si>
  <si>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甘蔗制烈酒;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</si>
  <si>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团圆财</t>
  </si>
  <si>
    <t>黄卿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</si>
  <si>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露酒;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</si>
  <si>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葆安宁</t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</si>
  <si>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蜂蜜酒;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</si>
  <si>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结红缘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</si>
  <si>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甘蔗制烈酒;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</si>
  <si>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稀存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</si>
  <si>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白酒</t>
    </r>
  </si>
  <si>
    <t>天存存香</t>
  </si>
  <si>
    <r>
      <t xml:space="preserve">白酒; 青稞酒;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利口酒;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</si>
  <si>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沙盛悦酒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</si>
  <si>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朗姆酒; 蒸煮提取物（利口酒和烈酒）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</si>
  <si>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香志</t>
    </r>
    <r>
      <rPr>
        <sz val="11"/>
        <color theme="1"/>
        <rFont val="ＭＳ Ｐゴシック"/>
        <family val="3"/>
        <charset val="134"/>
        <scheme val="minor"/>
      </rPr>
      <t>纲</t>
    </r>
  </si>
  <si>
    <r>
      <t xml:space="preserve">黄酒; 米酒;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</si>
  <si>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奔富富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雅集</t>
    </r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</si>
  <si>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</si>
  <si>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加烈葡萄酒;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</si>
  <si>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BKM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</si>
  <si>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兴赢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</si>
  <si>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清酒（日本米酒）; 白酒</t>
    </r>
  </si>
  <si>
    <t>泯妤</t>
  </si>
  <si>
    <r>
      <t xml:space="preserve">薄荷酒;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白酒;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</t>
    </r>
  </si>
  <si>
    <t>赤禧古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</si>
  <si>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甘蔗制烈酒; 白酒; 葡萄酒</t>
    </r>
  </si>
  <si>
    <t>印象周二</t>
  </si>
  <si>
    <t>南京周二酒店管理有限公司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</si>
  <si>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</si>
  <si>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美柰思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</si>
  <si>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青稞酒; 葡萄酒; 朗姆酒;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</si>
  <si>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夜色温柔</t>
  </si>
  <si>
    <r>
      <t>湖南延禧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</si>
  <si>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</t>
    </r>
  </si>
  <si>
    <t>中成盟 CGPA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</si>
  <si>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高粱酒;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</si>
  <si>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DONNALUNA</t>
  </si>
  <si>
    <r>
      <t>圣配德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塔拉帕卡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</si>
  <si>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鑫酒事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</si>
  <si>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州鑫泰隆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</si>
  <si>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蒸煮提取物（利口酒和烈酒）;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开胃酒;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</si>
  <si>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亨利窖父</t>
  </si>
  <si>
    <r>
      <t>赛玛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（杭州）有限公司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</si>
  <si>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黄酒;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</si>
  <si>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岷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</si>
  <si>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</si>
  <si>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罕特上品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</si>
  <si>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州亘古天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</si>
  <si>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利口酒; 黄酒; 青稞酒</t>
    </r>
  </si>
  <si>
    <r>
      <t>酒坊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</si>
  <si>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</si>
  <si>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>果酒（含酒精）; 米酒; 伏特加酒; 黄酒; 威士忌;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</si>
  <si>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湘醁源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</si>
  <si>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葡萄酒; 米酒; 白酒</t>
    </r>
  </si>
  <si>
    <t>河谷老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</si>
  <si>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</si>
  <si>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开胃酒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</si>
  <si>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</si>
  <si>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（深圳）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</si>
  <si>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清酒</t>
  </si>
  <si>
    <r>
      <t>杏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</si>
  <si>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</si>
  <si>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宋祖送京娘</t>
  </si>
  <si>
    <r>
      <t>河北宋祖酒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</si>
  <si>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黄酒; 开胃酒;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高粱酒</t>
    </r>
  </si>
  <si>
    <t>艾她茶村</t>
  </si>
  <si>
    <t>李浩</t>
  </si>
  <si>
    <r>
      <t>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葡萄酒; 威士忌; 米酒; 黄酒; 果酒（含酒精）</t>
    </r>
  </si>
  <si>
    <r>
      <t>黔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</si>
  <si>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州黔名堂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</si>
  <si>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清酒（日本米酒）;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</si>
  <si>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知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</si>
  <si>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州起越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</si>
  <si>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</si>
  <si>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锅</t>
    </r>
    <r>
      <rPr>
        <sz val="11"/>
        <color theme="1"/>
        <rFont val="ＭＳ Ｐゴシック"/>
        <family val="3"/>
        <charset val="128"/>
        <scheme val="minor"/>
      </rPr>
      <t>敲</t>
    </r>
  </si>
  <si>
    <r>
      <t>奉</t>
    </r>
    <r>
      <rPr>
        <sz val="11"/>
        <color theme="1"/>
        <rFont val="ＭＳ Ｐゴシック"/>
        <family val="3"/>
        <charset val="134"/>
        <scheme val="minor"/>
      </rPr>
      <t>节县</t>
    </r>
    <r>
      <rPr>
        <sz val="11"/>
        <color theme="1"/>
        <rFont val="ＭＳ Ｐゴシック"/>
        <family val="3"/>
        <charset val="128"/>
        <scheme val="minor"/>
      </rPr>
      <t>橙都蜂养殖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</si>
  <si>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威士忌;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</si>
  <si>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酒号州</t>
  </si>
  <si>
    <r>
      <t xml:space="preserve">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清酒（日本米酒）; 开胃酒; 葡萄酒</t>
    </r>
  </si>
  <si>
    <t>三千情</t>
  </si>
  <si>
    <r>
      <t>阿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金川李婉儿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</si>
  <si>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</si>
  <si>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花樽吟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</si>
  <si>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</t>
    </r>
  </si>
  <si>
    <r>
      <t>淬火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</si>
  <si>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</si>
  <si>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寿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</si>
  <si>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浙江原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</si>
  <si>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</si>
  <si>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得博士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</si>
  <si>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东严</t>
    </r>
    <r>
      <rPr>
        <sz val="11"/>
        <color theme="1"/>
        <rFont val="ＭＳ Ｐゴシック"/>
        <family val="3"/>
        <charset val="128"/>
        <scheme val="minor"/>
      </rPr>
      <t>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</si>
  <si>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佐餐酒; 梅酒; 烈酒;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果酒; 米酒;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</si>
  <si>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香建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</si>
  <si>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黄酒;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</si>
  <si>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香仲舒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</si>
  <si>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</si>
  <si>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皇家方寸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</si>
  <si>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州荣太和枸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</si>
  <si>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</si>
  <si>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驼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</si>
  <si>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林市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阳区永丰宏盛商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</si>
  <si>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烈酒; 白酒</t>
    </r>
  </si>
  <si>
    <t>淯湖</t>
  </si>
  <si>
    <r>
      <t>程金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</si>
  <si>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梅酒; 果酒（含酒精）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</si>
  <si>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</si>
  <si>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米酒; 伏特加酒</t>
    </r>
  </si>
  <si>
    <r>
      <t>云津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百</t>
    </r>
  </si>
  <si>
    <t>黄振生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</si>
  <si>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</si>
  <si>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结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</si>
  <si>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宏城</t>
    </r>
  </si>
  <si>
    <r>
      <t>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</si>
  <si>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天企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开</t>
    </r>
  </si>
  <si>
    <t>黄彦翰</t>
  </si>
  <si>
    <r>
      <t>食用酒精; 果酒（含酒精）; 伏特加酒; 米酒; 黄酒;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</si>
  <si>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枝冶</t>
  </si>
  <si>
    <r>
      <t>陈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</si>
  <si>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 xml:space="preserve">葡萄酒; 蜂蜜酒; 米酒; 烈酒; 白酒; 清酒;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</si>
  <si>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隐庐</t>
    </r>
    <r>
      <rPr>
        <sz val="11"/>
        <color theme="1"/>
        <rFont val="ＭＳ Ｐゴシック"/>
        <family val="3"/>
        <charset val="128"/>
        <scheme val="minor"/>
      </rPr>
      <t>听雪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</si>
  <si>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泽红</t>
    </r>
  </si>
  <si>
    <r>
      <t>汽酒; 威士忌;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</si>
  <si>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随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</si>
  <si>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永游酒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</si>
  <si>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开胃酒; 葡萄酒; 汽酒;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</si>
  <si>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盖世乾坤</t>
  </si>
  <si>
    <r>
      <t>陈</t>
    </r>
    <r>
      <rPr>
        <sz val="11"/>
        <color theme="1"/>
        <rFont val="ＭＳ Ｐゴシック"/>
        <family val="3"/>
        <charset val="128"/>
        <scheme val="minor"/>
      </rPr>
      <t>守煌</t>
    </r>
  </si>
  <si>
    <r>
      <t>蜂蜜酒;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</si>
  <si>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铸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</si>
  <si>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</si>
  <si>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白酒; 果酒（含酒精）; 甘蔗制烈酒;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</si>
  <si>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</si>
  <si>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甘蔗制烈酒;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</si>
  <si>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上瓦</t>
  </si>
  <si>
    <t>邢台惜谷食品有限公司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</si>
  <si>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露酒;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</si>
  <si>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魏州小城故事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</si>
  <si>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</si>
  <si>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</si>
  <si>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芸熙宴</t>
  </si>
  <si>
    <r>
      <t>湖南芸熙宴餐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</si>
  <si>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苹果酒; 清酒（日本米酒）;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</si>
  <si>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t>邱虹</t>
  </si>
  <si>
    <r>
      <t>黄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</si>
  <si>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烈酒;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</si>
  <si>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春（******************）</t>
    </r>
  </si>
  <si>
    <r>
      <t>果酒（含酒精）; 蜂蜜酒; 米酒; 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</si>
  <si>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凰祖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</si>
  <si>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米酒; 烈酒; 威士忌;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</si>
  <si>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春</t>
    </r>
  </si>
  <si>
    <t>周海言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</si>
  <si>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</si>
  <si>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小探索大金喜</t>
  </si>
  <si>
    <r>
      <t>余</t>
    </r>
    <r>
      <rPr>
        <sz val="11"/>
        <color theme="1"/>
        <rFont val="ＭＳ Ｐゴシック"/>
        <family val="3"/>
        <charset val="134"/>
        <scheme val="minor"/>
      </rPr>
      <t>庆县亚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南特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</si>
  <si>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白酒; 果酒（含酒精）; 苹果酒;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</si>
  <si>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温公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</si>
  <si>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遇旅游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</si>
  <si>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</si>
  <si>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t>糊大叔</t>
  </si>
  <si>
    <r>
      <t>践道（上海）网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</si>
  <si>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</si>
  <si>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宗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</si>
  <si>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</si>
  <si>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能界</t>
  </si>
  <si>
    <r>
      <t>汉</t>
    </r>
    <r>
      <rPr>
        <sz val="11"/>
        <color theme="1"/>
        <rFont val="ＭＳ Ｐゴシック"/>
        <family val="3"/>
        <charset val="128"/>
        <scheme val="minor"/>
      </rPr>
      <t>和源（宁波）酒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</si>
  <si>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</si>
  <si>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歧山</t>
    </r>
    <r>
      <rPr>
        <sz val="11"/>
        <color theme="1"/>
        <rFont val="ＭＳ Ｐゴシック"/>
        <family val="3"/>
        <charset val="134"/>
        <scheme val="minor"/>
      </rPr>
      <t>凤鸣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</si>
  <si>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西西岐</t>
    </r>
    <r>
      <rPr>
        <sz val="11"/>
        <color theme="1"/>
        <rFont val="ＭＳ Ｐゴシック"/>
        <family val="3"/>
        <charset val="134"/>
        <scheme val="minor"/>
      </rPr>
      <t>凤鸣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</si>
  <si>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果酒; 米酒; 烈酒;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</si>
  <si>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</si>
  <si>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威源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</si>
  <si>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米酒;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</si>
  <si>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裕健元</t>
  </si>
  <si>
    <r>
      <t>董周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</si>
  <si>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黄酒; 青稞酒; 米酒; 葡萄酒</t>
    </r>
  </si>
  <si>
    <t>春光小城故事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</si>
  <si>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清酒（日本米酒）; 黄酒; 白酒</t>
    </r>
  </si>
  <si>
    <t>坛锅头</t>
  </si>
  <si>
    <r>
      <t>魏存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</si>
  <si>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</si>
  <si>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富源酒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</si>
  <si>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州富源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</si>
  <si>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甜酒; 高粱酒;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</t>
    </r>
  </si>
  <si>
    <r>
      <t>君灼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</si>
  <si>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烈酒; 威士忌; 葡萄酒</t>
    </r>
  </si>
  <si>
    <t>各蛋</t>
  </si>
  <si>
    <t>董莉******************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</si>
  <si>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白酒; 白干酒（中国白酒）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</si>
  <si>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君尚文化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</si>
  <si>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开胃酒;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</si>
  <si>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贵玺</t>
    </r>
  </si>
  <si>
    <r>
      <t xml:space="preserve">白酒;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</si>
  <si>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啸</t>
    </r>
    <r>
      <rPr>
        <sz val="11"/>
        <color theme="1"/>
        <rFont val="ＭＳ Ｐゴシック"/>
        <family val="3"/>
        <charset val="128"/>
        <scheme val="minor"/>
      </rPr>
      <t>酒霄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</si>
  <si>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</si>
  <si>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盐观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</si>
  <si>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杭州鼎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</si>
  <si>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果酒（含酒精）; 米酒; 黄酒</t>
    </r>
  </si>
  <si>
    <t>俏牧童清花</t>
  </si>
  <si>
    <r>
      <t>石家庄众汾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</si>
  <si>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开胃酒; 米酒; 果酒（含酒精）;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</si>
  <si>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</si>
  <si>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渝文******************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</si>
  <si>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果酒; 梅酒</t>
    </r>
  </si>
  <si>
    <r>
      <t>双盛园里的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菜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</si>
  <si>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顺发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</si>
  <si>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开胃酒</t>
    </r>
  </si>
  <si>
    <t>邱巡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</si>
  <si>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</si>
  <si>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t>丞相知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</si>
  <si>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</si>
  <si>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民吟</t>
  </si>
  <si>
    <r>
      <t>钟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</si>
  <si>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黄酒</t>
    </r>
  </si>
  <si>
    <t>宦毛</t>
  </si>
  <si>
    <r>
      <t>吴雨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</si>
  <si>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</t>
    </r>
  </si>
  <si>
    <r>
      <t>黑牛</t>
    </r>
    <r>
      <rPr>
        <sz val="11"/>
        <color theme="1"/>
        <rFont val="ＭＳ Ｐゴシック"/>
        <family val="3"/>
        <charset val="129"/>
        <scheme val="minor"/>
      </rPr>
      <t>妞妞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</si>
  <si>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清市鑫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</si>
  <si>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果酒; 威士忌;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</si>
  <si>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忠恕道</t>
  </si>
  <si>
    <r>
      <t>上海金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</si>
  <si>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</si>
  <si>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处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</si>
  <si>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四川武阳文化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</si>
  <si>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青稞酒; 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葡萄酒; 米酒; 青梅酒; 果酒; 清酒;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</si>
  <si>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二十</t>
    </r>
  </si>
  <si>
    <t>袁程旭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</si>
  <si>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</si>
  <si>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毛崟</t>
  </si>
  <si>
    <r>
      <t xml:space="preserve">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</si>
  <si>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WEKANEY</t>
  </si>
  <si>
    <r>
      <t>北京青昀集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</si>
  <si>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蜂蜜酒;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米酒; 薄荷酒; 葡萄酒; 佐餐酒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</si>
  <si>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</si>
  <si>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>北京神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谷草堂健康科技有限公司</t>
    </r>
  </si>
  <si>
    <r>
      <t>米酒;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</si>
  <si>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酒号秘蜜</t>
  </si>
  <si>
    <r>
      <t>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</si>
  <si>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</si>
  <si>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旺中原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</si>
  <si>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</si>
  <si>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逛年</t>
    </r>
    <r>
      <rPr>
        <sz val="11"/>
        <color theme="1"/>
        <rFont val="ＭＳ Ｐゴシック"/>
        <family val="3"/>
        <charset val="134"/>
        <scheme val="minor"/>
      </rPr>
      <t>渔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</si>
  <si>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鞍山隆韵水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</si>
  <si>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蜂蜜酒; 黄酒; 米酒;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</si>
  <si>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藏家肴 特</t>
    </r>
    <r>
      <rPr>
        <sz val="11"/>
        <color theme="1"/>
        <rFont val="ＭＳ Ｐゴシック"/>
        <family val="3"/>
        <charset val="134"/>
        <scheme val="minor"/>
      </rPr>
      <t>产</t>
    </r>
  </si>
  <si>
    <r>
      <t>成都瑞合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</si>
  <si>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苹果酒;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水果汽酒;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干型苹果酒</t>
    </r>
  </si>
  <si>
    <r>
      <t>野象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</si>
  <si>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市派若文化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</si>
  <si>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</si>
  <si>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草河城</t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</si>
  <si>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</si>
  <si>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米酒; 葡萄酒</t>
    </r>
  </si>
  <si>
    <t>聚万黔</t>
  </si>
  <si>
    <r>
      <t>陈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</si>
  <si>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汽酒;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酸酒（低等葡萄酒）;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</si>
  <si>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宋府小城故事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</si>
  <si>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</t>
    </r>
  </si>
  <si>
    <t>AI MU QI QI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</si>
  <si>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艾沐柒柒科技有限公司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</si>
  <si>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威士忌</t>
    </r>
  </si>
  <si>
    <r>
      <t>樾水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</si>
  <si>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</si>
  <si>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苹果酒;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</si>
  <si>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渝都客</t>
  </si>
  <si>
    <r>
      <t>百超智慧城市科技（重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</si>
  <si>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</si>
  <si>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速</t>
    </r>
  </si>
  <si>
    <r>
      <t xml:space="preserve">白酒;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食用酒精; 葡萄酒; 米酒; 黄酒; 青稞酒</t>
    </r>
  </si>
  <si>
    <r>
      <t>青衣悦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</si>
  <si>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起空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</si>
  <si>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烈酒;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葡萄酒; 黄酒; 清酒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</si>
  <si>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语</t>
    </r>
  </si>
  <si>
    <t>厚德晶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</si>
  <si>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</si>
  <si>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山源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</si>
  <si>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山健康科技有限公司</t>
    </r>
  </si>
  <si>
    <r>
      <t>清酒（日本米酒）; 蜂蜜酒; 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汽酒; 黄酒; 开胃酒</t>
    </r>
  </si>
  <si>
    <t>瞩人生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</si>
  <si>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果酒（含酒精）; 伏特加酒;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</si>
  <si>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随川</t>
  </si>
  <si>
    <r>
      <t>随川酒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竹)有限公司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</si>
  <si>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黄酒; 米酒; 葡萄酒; 伏特加酒; 高粱酒</t>
    </r>
  </si>
  <si>
    <t>杨树峁</t>
  </si>
  <si>
    <t>陈亚龙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</si>
  <si>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</t>
    </r>
  </si>
  <si>
    <t>雄社堂</t>
  </si>
  <si>
    <t>姜翠云</t>
  </si>
  <si>
    <r>
      <t xml:space="preserve">葡萄酒; 白酒;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</si>
  <si>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后辰</t>
  </si>
  <si>
    <r>
      <t>美匠生物医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</si>
  <si>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</si>
  <si>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t>罐包山下</t>
  </si>
  <si>
    <r>
      <t>四川巴山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</si>
  <si>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青梅酒;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</si>
  <si>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稻与川</t>
  </si>
  <si>
    <r>
      <t>孟礼</t>
    </r>
    <r>
      <rPr>
        <sz val="11"/>
        <color theme="1"/>
        <rFont val="ＭＳ Ｐゴシック"/>
        <family val="3"/>
        <charset val="134"/>
        <scheme val="minor"/>
      </rPr>
      <t>韩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</si>
  <si>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黄酒</t>
    </r>
  </si>
  <si>
    <t>YOKITOUCH</t>
  </si>
  <si>
    <r>
      <t>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柔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</si>
  <si>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蜂蜜酒; 葡萄酒; 白酒</t>
    </r>
  </si>
  <si>
    <t>笛猫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</si>
  <si>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</si>
  <si>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威士忌; 杜松子酒;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清酒（日本米酒）;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</si>
  <si>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老艾堂</t>
  </si>
  <si>
    <t>河南老艾堂健康科技有限公司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</si>
  <si>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葡萄酒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</si>
  <si>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</si>
  <si>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浩特蒙俄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</si>
  <si>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</si>
  <si>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拳家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</si>
  <si>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乌镇</t>
    </r>
    <r>
      <rPr>
        <sz val="11"/>
        <color theme="1"/>
        <rFont val="ＭＳ Ｐゴシック"/>
        <family val="3"/>
        <charset val="128"/>
        <scheme val="minor"/>
      </rPr>
      <t>演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服装店（个体工商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</si>
  <si>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</t>
    </r>
  </si>
  <si>
    <r>
      <t>垦</t>
    </r>
    <r>
      <rPr>
        <sz val="11"/>
        <color theme="1"/>
        <rFont val="ＭＳ Ｐゴシック"/>
        <family val="3"/>
        <charset val="128"/>
        <scheme val="minor"/>
      </rPr>
      <t>小族</t>
    </r>
  </si>
  <si>
    <r>
      <t>南京博浩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</si>
  <si>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加烈葡萄酒; 果酒; 黄酒; 高粱酒;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</t>
    </r>
  </si>
  <si>
    <r>
      <t>仙岩</t>
    </r>
    <r>
      <rPr>
        <sz val="11"/>
        <color theme="1"/>
        <rFont val="ＭＳ Ｐゴシック"/>
        <family val="3"/>
        <charset val="134"/>
        <scheme val="minor"/>
      </rPr>
      <t>龙坝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</si>
  <si>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</si>
  <si>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清酒; 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苦味酒</t>
    </r>
  </si>
  <si>
    <r>
      <t>浙水之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</si>
  <si>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浙江杰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</si>
  <si>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薄荷酒; 利口酒; 伏特加酒;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苦味酒</t>
    </r>
  </si>
  <si>
    <t>清旉</t>
  </si>
  <si>
    <r>
      <t>安徽格知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</si>
  <si>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米酒; 食用酒精; 黄酒; 露酒;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</si>
  <si>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帝荣侯爵</t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</si>
  <si>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长长</t>
    </r>
    <r>
      <rPr>
        <sz val="11"/>
        <color theme="1"/>
        <rFont val="ＭＳ Ｐゴシック"/>
        <family val="3"/>
        <charset val="128"/>
        <scheme val="minor"/>
      </rPr>
      <t>久久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</si>
  <si>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高粱酒; 伏特加酒; 蒸煮提取物（利口酒和烈酒）;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</si>
  <si>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金河母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</si>
  <si>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蜂蜜酒; 米酒; 白酒; 利口酒;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</si>
  <si>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酒号星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</si>
  <si>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烈酒; 果酒（含酒精）</t>
    </r>
  </si>
  <si>
    <t>邢州惜谷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</si>
  <si>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米酒; 露酒; 开胃酒; 白酒</t>
    </r>
  </si>
  <si>
    <t>酸小宝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</si>
  <si>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米酒; 白酒; 露酒;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</si>
  <si>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京台翃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</si>
  <si>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白干酒（中国白酒）;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</si>
  <si>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醉香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</si>
  <si>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州山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</si>
  <si>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清酒（日本米酒）; 白干酒（中国白酒）;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</si>
  <si>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成都世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</si>
  <si>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青稞酒; 白酒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</si>
  <si>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</si>
  <si>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>西藏威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</si>
  <si>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</si>
  <si>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金市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</si>
  <si>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市漫稞日用百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</si>
  <si>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薄荷酒;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</si>
  <si>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裕滏</t>
  </si>
  <si>
    <r>
      <t>衡水滏阳河酒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</si>
  <si>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食用酒精;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</si>
  <si>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r>
      <t>三元柒零 三元柒零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</si>
  <si>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山西三元酒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</si>
  <si>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</si>
  <si>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来毛</t>
    </r>
  </si>
  <si>
    <t>向峰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</si>
  <si>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</si>
  <si>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PATRIZIA CENCIONI</t>
  </si>
  <si>
    <r>
      <t>琴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尼帕特里</t>
    </r>
    <r>
      <rPr>
        <sz val="11"/>
        <color theme="1"/>
        <rFont val="ＭＳ Ｐゴシック"/>
        <family val="3"/>
        <charset val="134"/>
        <scheme val="minor"/>
      </rPr>
      <t>齐亚农场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</si>
  <si>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</si>
  <si>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北四楼</t>
  </si>
  <si>
    <r>
      <t>北京八达岭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城文化有限公司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</si>
  <si>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柑香酒; 梨酒;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苹果酒; 葡萄酒</t>
    </r>
  </si>
  <si>
    <t>卓十</t>
  </si>
  <si>
    <r>
      <t>赵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</si>
  <si>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</si>
  <si>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</si>
  <si>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（廊坊）有限公司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</si>
  <si>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</si>
  <si>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赤窖人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</si>
  <si>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</si>
  <si>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古酒溪</t>
  </si>
  <si>
    <t>吴倩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</si>
  <si>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</si>
  <si>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皓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</si>
  <si>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上海舟道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</si>
  <si>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白酒; 葡萄酒; 利口酒;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</si>
  <si>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古酩梦</t>
  </si>
  <si>
    <t>闵进</t>
  </si>
  <si>
    <r>
      <t xml:space="preserve">黄酒; 米酒;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</si>
  <si>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MAGIC PRETTY</t>
  </si>
  <si>
    <t>彭湘英</t>
  </si>
  <si>
    <r>
      <t xml:space="preserve">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</si>
  <si>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匠王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</si>
  <si>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日馨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</si>
  <si>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</t>
    </r>
  </si>
  <si>
    <t>芝小罐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</si>
  <si>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众拾</t>
    </r>
    <r>
      <rPr>
        <sz val="11"/>
        <color theme="1"/>
        <rFont val="ＭＳ Ｐゴシック"/>
        <family val="3"/>
        <charset val="134"/>
        <scheme val="minor"/>
      </rPr>
      <t>农业综</t>
    </r>
    <r>
      <rPr>
        <sz val="11"/>
        <color theme="1"/>
        <rFont val="ＭＳ Ｐゴシック"/>
        <family val="3"/>
        <charset val="128"/>
        <scheme val="minor"/>
      </rPr>
      <t>合开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</si>
  <si>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清酒</t>
    </r>
  </si>
  <si>
    <t>OHHO YE</t>
  </si>
  <si>
    <t>阿卜力克木·阿卜来提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</si>
  <si>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薄荷酒; 葡萄酒; 开胃酒</t>
    </r>
  </si>
  <si>
    <t>早庄</t>
  </si>
  <si>
    <r>
      <t>王</t>
    </r>
    <r>
      <rPr>
        <sz val="11"/>
        <color theme="1"/>
        <rFont val="ＭＳ Ｐゴシック"/>
        <family val="3"/>
        <charset val="134"/>
        <scheme val="minor"/>
      </rPr>
      <t>艳丽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</si>
  <si>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果酒（含酒精）; 清酒;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葡萄酒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</si>
  <si>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粮言</t>
    </r>
  </si>
  <si>
    <r>
      <t>陈华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</si>
  <si>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黄酒; 开胃酒</t>
    </r>
  </si>
  <si>
    <t>甄配</t>
  </si>
  <si>
    <r>
      <t>清酒（日本米酒）; 威士忌;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</t>
    </r>
  </si>
  <si>
    <t>雪御一馨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</si>
  <si>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江益道欣食品研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</si>
  <si>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</si>
  <si>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阳光拉依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</si>
  <si>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夏中蔬（北京）生物科技有限公司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</si>
  <si>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</si>
  <si>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南金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</si>
  <si>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常熟市琴川街道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</si>
  <si>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高粱酒; 米酒; 白酒; 果酒</t>
    </r>
  </si>
  <si>
    <t>肆臻台</t>
  </si>
  <si>
    <r>
      <t>万从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</si>
  <si>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威士忌; 果酒（含酒精）;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</si>
  <si>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宁波市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</si>
  <si>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食用酒精; 白酒; 苦味酒;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</si>
  <si>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睢沙古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</si>
  <si>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佐餐酒; 露酒; 米酒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</si>
  <si>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葭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舍</t>
    </r>
  </si>
  <si>
    <r>
      <t>鑫菲特企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管理（四川）有限公司</t>
    </r>
  </si>
  <si>
    <r>
      <t xml:space="preserve">白葡萄酒; 杜松子酒; 米酒;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果酒; 伏特加酒; 高粱酒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</si>
  <si>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无忌</t>
    </r>
  </si>
  <si>
    <r>
      <t xml:space="preserve">开胃酒;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果酒（含酒精）; 清酒（日本米酒）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</si>
  <si>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捌零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</si>
  <si>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</si>
  <si>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一品中太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</si>
  <si>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</si>
  <si>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</si>
  <si>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</si>
  <si>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</si>
  <si>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惠念</t>
  </si>
  <si>
    <t>吉林省名谷粮食有限公司</t>
  </si>
  <si>
    <r>
      <t xml:space="preserve">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烈酒</t>
    </r>
  </si>
  <si>
    <t>万炎</t>
  </si>
  <si>
    <r>
      <t>陈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</si>
  <si>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果酒（含酒精）;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开胃酒; 清酒（日本米酒）</t>
    </r>
  </si>
  <si>
    <t>河南圣雪啤酒有限公司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</si>
  <si>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</si>
  <si>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r>
      <t>千裕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</si>
  <si>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</si>
  <si>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 xml:space="preserve">梨酒; 青稞酒;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蜂蜜酒</t>
    </r>
  </si>
  <si>
    <r>
      <t>原起妙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</si>
  <si>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尹月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</si>
  <si>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威士忌; 青梅酒; 白酒; 露酒;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清酒; 果酒</t>
    </r>
  </si>
  <si>
    <t>RR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</si>
  <si>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普拉米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</si>
  <si>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白酒</t>
    </r>
  </si>
  <si>
    <r>
      <t>赶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奔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</si>
  <si>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春达商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</si>
  <si>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葡萄酒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</si>
  <si>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商道</t>
    </r>
  </si>
  <si>
    <r>
      <t>句容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</si>
  <si>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白酒; 白葡萄酒; 果酒</t>
    </r>
  </si>
  <si>
    <r>
      <t>春城大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</si>
  <si>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舆县</t>
    </r>
    <r>
      <rPr>
        <sz val="11"/>
        <color theme="1"/>
        <rFont val="ＭＳ Ｐゴシック"/>
        <family val="3"/>
        <charset val="128"/>
        <scheme val="minor"/>
      </rPr>
      <t>李保民商店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</si>
  <si>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汽酒;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</si>
  <si>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星璀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</si>
  <si>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威士忌;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</si>
  <si>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璀璨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</si>
  <si>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</si>
  <si>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首密佰草春</t>
  </si>
  <si>
    <r>
      <t>辉县</t>
    </r>
    <r>
      <rPr>
        <sz val="11"/>
        <color theme="1"/>
        <rFont val="ＭＳ Ｐゴシック"/>
        <family val="3"/>
        <charset val="128"/>
        <scheme val="minor"/>
      </rPr>
      <t>市新星商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</si>
  <si>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</si>
  <si>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帝河祖</t>
  </si>
  <si>
    <t>周迎梅</t>
  </si>
  <si>
    <r>
      <t>白酒;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</si>
  <si>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须</t>
    </r>
    <r>
      <rPr>
        <sz val="11"/>
        <color theme="1"/>
        <rFont val="ＭＳ Ｐゴシック"/>
        <family val="3"/>
        <charset val="128"/>
        <scheme val="minor"/>
      </rPr>
      <t>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</si>
  <si>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果酒（含酒精）; 清酒（日本米酒）; 烈酒; 葡萄酒; 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</si>
  <si>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天山煌</t>
  </si>
  <si>
    <r>
      <t>威士忌;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</si>
  <si>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</si>
  <si>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开胃酒; 烈酒</t>
    </r>
  </si>
  <si>
    <t>杏陵醉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</si>
  <si>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州双雄酒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</si>
  <si>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果酒（含酒精）; 葡萄酒; 黄酒; 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青稞酒</t>
    </r>
  </si>
  <si>
    <t>河德干</t>
  </si>
  <si>
    <r>
      <t>何德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</si>
  <si>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果酒;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</si>
  <si>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登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甲</t>
    </r>
  </si>
  <si>
    <t>万忠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</si>
  <si>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食用酒精;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果酒（含酒精）</t>
    </r>
  </si>
  <si>
    <r>
      <t>果不果</t>
    </r>
    <r>
      <rPr>
        <sz val="11"/>
        <color theme="1"/>
        <rFont val="ＭＳ Ｐゴシック"/>
        <family val="3"/>
        <charset val="134"/>
        <scheme val="minor"/>
      </rPr>
      <t>赖</t>
    </r>
  </si>
  <si>
    <r>
      <t>四川果不果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</si>
  <si>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食用酒精;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</si>
  <si>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事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</si>
  <si>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白酒; 酸酒（低等葡萄酒）;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果酒（含酒精）; 开胃酒</t>
    </r>
  </si>
  <si>
    <t>今善元</t>
  </si>
  <si>
    <r>
      <t>广州佰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</si>
  <si>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威士忌;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白酒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</si>
  <si>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·普利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</si>
  <si>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莞圣佰利酒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</si>
  <si>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</t>
    </r>
  </si>
  <si>
    <t>醺代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</si>
  <si>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昌市魏都区出使百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</si>
  <si>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食用酒精; 米酒;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</si>
  <si>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昆好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</si>
  <si>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乾隆江南酒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</si>
  <si>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</si>
  <si>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M 孟状元金尊</t>
  </si>
  <si>
    <r>
      <t>衡水孟状元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</si>
  <si>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</si>
  <si>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囍盈年</t>
  </si>
  <si>
    <r>
      <t>葡萄酒; 黄酒; 果酒; 白酒; 米酒; 梅酒; 果酒（含酒精）;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</si>
  <si>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ANDTWENTYONE</t>
  </si>
  <si>
    <r>
      <t>和合廿一品牌咨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</si>
  <si>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 xml:space="preserve">青稞酒;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</si>
  <si>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裕君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妍</t>
    </r>
  </si>
  <si>
    <r>
      <t>青海裕君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</si>
  <si>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高粱酒; 白干酒（中国白酒）;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烈酒</t>
    </r>
  </si>
  <si>
    <r>
      <t>西湖</t>
    </r>
    <r>
      <rPr>
        <sz val="11"/>
        <color theme="1"/>
        <rFont val="ＭＳ Ｐゴシック"/>
        <family val="3"/>
        <charset val="134"/>
        <scheme val="minor"/>
      </rPr>
      <t>闻莺</t>
    </r>
  </si>
  <si>
    <t>韩杨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</si>
  <si>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混合威士忌酒; 果酒（含酒精）;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</si>
  <si>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米酒;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</si>
  <si>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</si>
  <si>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濮阳市开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区直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</si>
  <si>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t>高粱酒; 威士忌; 清酒（日本米酒）; 米酒; 果酒; 葡萄酒; 白酒; 果酒（含酒精）; 黄酒; 露酒</t>
  </si>
  <si>
    <t>清青岭</t>
  </si>
  <si>
    <t>北海市清大青数字科技有限公司</t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</si>
  <si>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</si>
  <si>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苗街巷</t>
  </si>
  <si>
    <r>
      <t>广州苗湘村酒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</si>
  <si>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</t>
    </r>
  </si>
  <si>
    <t>毛三囍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</si>
  <si>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州隆隆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</si>
  <si>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黄酒</t>
    </r>
  </si>
  <si>
    <r>
      <t>醺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</si>
  <si>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</si>
  <si>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早庄酒</t>
  </si>
  <si>
    <r>
      <t>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果酒（含酒精）; 清酒;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</si>
  <si>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大烹子</t>
  </si>
  <si>
    <t>仝玉峰</t>
  </si>
  <si>
    <r>
      <t>果酒（含酒精）;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</si>
  <si>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使命者</t>
  </si>
  <si>
    <r>
      <t>秦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</si>
  <si>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</si>
  <si>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回榕江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</si>
  <si>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涟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</si>
  <si>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</si>
  <si>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掌八荒</t>
  </si>
  <si>
    <r>
      <t>练</t>
    </r>
    <r>
      <rPr>
        <sz val="11"/>
        <color theme="1"/>
        <rFont val="ＭＳ Ｐゴシック"/>
        <family val="3"/>
        <charset val="128"/>
        <scheme val="minor"/>
      </rPr>
      <t>俊柳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</si>
  <si>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</si>
  <si>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凤连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</si>
  <si>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青稞酒;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</si>
  <si>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潭</t>
    </r>
  </si>
  <si>
    <t>刘莉</t>
  </si>
  <si>
    <r>
      <t xml:space="preserve">朗姆酒; 白葡萄酒; 清酒（日本米酒）;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伏特加酒; 米酒</t>
    </r>
  </si>
  <si>
    <t>原起妙品</t>
  </si>
  <si>
    <r>
      <t>清酒; 果酒; 青梅酒; 白酒;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露酒</t>
    </r>
  </si>
  <si>
    <t>坊爵</t>
  </si>
  <si>
    <t>周罕******************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</si>
  <si>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米酒; 蒸煮提取物（利口酒和烈酒）; 高粱酒; 露酒; 果酒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</si>
  <si>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</si>
  <si>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石群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</si>
  <si>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</si>
  <si>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梁竣王</t>
  </si>
  <si>
    <t>王志成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</si>
  <si>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</si>
  <si>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r>
      <t>繁</t>
    </r>
    <r>
      <rPr>
        <sz val="11"/>
        <color theme="1"/>
        <rFont val="ＭＳ Ｐゴシック"/>
        <family val="3"/>
        <charset val="134"/>
        <scheme val="minor"/>
      </rPr>
      <t>华满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</si>
  <si>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>白酒; 葡萄酒;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</si>
  <si>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侍藏</t>
  </si>
  <si>
    <r>
      <t>谢韦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</si>
  <si>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苹果酒; 白酒;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</si>
  <si>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巨</t>
    </r>
  </si>
  <si>
    <t>金允磊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</si>
  <si>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威士忌; 果酒; 烈酒</t>
    </r>
  </si>
  <si>
    <t>二山两</t>
  </si>
  <si>
    <r>
      <t>毛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</si>
  <si>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果酒（含酒精）;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</si>
  <si>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突明泉星湖</t>
  </si>
  <si>
    <t>贾晓辉</t>
  </si>
  <si>
    <r>
      <t>威士忌;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蒸煮提取物（利口酒和烈酒）; 米酒; 黄酒;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</si>
  <si>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勇聊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</si>
  <si>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鲸呐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</si>
  <si>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果酒（含酒精）;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</t>
    </r>
  </si>
  <si>
    <t>洪妙</t>
  </si>
  <si>
    <r>
      <t>洪雅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庙镇</t>
    </r>
    <r>
      <rPr>
        <sz val="11"/>
        <color theme="1"/>
        <rFont val="ＭＳ Ｐゴシック"/>
        <family val="3"/>
        <charset val="128"/>
        <scheme val="minor"/>
      </rPr>
      <t>雅醇酒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</si>
  <si>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烈酒; 高粱酒; 白酒; 青稞酒; 葡萄酒;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</si>
  <si>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何氏碧</t>
  </si>
  <si>
    <r>
      <t>四川何氏清香酒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</si>
  <si>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</si>
  <si>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薥一薥久</t>
  </si>
  <si>
    <r>
      <t>四川蜀一蜀久酒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</si>
  <si>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米酒; 开胃酒</t>
    </r>
  </si>
  <si>
    <t>酌虎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</si>
  <si>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开胃酒; 果酒（含酒精）;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</si>
  <si>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九条路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</si>
  <si>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奇食品加工有限公司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</si>
  <si>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白酒; 食用酒精</t>
    </r>
  </si>
  <si>
    <t>毛小旦</t>
  </si>
  <si>
    <r>
      <t>司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</si>
  <si>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</si>
  <si>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·卡本内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</si>
  <si>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</si>
  <si>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容大坤</t>
  </si>
  <si>
    <t>于敏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</si>
  <si>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利口酒;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</si>
  <si>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林</t>
    </r>
  </si>
  <si>
    <t>金炳云******************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</si>
  <si>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甜果酒; 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</si>
  <si>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诗经</t>
    </r>
    <r>
      <rPr>
        <sz val="11"/>
        <color theme="1"/>
        <rFont val="ＭＳ Ｐゴシック"/>
        <family val="3"/>
        <charset val="128"/>
        <scheme val="minor"/>
      </rPr>
      <t>尹吉甫</t>
    </r>
  </si>
  <si>
    <r>
      <t>诗经</t>
    </r>
    <r>
      <rPr>
        <sz val="11"/>
        <color theme="1"/>
        <rFont val="ＭＳ Ｐゴシック"/>
        <family val="3"/>
        <charset val="128"/>
        <scheme val="minor"/>
      </rPr>
      <t>采薇文化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</si>
  <si>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 xml:space="preserve">米酒; 青稞酒;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</si>
  <si>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暖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</si>
  <si>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>宁夏昊</t>
    </r>
    <r>
      <rPr>
        <sz val="11"/>
        <color theme="1"/>
        <rFont val="ＭＳ Ｐゴシック"/>
        <family val="3"/>
        <charset val="134"/>
        <scheme val="minor"/>
      </rPr>
      <t>远联动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</si>
  <si>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</si>
  <si>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猫爵世家</t>
  </si>
  <si>
    <r>
      <t>北京前</t>
    </r>
    <r>
      <rPr>
        <sz val="11"/>
        <color theme="1"/>
        <rFont val="ＭＳ Ｐゴシック"/>
        <family val="3"/>
        <charset val="134"/>
        <scheme val="minor"/>
      </rPr>
      <t>营晓</t>
    </r>
    <r>
      <rPr>
        <sz val="11"/>
        <color theme="1"/>
        <rFont val="ＭＳ Ｐゴシック"/>
        <family val="3"/>
        <charset val="128"/>
        <scheme val="minor"/>
      </rPr>
      <t>苑文化有限公司</t>
    </r>
  </si>
  <si>
    <t>白酒; 黄酒; 开胃酒; 米酒; 清酒（日本米酒）; 葡萄酒; 果酒（含酒精）; 含酒精的气泡水</t>
  </si>
  <si>
    <t>翠微南江河</t>
  </si>
  <si>
    <r>
      <t>镇</t>
    </r>
    <r>
      <rPr>
        <sz val="11"/>
        <color theme="1"/>
        <rFont val="ＭＳ Ｐゴシック"/>
        <family val="3"/>
        <charset val="128"/>
        <scheme val="minor"/>
      </rPr>
      <t>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曙河小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</si>
  <si>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</si>
  <si>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t>起厝</t>
  </si>
  <si>
    <t>深圳市海田湖科技有限公司</t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</si>
  <si>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</si>
  <si>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玻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</si>
  <si>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湖北稻禾盛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</si>
  <si>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</si>
  <si>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青仲密湑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</si>
  <si>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州众鑫城市物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</si>
  <si>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</t>
    </r>
  </si>
  <si>
    <r>
      <t>滇厂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</si>
  <si>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浩晟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</si>
  <si>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餐后酒（利口酒和烈酒）;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</si>
  <si>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谷川溪</t>
  </si>
  <si>
    <t>周佳宇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</si>
  <si>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柑香酒; 蜂蜜酒;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</si>
  <si>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HABANAGUBA</t>
  </si>
  <si>
    <r>
      <t>张</t>
    </r>
    <r>
      <rPr>
        <sz val="11"/>
        <color theme="1"/>
        <rFont val="ＭＳ Ｐゴシック"/>
        <family val="3"/>
        <charset val="128"/>
        <scheme val="minor"/>
      </rPr>
      <t>倬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</si>
  <si>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</si>
  <si>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</si>
  <si>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巢勇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</si>
  <si>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</si>
  <si>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</si>
  <si>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威士忌; 黄酒;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</si>
  <si>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GOLD CIKARIA</t>
  </si>
  <si>
    <r>
      <t>泛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</si>
  <si>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</si>
  <si>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浪流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</si>
  <si>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古艾德（厦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</si>
  <si>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餐后酒（利口酒和烈酒）;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</si>
  <si>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膳博士沈</t>
    </r>
    <r>
      <rPr>
        <sz val="11"/>
        <color theme="1"/>
        <rFont val="ＭＳ Ｐゴシック"/>
        <family val="3"/>
        <charset val="134"/>
        <scheme val="minor"/>
      </rPr>
      <t>荡饭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</si>
  <si>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浙江青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食品股份有限公司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</si>
  <si>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葡萄酒; 果酒（含酒精）</t>
    </r>
  </si>
  <si>
    <t>山禾美朝露</t>
  </si>
  <si>
    <t>有匠心品（上海）品牌管理有限公司</t>
  </si>
  <si>
    <r>
      <t xml:space="preserve">威士忌; 米酒; 黄酒; 烈酒;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</si>
  <si>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客家脉</t>
  </si>
  <si>
    <r>
      <t>陈</t>
    </r>
    <r>
      <rPr>
        <sz val="11"/>
        <color theme="1"/>
        <rFont val="ＭＳ Ｐゴシック"/>
        <family val="3"/>
        <charset val="128"/>
        <scheme val="minor"/>
      </rPr>
      <t>培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</si>
  <si>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</si>
  <si>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九州扁</t>
    </r>
    <r>
      <rPr>
        <sz val="11"/>
        <color theme="1"/>
        <rFont val="ＭＳ Ｐゴシック"/>
        <family val="3"/>
        <charset val="134"/>
        <scheme val="minor"/>
      </rPr>
      <t>鹊</t>
    </r>
  </si>
  <si>
    <t>李洋</t>
  </si>
  <si>
    <r>
      <t xml:space="preserve">高粱酒; 黄酒; 青梅酒; 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</si>
  <si>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山禾美以慷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</si>
  <si>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烈酒; 果酒（含酒精）;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</si>
  <si>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翁心羽</t>
    </r>
  </si>
  <si>
    <r>
      <t>河南宝溪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</si>
  <si>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</si>
  <si>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京河水之都</t>
  </si>
  <si>
    <r>
      <t>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</si>
  <si>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白酒; 青稞酒; 果酒（含酒精）; 葡萄酒;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</si>
  <si>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朴心志</t>
  </si>
  <si>
    <t>黄吴平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</si>
  <si>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</si>
  <si>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敬安理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</si>
  <si>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</si>
  <si>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</si>
  <si>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上博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</si>
  <si>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</si>
  <si>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伏特加酒; 黄酒; 食用酒精; 威士忌;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</si>
  <si>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大丑怪</t>
  </si>
  <si>
    <r>
      <t>烟台莎莉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</si>
  <si>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</si>
  <si>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治美尊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</si>
  <si>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</si>
  <si>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威士忌;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</si>
  <si>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福禄自在</t>
  </si>
  <si>
    <t>北京酒香天下科技有限公司</t>
  </si>
  <si>
    <r>
      <t>清酒（日本米酒）; 开胃酒; 黄酒; 烈酒;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</si>
  <si>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物适口珍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</si>
  <si>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州迎黔科技有限公司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</si>
  <si>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白干酒（中国白酒）; 高粱酒; 白酒; 葡萄酒; 食用酒精</t>
    </r>
  </si>
  <si>
    <r>
      <t>彩悦</t>
    </r>
    <r>
      <rPr>
        <sz val="11"/>
        <color theme="1"/>
        <rFont val="ＭＳ Ｐゴシック"/>
        <family val="3"/>
        <charset val="134"/>
        <scheme val="minor"/>
      </rPr>
      <t>荟轩</t>
    </r>
  </si>
  <si>
    <t>祝建芳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</si>
  <si>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白干酒（中国白酒）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</si>
  <si>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南湖畔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</si>
  <si>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久一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</si>
  <si>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</t>
    </r>
  </si>
  <si>
    <t>和美良友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</si>
  <si>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州冠之国酒文化有限公司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</si>
  <si>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</si>
  <si>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品御</t>
    </r>
    <r>
      <rPr>
        <sz val="11"/>
        <color theme="1"/>
        <rFont val="ＭＳ Ｐゴシック"/>
        <family val="3"/>
        <charset val="134"/>
        <scheme val="minor"/>
      </rPr>
      <t>赐稣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</si>
  <si>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巧云******************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</si>
  <si>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</t>
    </r>
  </si>
  <si>
    <r>
      <t>礼和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</si>
  <si>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</si>
  <si>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</si>
  <si>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淮安瑞福得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</si>
  <si>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</si>
  <si>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卓昇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</si>
  <si>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新材料科技有限公司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</si>
  <si>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</si>
  <si>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豪君醉</t>
  </si>
  <si>
    <r>
      <t>邓业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</si>
  <si>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果酒（含酒精）; 利口酒;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</si>
  <si>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皆佑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</si>
  <si>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</si>
  <si>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绣绅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</si>
  <si>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杭州酌蒲萄跨境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</si>
  <si>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白酒; 加烈葡萄酒;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</si>
  <si>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养庚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</si>
  <si>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白山</t>
    </r>
  </si>
  <si>
    <r>
      <t>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</si>
  <si>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9"/>
        <scheme val="minor"/>
      </rPr>
      <t>怀</t>
    </r>
  </si>
  <si>
    <t>陆锡扬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</si>
  <si>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威士忌</t>
    </r>
  </si>
  <si>
    <r>
      <t>酩</t>
    </r>
    <r>
      <rPr>
        <sz val="11"/>
        <color theme="1"/>
        <rFont val="ＭＳ Ｐゴシック"/>
        <family val="3"/>
        <charset val="134"/>
        <scheme val="minor"/>
      </rPr>
      <t>绵绵</t>
    </r>
  </si>
  <si>
    <r>
      <t>白酒; 黄酒; 高粱酒;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</t>
    </r>
  </si>
  <si>
    <t>久居天泉</t>
  </si>
  <si>
    <t>衣妮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</si>
  <si>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白干酒（中国白酒）; 高粱酒</t>
    </r>
  </si>
  <si>
    <r>
      <t>天启</t>
    </r>
    <r>
      <rPr>
        <sz val="11"/>
        <color theme="1"/>
        <rFont val="ＭＳ Ｐゴシック"/>
        <family val="3"/>
        <charset val="134"/>
        <scheme val="minor"/>
      </rPr>
      <t>遗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</si>
  <si>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白干酒（中国白酒）;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</si>
  <si>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</si>
  <si>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</si>
  <si>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青稞酒</t>
    </r>
  </si>
  <si>
    <r>
      <t>山禾美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</si>
  <si>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果酒;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</t>
    </r>
  </si>
  <si>
    <t>丰粮福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</si>
  <si>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米酒; 伏特加酒</t>
    </r>
  </si>
  <si>
    <r>
      <t>国玖玖坊（山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</si>
  <si>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开胃酒; 黄酒; 米酒; 食用酒精; 白酒; 蜂蜜酒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</si>
  <si>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</si>
  <si>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</si>
  <si>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t>椰小悟呢</t>
  </si>
  <si>
    <r>
      <t>湖南省三上影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</si>
  <si>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</si>
  <si>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定国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</si>
  <si>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露酒;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甜酒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</si>
  <si>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湘子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</si>
  <si>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甜酒;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</t>
    </r>
  </si>
  <si>
    <r>
      <t xml:space="preserve">HS 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善黔程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</si>
  <si>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善世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</si>
  <si>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米酒;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</si>
  <si>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巴迪高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</si>
  <si>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沙巴迪高品牌管理有限公司</t>
    </r>
  </si>
  <si>
    <r>
      <t xml:space="preserve">葡萄酒; 米酒; 清酒（日本米酒）;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</si>
  <si>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鸣鸣</t>
    </r>
    <r>
      <rPr>
        <sz val="11"/>
        <color theme="1"/>
        <rFont val="ＭＳ Ｐゴシック"/>
        <family val="3"/>
        <charset val="128"/>
        <scheme val="minor"/>
      </rPr>
      <t>很忙商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</si>
  <si>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</si>
  <si>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黑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</si>
  <si>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沙超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</si>
  <si>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</si>
  <si>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山地数字牛</t>
  </si>
  <si>
    <t>广州市宇云信息科技有限公司</t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</si>
  <si>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</si>
  <si>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北地胭脂</t>
  </si>
  <si>
    <r>
      <t>山西狂客酒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</si>
  <si>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</si>
  <si>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渐</t>
    </r>
    <r>
      <rPr>
        <sz val="11"/>
        <color theme="1"/>
        <rFont val="ＭＳ Ｐゴシック"/>
        <family val="3"/>
        <charset val="128"/>
        <scheme val="minor"/>
      </rPr>
      <t>喜</t>
    </r>
  </si>
  <si>
    <t>周峰******************</t>
  </si>
  <si>
    <r>
      <t>葡萄酒; 白酒; 蜂蜜酒;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威士忌;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</si>
  <si>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兰飨</t>
  </si>
  <si>
    <r>
      <t>西安婷婷家餐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</si>
  <si>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日式甜米酒;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</si>
  <si>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荆乡见</t>
  </si>
  <si>
    <r>
      <t>杨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</si>
  <si>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米酒; 葡萄酒; 果酒;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</si>
  <si>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果然法</t>
    </r>
    <r>
      <rPr>
        <sz val="11"/>
        <color theme="1"/>
        <rFont val="ＭＳ Ｐゴシック"/>
        <family val="3"/>
        <charset val="134"/>
        <scheme val="minor"/>
      </rPr>
      <t>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</si>
  <si>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</si>
  <si>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</si>
  <si>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宜浦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</si>
  <si>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</si>
  <si>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民民公社</t>
  </si>
  <si>
    <r>
      <t>四川人民公社供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</si>
  <si>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</si>
  <si>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鼎</t>
    </r>
  </si>
  <si>
    <t>李蓓蓓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</si>
  <si>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白酒</t>
    </r>
  </si>
  <si>
    <t>潜水艇光耀</t>
  </si>
  <si>
    <r>
      <t>柏瑞</t>
    </r>
    <r>
      <rPr>
        <sz val="11"/>
        <color theme="1"/>
        <rFont val="ＭＳ Ｐゴシック"/>
        <family val="3"/>
        <charset val="134"/>
        <scheme val="minor"/>
      </rPr>
      <t>润兴</t>
    </r>
    <r>
      <rPr>
        <sz val="11"/>
        <color theme="1"/>
        <rFont val="ＭＳ Ｐゴシック"/>
        <family val="3"/>
        <charset val="128"/>
        <scheme val="minor"/>
      </rPr>
      <t>(北京)科技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</si>
  <si>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白酒; 清酒; 果酒; 苹果酒; 黄酒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</si>
  <si>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翃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花令</t>
    </r>
  </si>
  <si>
    <t>祁雪梅</t>
  </si>
  <si>
    <r>
      <t>葡萄酒; 果酒（含酒精）; 清酒; 利口酒;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</si>
  <si>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湖南省河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力量品牌管理有限公司</t>
    </r>
  </si>
  <si>
    <r>
      <t xml:space="preserve">果酒（含酒精）; 葡萄酒;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</si>
  <si>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蜂蜜酒; 葡萄酒</t>
    </r>
  </si>
  <si>
    <r>
      <t>梁厂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</si>
  <si>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封</t>
    </r>
    <r>
      <rPr>
        <sz val="11"/>
        <color theme="1"/>
        <rFont val="ＭＳ Ｐゴシック"/>
        <family val="3"/>
        <charset val="134"/>
        <scheme val="minor"/>
      </rPr>
      <t>韦铭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</si>
  <si>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餐后酒（利口酒和烈酒）; 米酒</t>
    </r>
  </si>
  <si>
    <t>宏昌达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</si>
  <si>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宏昌餐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</si>
  <si>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青梅酒; 开胃酒; 白酒;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</si>
  <si>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盖世文武</t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</si>
  <si>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</si>
  <si>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得斛得福</t>
  </si>
  <si>
    <t>霍山得斛得福生物科技有限公司</t>
  </si>
  <si>
    <r>
      <t xml:space="preserve">高粱酒; 果酒（含酒精）; 苦艾酒;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利口酒;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</si>
  <si>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香吉佐</t>
    </r>
    <r>
      <rPr>
        <sz val="11"/>
        <color theme="1"/>
        <rFont val="ＭＳ Ｐゴシック"/>
        <family val="3"/>
        <charset val="134"/>
        <scheme val="minor"/>
      </rPr>
      <t>馔</t>
    </r>
  </si>
  <si>
    <t>王志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</si>
  <si>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</si>
  <si>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春茸集</t>
  </si>
  <si>
    <t>郭珊玫</t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</si>
  <si>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梨酒; 葡萄酒; 米酒; 白酒; 果酒（含酒精）; 黄酒</t>
    </r>
  </si>
  <si>
    <t>史官</t>
  </si>
  <si>
    <t>王永青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</si>
  <si>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</si>
  <si>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山水入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</si>
  <si>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安徽山水入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</si>
  <si>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</si>
  <si>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盗月者</t>
  </si>
  <si>
    <t>盗月者酒庄股份有限公司</t>
  </si>
  <si>
    <r>
      <t>起泡白葡萄酒;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阿蒙蒂拉多白葡萄酒; 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</si>
  <si>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马总动员</t>
    </r>
  </si>
  <si>
    <r>
      <t>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</si>
  <si>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</si>
  <si>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伞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</si>
  <si>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王府酒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</si>
  <si>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</si>
  <si>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阿帕</t>
    </r>
    <r>
      <rPr>
        <sz val="11"/>
        <color theme="1"/>
        <rFont val="ＭＳ Ｐゴシック"/>
        <family val="3"/>
        <charset val="134"/>
        <scheme val="minor"/>
      </rPr>
      <t>卢萨</t>
    </r>
  </si>
  <si>
    <r>
      <t>烟台商源酒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</si>
  <si>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</si>
  <si>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斧</t>
    </r>
    <r>
      <rPr>
        <sz val="11"/>
        <color theme="1"/>
        <rFont val="ＭＳ Ｐゴシック"/>
        <family val="3"/>
        <charset val="134"/>
        <scheme val="minor"/>
      </rPr>
      <t>鱼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</si>
  <si>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华纲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</si>
  <si>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青稞酒</t>
    </r>
  </si>
  <si>
    <r>
      <t>御花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</si>
  <si>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</si>
  <si>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倒百福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</si>
  <si>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</si>
  <si>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筵</t>
    </r>
  </si>
  <si>
    <r>
      <t>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</si>
  <si>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泓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</si>
  <si>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泓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中医有限公司</t>
    </r>
  </si>
  <si>
    <r>
      <t>米酒; 果酒（含酒精）; 朗姆酒; 蜂蜜酒; 苦艾酒;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清酒</t>
    </r>
  </si>
  <si>
    <t>封万代</t>
  </si>
  <si>
    <r>
      <t>谢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</si>
  <si>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果酒</t>
    </r>
  </si>
  <si>
    <t>MUSNGL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</si>
  <si>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食用酒精; 米酒;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</si>
  <si>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肆拾玖坊喜字瓶</t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</si>
  <si>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</si>
  <si>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</si>
  <si>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正脉宝塔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</si>
  <si>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国威酒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</si>
  <si>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高粱酒; 蜂蜜酒;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青梅酒;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</si>
  <si>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九零欧巴</t>
  </si>
  <si>
    <r>
      <t>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</si>
  <si>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</t>
    </r>
  </si>
  <si>
    <t>柏香林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</si>
  <si>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州知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</si>
  <si>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</si>
  <si>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直</t>
    </r>
    <r>
      <rPr>
        <sz val="11"/>
        <color theme="1"/>
        <rFont val="ＭＳ Ｐゴシック"/>
        <family val="3"/>
        <charset val="134"/>
        <scheme val="minor"/>
      </rPr>
      <t>阅</t>
    </r>
  </si>
  <si>
    <r>
      <t>河南中娃文化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媒研究中心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</si>
  <si>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</t>
    </r>
  </si>
  <si>
    <r>
      <t>大任庄津味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</si>
  <si>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天津市西青区大黑碗餐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</si>
  <si>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果酒（含酒精）;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薄荷酒; 米酒; 黄酒</t>
    </r>
  </si>
  <si>
    <t>仙毛</t>
  </si>
  <si>
    <r>
      <t>席道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</si>
  <si>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</si>
  <si>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酌侯</t>
  </si>
  <si>
    <t>李柯昶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</si>
  <si>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葡萄酒; 果酒;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</si>
  <si>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望海听涛</t>
  </si>
  <si>
    <r>
      <t>和平海洋餐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</si>
  <si>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白酒</t>
    </r>
  </si>
  <si>
    <r>
      <t>青稞酒; 果酒; 蜂蜜酒;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青梅酒; 食用酒精; 水果汽酒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</si>
  <si>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荣超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</si>
  <si>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</si>
  <si>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爆雷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</si>
  <si>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微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客超市管理有限公司</t>
    </r>
  </si>
  <si>
    <r>
      <t>威士忌; 白酒; 黄酒; 蒸煮提取物（利口酒和烈酒）;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</t>
    </r>
  </si>
  <si>
    <t>肆拾玖坊礼敬四方</t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</si>
  <si>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</si>
  <si>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天地祥禾</t>
  </si>
  <si>
    <r>
      <t>山西九州文化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</si>
  <si>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白酒; 果酒（含酒精）</t>
    </r>
  </si>
  <si>
    <t>豫晋隆</t>
  </si>
  <si>
    <r>
      <t>山西豫晋隆商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</si>
  <si>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草莓酒; 黄酒; 白酒; 苹果酒; 高粱酒; 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</si>
  <si>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玉一生</t>
    </r>
  </si>
  <si>
    <r>
      <t>中海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利（海南）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</si>
  <si>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开胃酒; 米酒;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</si>
  <si>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无酩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</si>
  <si>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闻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</si>
  <si>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开胃酒;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</si>
  <si>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姐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</si>
  <si>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卖</t>
    </r>
    <r>
      <rPr>
        <sz val="11"/>
        <color theme="1"/>
        <rFont val="ＭＳ Ｐゴシック"/>
        <family val="3"/>
        <charset val="128"/>
        <scheme val="minor"/>
      </rPr>
      <t>菜婆商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</si>
  <si>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</si>
  <si>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京糟玖</t>
  </si>
  <si>
    <r>
      <t>陈</t>
    </r>
    <r>
      <rPr>
        <sz val="11"/>
        <color theme="1"/>
        <rFont val="ＭＳ Ｐゴシック"/>
        <family val="3"/>
        <charset val="128"/>
        <scheme val="minor"/>
      </rPr>
      <t>秋霞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</si>
  <si>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黄酒</t>
    </r>
  </si>
  <si>
    <r>
      <t>穗穗荣</t>
    </r>
    <r>
      <rPr>
        <sz val="11"/>
        <color theme="1"/>
        <rFont val="ＭＳ Ｐゴシック"/>
        <family val="3"/>
        <charset val="134"/>
        <scheme val="minor"/>
      </rPr>
      <t>华</t>
    </r>
  </si>
  <si>
    <t>姜文旺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</si>
  <si>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</si>
  <si>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竹影栖烟</t>
  </si>
  <si>
    <r>
      <t>赵</t>
    </r>
    <r>
      <rPr>
        <sz val="11"/>
        <color theme="1"/>
        <rFont val="ＭＳ Ｐゴシック"/>
        <family val="3"/>
        <charset val="128"/>
        <scheme val="minor"/>
      </rPr>
      <t>加良</t>
    </r>
  </si>
  <si>
    <r>
      <t>白干酒（中国白酒）; 露酒;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</si>
  <si>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王小柔</t>
  </si>
  <si>
    <r>
      <t>刘</t>
    </r>
    <r>
      <rPr>
        <sz val="11"/>
        <color theme="1"/>
        <rFont val="ＭＳ Ｐゴシック"/>
        <family val="3"/>
        <charset val="134"/>
        <scheme val="minor"/>
      </rPr>
      <t>书华</t>
    </r>
  </si>
  <si>
    <r>
      <t>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</t>
    </r>
  </si>
  <si>
    <r>
      <t>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厦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</si>
  <si>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</si>
  <si>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肆拾玖坊和敬四方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</si>
  <si>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</si>
  <si>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裕世神州</t>
  </si>
  <si>
    <t>毛宁</t>
  </si>
  <si>
    <r>
      <t>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五加皮酒（中国混合烈酒）;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果酒（含酒精）; 葡萄酒</t>
    </r>
  </si>
  <si>
    <r>
      <t>肆拾玖坊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敬四方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</si>
  <si>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</si>
  <si>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孝琴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</si>
  <si>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孝琴</t>
    </r>
  </si>
  <si>
    <r>
      <t>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</si>
  <si>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胖丫丫吴圩味道</t>
  </si>
  <si>
    <t>王宗格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</si>
  <si>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</si>
  <si>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BUYUK MARSHAL </t>
    </r>
    <r>
      <rPr>
        <sz val="11"/>
        <color theme="1"/>
        <rFont val="ＭＳ Ｐゴシック"/>
        <family val="3"/>
        <charset val="134"/>
        <scheme val="minor"/>
      </rPr>
      <t>卟</t>
    </r>
    <r>
      <rPr>
        <sz val="11"/>
        <color theme="1"/>
        <rFont val="ＭＳ Ｐゴシック"/>
        <family val="3"/>
        <charset val="128"/>
        <scheme val="minor"/>
      </rPr>
      <t>玉客㐷而</t>
    </r>
    <r>
      <rPr>
        <sz val="11"/>
        <color theme="1"/>
        <rFont val="ＭＳ Ｐゴシック"/>
        <family val="3"/>
        <charset val="134"/>
        <scheme val="minor"/>
      </rPr>
      <t>纱</t>
    </r>
  </si>
  <si>
    <r>
      <t>艾沙木吨·</t>
    </r>
    <r>
      <rPr>
        <sz val="11"/>
        <color theme="1"/>
        <rFont val="ＭＳ Ｐゴシック"/>
        <family val="3"/>
        <charset val="134"/>
        <scheme val="minor"/>
      </rPr>
      <t>买买</t>
    </r>
    <r>
      <rPr>
        <sz val="11"/>
        <color theme="1"/>
        <rFont val="ＭＳ Ｐゴシック"/>
        <family val="3"/>
        <charset val="128"/>
        <scheme val="minor"/>
      </rPr>
      <t>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</si>
  <si>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葡萄酒; 朗姆酒;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</si>
  <si>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亳御坊</t>
  </si>
  <si>
    <r>
      <t>陈</t>
    </r>
    <r>
      <rPr>
        <sz val="11"/>
        <color theme="1"/>
        <rFont val="ＭＳ Ｐゴシック"/>
        <family val="3"/>
        <charset val="128"/>
        <scheme val="minor"/>
      </rPr>
      <t>相国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</si>
  <si>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白酒; 果酒;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</si>
  <si>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世志禾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</si>
  <si>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世志禾商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</si>
  <si>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</si>
  <si>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</si>
  <si>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</si>
  <si>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</si>
  <si>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漫步</t>
    </r>
  </si>
  <si>
    <r>
      <t>良造甄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</si>
  <si>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米酒; 苹果酒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</si>
  <si>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芙韵</t>
    </r>
  </si>
  <si>
    <r>
      <t>勃帝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</si>
  <si>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果酒（含酒精）; 威士忌</t>
    </r>
  </si>
  <si>
    <t>初小川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</si>
  <si>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黄酒; 开胃酒; 葡萄酒; 白酒;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</si>
  <si>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奇迹小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</si>
  <si>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</si>
  <si>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</si>
  <si>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南楼</t>
    </r>
  </si>
  <si>
    <r>
      <t>胡文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</si>
  <si>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青稞酒; 葡萄酒</t>
    </r>
  </si>
  <si>
    <t>尊古将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</si>
  <si>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甘蔗制烈酒</t>
    </r>
  </si>
  <si>
    <r>
      <t>房陵</t>
    </r>
    <r>
      <rPr>
        <sz val="11"/>
        <color theme="1"/>
        <rFont val="ＭＳ Ｐゴシック"/>
        <family val="3"/>
        <charset val="134"/>
        <scheme val="minor"/>
      </rPr>
      <t>谣</t>
    </r>
  </si>
  <si>
    <t>孟开利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</si>
  <si>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露酒;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</si>
  <si>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梅岭天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</si>
  <si>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南昌市怡景旅游投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</si>
  <si>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烈酒; 水果汽酒; 葡萄酒</t>
    </r>
  </si>
  <si>
    <t>淮工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</si>
  <si>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</si>
  <si>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清酒（日本米酒）; 白酒; 果酒（含酒精）;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</si>
  <si>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的运舍</t>
  </si>
  <si>
    <r>
      <t>黄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</si>
  <si>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</si>
  <si>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r>
      <t>来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</si>
  <si>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何振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</si>
  <si>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</si>
  <si>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PUUGUU</t>
  </si>
  <si>
    <t>叶建荣</t>
  </si>
  <si>
    <r>
      <t xml:space="preserve">白酒;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</si>
  <si>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斯</t>
    </r>
  </si>
  <si>
    <r>
      <t xml:space="preserve">葡萄酒; 威士忌; 米酒; 伏特加酒;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</si>
  <si>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厚福来</t>
  </si>
  <si>
    <r>
      <t>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</si>
  <si>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清酒; 米酒</t>
    </r>
  </si>
  <si>
    <t>紫控</t>
  </si>
  <si>
    <t>云南品斛堂生物科技有限公司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</si>
  <si>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</si>
  <si>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河山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</si>
  <si>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</si>
  <si>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定养添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</si>
  <si>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开胃酒; 汽酒; 青稞酒; 黄酒; 食用酒精; 蜂蜜酒</t>
    </r>
  </si>
  <si>
    <t>潼江湖</t>
  </si>
  <si>
    <r>
      <t>鲁</t>
    </r>
    <r>
      <rPr>
        <sz val="11"/>
        <color theme="1"/>
        <rFont val="ＭＳ Ｐゴシック"/>
        <family val="3"/>
        <charset val="128"/>
        <scheme val="minor"/>
      </rPr>
      <t>俊豪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</si>
  <si>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蒸煮提取物（利口酒和烈酒）</t>
    </r>
  </si>
  <si>
    <t>杜来咪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</si>
  <si>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州新盛利建筑工程有限公司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</si>
  <si>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含酒精的气泡水; 果酒（含酒精）; 开胃酒; 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</si>
  <si>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麓棠之恋</t>
  </si>
  <si>
    <r>
      <t>四川中允企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</si>
  <si>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苹果酒;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果酒（含酒精）; 甜酒; 青稞酒</t>
    </r>
  </si>
  <si>
    <r>
      <t>小傲宜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</si>
  <si>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小傲江湖数字科技江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</si>
  <si>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伏特加酒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</si>
  <si>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艾格格</t>
    </r>
  </si>
  <si>
    <r>
      <t>江西翼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健康科技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</si>
  <si>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</si>
  <si>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紫麒麟小珍</t>
    </r>
    <r>
      <rPr>
        <sz val="11"/>
        <color theme="1"/>
        <rFont val="ＭＳ Ｐゴシック"/>
        <family val="3"/>
        <charset val="134"/>
        <scheme val="minor"/>
      </rPr>
      <t>补</t>
    </r>
  </si>
  <si>
    <r>
      <t>西安迪迪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</si>
  <si>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</t>
    </r>
  </si>
  <si>
    <t>携手黔行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</si>
  <si>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州黔酒出山文化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</si>
  <si>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</si>
  <si>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镜轩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</si>
  <si>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</si>
  <si>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</si>
  <si>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杏卧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</si>
  <si>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山西杏花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</si>
  <si>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</t>
    </r>
  </si>
  <si>
    <t>永文</t>
  </si>
  <si>
    <r>
      <t>青海夏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</si>
  <si>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果酒（含酒精）; 薄荷酒;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汽酒;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</si>
  <si>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酝师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</si>
  <si>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葡萄酒; 清酒（日本米酒）;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</si>
  <si>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千草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</si>
  <si>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薄守</t>
    </r>
    <r>
      <rPr>
        <sz val="11"/>
        <color theme="1"/>
        <rFont val="ＭＳ Ｐゴシック"/>
        <family val="3"/>
        <charset val="134"/>
        <scheme val="minor"/>
      </rPr>
      <t>东</t>
    </r>
  </si>
  <si>
    <t>黄酒; 清酒; 葡萄酒; 白酒; 汽酒; 威士忌; 米酒; 果酒; 甜酒; 草本型利口酒</t>
  </si>
  <si>
    <t>坤洚</t>
  </si>
  <si>
    <r>
      <t>罗</t>
    </r>
    <r>
      <rPr>
        <sz val="11"/>
        <color theme="1"/>
        <rFont val="ＭＳ Ｐゴシック"/>
        <family val="3"/>
        <charset val="128"/>
        <scheme val="minor"/>
      </rPr>
      <t>崇孝</t>
    </r>
  </si>
  <si>
    <r>
      <t>威士忌;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青稞酒; 白酒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</si>
  <si>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清</t>
    </r>
  </si>
  <si>
    <t>裴希薇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</si>
  <si>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</si>
  <si>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震昌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</si>
  <si>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威士忌; 伏特加酒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</si>
  <si>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邑人</t>
    </r>
  </si>
  <si>
    <t>闫庆华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</si>
  <si>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</si>
  <si>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麻正堂</t>
  </si>
  <si>
    <r>
      <t>河南麻正堂医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</si>
  <si>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开胃酒;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</si>
  <si>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显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</si>
  <si>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青稞酒; 开胃酒; 米酒; 黄酒; 蜂蜜酒</t>
    </r>
  </si>
  <si>
    <t>荷秘台</t>
  </si>
  <si>
    <r>
      <t>刘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</si>
  <si>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</si>
  <si>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途</t>
    </r>
  </si>
  <si>
    <t>焦尚昌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</si>
  <si>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</si>
  <si>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康莎莎</t>
  </si>
  <si>
    <r>
      <t>宁蒗金谷商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</si>
  <si>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青稞酒; 米酒; 白酒</t>
  </si>
  <si>
    <t>KUANYUZHAI</t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</si>
  <si>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顽</t>
    </r>
    <r>
      <rPr>
        <sz val="11"/>
        <color theme="1"/>
        <rFont val="ＭＳ Ｐゴシック"/>
        <family val="3"/>
        <charset val="128"/>
        <scheme val="minor"/>
      </rPr>
      <t>石广告有限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</si>
  <si>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</si>
  <si>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醉月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</si>
  <si>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四川众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慧成企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</si>
  <si>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含酒精的气泡水; 开胃酒</t>
    </r>
  </si>
  <si>
    <t>卺相和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</si>
  <si>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沙索迪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</si>
  <si>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蜂蜜酒; 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苦味酒; 清酒（日本米酒）; 威士忌; 葡萄酒</t>
    </r>
  </si>
  <si>
    <t>曲中景</t>
  </si>
  <si>
    <t>周梦茹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</si>
  <si>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</si>
  <si>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</si>
  <si>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含酒精的气泡水;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</si>
  <si>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哲博</t>
  </si>
  <si>
    <r>
      <t>正安哲博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</si>
  <si>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清酒;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烈酒; 白酒; 甜酒; 葡萄酒</t>
    </r>
  </si>
  <si>
    <t>滋庄</t>
  </si>
  <si>
    <t>袁雪杰</t>
  </si>
  <si>
    <t>汽酒; 威士忌; 清酒; 葡萄酒; 甜酒; 黄酒; 草本型利口酒; 白酒; 果酒; 米酒</t>
  </si>
  <si>
    <r>
      <t>赣</t>
    </r>
    <r>
      <rPr>
        <sz val="11"/>
        <color theme="1"/>
        <rFont val="ＭＳ Ｐゴシック"/>
        <family val="3"/>
        <charset val="128"/>
        <scheme val="minor"/>
      </rPr>
      <t>得香</t>
    </r>
  </si>
  <si>
    <r>
      <t>浙江荷塘</t>
    </r>
    <r>
      <rPr>
        <sz val="11"/>
        <color theme="1"/>
        <rFont val="ＭＳ Ｐゴシック"/>
        <family val="3"/>
        <charset val="134"/>
        <scheme val="minor"/>
      </rPr>
      <t>码头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</si>
  <si>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利口酒; 葡萄酒; 威士忌</t>
    </r>
  </si>
  <si>
    <t>康巴旺堆</t>
  </si>
  <si>
    <t>王素香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</si>
  <si>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</si>
  <si>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t>常青筑梦</t>
  </si>
  <si>
    <r>
      <t>高亦安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</si>
  <si>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</si>
  <si>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T 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</si>
  <si>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</si>
  <si>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</si>
  <si>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</si>
  <si>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爱屿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</si>
  <si>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四川名</t>
    </r>
    <r>
      <rPr>
        <sz val="11"/>
        <color theme="1"/>
        <rFont val="ＭＳ Ｐゴシック"/>
        <family val="3"/>
        <charset val="134"/>
        <scheme val="minor"/>
      </rPr>
      <t>亿爱屿</t>
    </r>
    <r>
      <rPr>
        <sz val="11"/>
        <color theme="1"/>
        <rFont val="ＭＳ Ｐゴシック"/>
        <family val="3"/>
        <charset val="128"/>
        <scheme val="minor"/>
      </rPr>
      <t>家食品科技有限公司</t>
    </r>
  </si>
  <si>
    <r>
      <t xml:space="preserve">果酒; 黄酒;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</t>
    </r>
  </si>
  <si>
    <t>金柔大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</si>
  <si>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果酒（含酒精）; 葡萄酒; 清酒（日本米酒）; 伏特加酒</t>
    </r>
  </si>
  <si>
    <t>湘点美</t>
  </si>
  <si>
    <r>
      <t>陈</t>
    </r>
    <r>
      <rPr>
        <sz val="11"/>
        <color theme="1"/>
        <rFont val="ＭＳ Ｐゴシック"/>
        <family val="3"/>
        <charset val="128"/>
        <scheme val="minor"/>
      </rPr>
      <t>佩卿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</si>
  <si>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清酒（日本米酒）; 黄酒; 葡萄酒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</si>
  <si>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熙美 HEALTHY ME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</si>
  <si>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凤韩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</si>
  <si>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苹果酒; 蜂蜜酒; 白酒; 青稞酒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</si>
  <si>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婷姐</t>
    </r>
  </si>
  <si>
    <t>雷雁婷</t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</si>
  <si>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清酒; 米酒</t>
    </r>
  </si>
  <si>
    <t>礼窖美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</si>
  <si>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</si>
  <si>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柔大</t>
    </r>
  </si>
  <si>
    <r>
      <t>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</si>
  <si>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柔酒大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</si>
  <si>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</si>
  <si>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郭仕望</t>
  </si>
  <si>
    <r>
      <t>魏</t>
    </r>
    <r>
      <rPr>
        <sz val="11"/>
        <color theme="1"/>
        <rFont val="ＭＳ Ｐゴシック"/>
        <family val="3"/>
        <charset val="134"/>
        <scheme val="minor"/>
      </rPr>
      <t>县诚</t>
    </r>
    <r>
      <rPr>
        <sz val="11"/>
        <color theme="1"/>
        <rFont val="ＭＳ Ｐゴシック"/>
        <family val="3"/>
        <charset val="128"/>
        <scheme val="minor"/>
      </rPr>
      <t>之道种植有限公司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</si>
  <si>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黄酒; 葡萄酒; 梨酒; 米酒; 蜂蜜酒; 果酒（含酒精）</t>
    </r>
  </si>
  <si>
    <t>爱亩</t>
  </si>
  <si>
    <r>
      <t>陆</t>
    </r>
    <r>
      <rPr>
        <sz val="11"/>
        <color theme="1"/>
        <rFont val="ＭＳ Ｐゴシック"/>
        <family val="3"/>
        <charset val="128"/>
        <scheme val="minor"/>
      </rPr>
      <t>丰市国粮米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</si>
  <si>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</si>
  <si>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斛运林藏</t>
  </si>
  <si>
    <r>
      <t>罗</t>
    </r>
    <r>
      <rPr>
        <sz val="11"/>
        <color theme="1"/>
        <rFont val="ＭＳ Ｐゴシック"/>
        <family val="3"/>
        <charset val="128"/>
        <scheme val="minor"/>
      </rPr>
      <t>金云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</si>
  <si>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</si>
  <si>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t>香邦</t>
  </si>
  <si>
    <t>吴正</t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</si>
  <si>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</si>
  <si>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芝秀</t>
    </r>
  </si>
  <si>
    <t>海南荣力灵芝生物科技有限公司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</si>
  <si>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</si>
  <si>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梁肉</t>
    </r>
    <r>
      <rPr>
        <sz val="11"/>
        <color theme="1"/>
        <rFont val="ＭＳ Ｐゴシック"/>
        <family val="3"/>
        <charset val="134"/>
        <scheme val="minor"/>
      </rPr>
      <t>樱</t>
    </r>
  </si>
  <si>
    <t>梁玉英</t>
  </si>
  <si>
    <r>
      <t>葡萄酒; 米酒;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</si>
  <si>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御昌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</si>
  <si>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果酒（含酒精）; 清酒; 米酒;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</si>
  <si>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沈田莘</t>
  </si>
  <si>
    <r>
      <t xml:space="preserve">葡萄酒; 白酒; 伏特加酒; 威士忌;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</si>
  <si>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刘黔冠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</si>
  <si>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市众味多餐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</si>
  <si>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</si>
  <si>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家人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</si>
  <si>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</si>
  <si>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川安泊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</si>
  <si>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肃马</t>
    </r>
    <r>
      <rPr>
        <sz val="11"/>
        <color theme="1"/>
        <rFont val="ＭＳ Ｐゴシック"/>
        <family val="3"/>
        <charset val="128"/>
        <scheme val="minor"/>
      </rPr>
      <t>安蘭餐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</si>
  <si>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</si>
  <si>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伟军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</si>
  <si>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黄酒</t>
    </r>
  </si>
  <si>
    <t>楚文公</t>
  </si>
  <si>
    <t>潘明君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</si>
  <si>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</si>
  <si>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榕城古韵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</si>
  <si>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州硒思美酒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</si>
  <si>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利口酒; 清酒（日本米酒）;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苹果酒; 白酒</t>
    </r>
  </si>
  <si>
    <t>釜江湖</t>
  </si>
  <si>
    <t>靳涵宇</t>
  </si>
  <si>
    <r>
      <t>白酒; 米酒;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</si>
  <si>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索江湖</t>
  </si>
  <si>
    <r>
      <t>冯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</si>
  <si>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</si>
  <si>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韵川</t>
    </r>
  </si>
  <si>
    <r>
      <t>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</si>
  <si>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泉井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</si>
  <si>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婕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</si>
  <si>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伏特加酒;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</si>
  <si>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御蝉大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</si>
  <si>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</si>
  <si>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昌来</t>
    </r>
    <r>
      <rPr>
        <sz val="11"/>
        <color theme="1"/>
        <rFont val="ＭＳ Ｐゴシック"/>
        <family val="3"/>
        <charset val="134"/>
        <scheme val="minor"/>
      </rPr>
      <t>尝乐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</si>
  <si>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</si>
  <si>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</si>
  <si>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神秘元气</t>
  </si>
  <si>
    <t>黄春平</t>
  </si>
  <si>
    <t>甜酒; 汽酒; 白酒; 威士忌; 果酒; 草本型利口酒; 清酒; 葡萄酒; 黄酒; 米酒</t>
  </si>
  <si>
    <r>
      <t>贡</t>
    </r>
    <r>
      <rPr>
        <sz val="11"/>
        <color theme="1"/>
        <rFont val="ＭＳ Ｐゴシック"/>
        <family val="3"/>
        <charset val="128"/>
        <scheme val="minor"/>
      </rPr>
      <t>青三彩</t>
    </r>
  </si>
  <si>
    <r>
      <t>沈丘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青三彩陶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</si>
  <si>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茴香酒（利口酒）;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</si>
  <si>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</si>
  <si>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深圳市健坤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</si>
  <si>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白干酒（中国白酒）;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含酒精的气泡水</t>
    </r>
  </si>
  <si>
    <t>享耍</t>
  </si>
  <si>
    <r>
      <t>四川天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</si>
  <si>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日式甜米酒; 清酒（日本米酒）; 米酒;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</si>
  <si>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林健健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</si>
  <si>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</si>
  <si>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高粱酒; 甜酒; 青稞酒; 白酒; 蜂蜜酒;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五加皮酒（中国混合烈酒）;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刺五加酒</t>
    </r>
  </si>
  <si>
    <r>
      <t>玄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</si>
  <si>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</si>
  <si>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苹果酒;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</si>
  <si>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小粱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</si>
  <si>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清酒（日本米酒）;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</si>
  <si>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送喜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</si>
  <si>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东伟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</si>
  <si>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</si>
  <si>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柔雅大·柔雅福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</si>
  <si>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</t>
    </r>
  </si>
  <si>
    <t>柔雅大·柔雅美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</si>
  <si>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清酒（日本米酒）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</si>
  <si>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柔大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</si>
  <si>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伏特加酒;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</si>
  <si>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亨禄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</si>
  <si>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米酒</t>
    </r>
  </si>
  <si>
    <r>
      <t>半月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</si>
  <si>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程金</t>
    </r>
    <r>
      <rPr>
        <sz val="11"/>
        <color theme="1"/>
        <rFont val="ＭＳ Ｐゴシック"/>
        <family val="3"/>
        <charset val="134"/>
        <scheme val="minor"/>
      </rPr>
      <t>砖</t>
    </r>
  </si>
  <si>
    <t>白干酒（中国白酒）; 清酒; 高粱酒; 葡萄酒; 黄酒; 开胃酒; 米酒; 白葡萄酒; 利口酒; 威士忌</t>
  </si>
  <si>
    <t>王靖源</t>
  </si>
  <si>
    <t>王俊宇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</si>
  <si>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食用酒精; 白酒; 黄酒; 利口酒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</si>
  <si>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柔大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</si>
  <si>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</si>
  <si>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棘本色</t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</si>
  <si>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</si>
  <si>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t>赤黔天下</t>
  </si>
  <si>
    <t>史秋吓</t>
  </si>
  <si>
    <r>
      <t>果酒（含酒精）;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</si>
  <si>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里侠</t>
    </r>
  </si>
  <si>
    <r>
      <t>海南海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</si>
  <si>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清酒;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</t>
    </r>
  </si>
  <si>
    <t>阿什白</t>
  </si>
  <si>
    <r>
      <t>吉林市川香酒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</si>
  <si>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</si>
  <si>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t>粮坊主</t>
  </si>
  <si>
    <t>宋君桃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</si>
  <si>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</si>
  <si>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朝老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</si>
  <si>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朝匠酒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</si>
  <si>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清酒（日本米酒）; 果酒（含酒精）; 白酒</t>
    </r>
  </si>
  <si>
    <t>酒先蜂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</si>
  <si>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州玲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</si>
  <si>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</si>
  <si>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入然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</si>
  <si>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野人文化科技有限公司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</si>
  <si>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苹果酒; 清酒（日本米酒）; 葡萄酒; 梨酒; 米酒; 青稞酒; 果酒（含酒精）; 蜂蜜酒</t>
    </r>
  </si>
  <si>
    <t>厚福泉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</si>
  <si>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</si>
  <si>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三瓮粮</t>
  </si>
  <si>
    <r>
      <t>山西新憧憬文化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</si>
  <si>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梨酒; 米酒</t>
    </r>
  </si>
  <si>
    <r>
      <t>梅韵醇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</si>
  <si>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宁波天虹舜楚商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</si>
  <si>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</si>
  <si>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</si>
  <si>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何宗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</si>
  <si>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蒸煮提取物（利口酒和烈酒）; 黄酒</t>
    </r>
  </si>
  <si>
    <t>沂蒙伯</t>
  </si>
  <si>
    <r>
      <t>高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</si>
  <si>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</si>
  <si>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云大重</t>
    </r>
  </si>
  <si>
    <r>
      <t>尹俊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</si>
  <si>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高粱酒; 白酒; 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</si>
  <si>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味台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</si>
  <si>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白酒</t>
    </r>
  </si>
  <si>
    <t>黎方刀不老</t>
  </si>
  <si>
    <r>
      <t>马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</si>
  <si>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米酒; 开胃酒;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</si>
  <si>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江伙夫</t>
    </r>
  </si>
  <si>
    <r>
      <t>茅箭区</t>
    </r>
    <r>
      <rPr>
        <sz val="11"/>
        <color theme="1"/>
        <rFont val="ＭＳ Ｐゴシック"/>
        <family val="3"/>
        <charset val="134"/>
        <scheme val="minor"/>
      </rPr>
      <t>红鱼电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</si>
  <si>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</si>
  <si>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谷坊主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</si>
  <si>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</si>
  <si>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遵匠梦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</si>
  <si>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州内藏臻淳酒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</si>
  <si>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苹果酒; 葡萄酒; 露酒</t>
    </r>
  </si>
  <si>
    <t>遵匠世家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</si>
  <si>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果酒（含酒精）; 葡萄酒; 餐后酒（利口酒和烈酒）</t>
    </r>
  </si>
  <si>
    <r>
      <t>川蓉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耕坊</t>
    </r>
  </si>
  <si>
    <t>周林</t>
  </si>
  <si>
    <r>
      <t>黄酒;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</si>
  <si>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碧露</t>
    </r>
  </si>
  <si>
    <r>
      <t xml:space="preserve">薄荷酒;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草莓酒; 高粱酒; 水果汽酒; 白酒; 葡萄酒; 米酒</t>
    </r>
  </si>
  <si>
    <t>前江湾</t>
  </si>
  <si>
    <r>
      <t>舒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市前江湾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</si>
  <si>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白酒; 威士忌; 黄酒; 清酒;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</si>
  <si>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</si>
  <si>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黄浩</t>
    </r>
    <r>
      <rPr>
        <sz val="11"/>
        <color theme="1"/>
        <rFont val="ＭＳ Ｐゴシック"/>
        <family val="3"/>
        <charset val="134"/>
        <scheme val="minor"/>
      </rPr>
      <t>东</t>
    </r>
  </si>
  <si>
    <t>米酒; 黄酒; 草本型利口酒; 甜酒; 威士忌; 白酒; 葡萄酒; 果酒; 清酒; 汽酒</t>
  </si>
  <si>
    <t>利口酒; 清酒; 高粱酒; 葡萄酒; 威士忌; 米酒; 黄酒; 白葡萄酒; 开胃酒; 白干酒（中国白酒）</t>
  </si>
  <si>
    <r>
      <t>东</t>
    </r>
    <r>
      <rPr>
        <sz val="11"/>
        <color theme="1"/>
        <rFont val="ＭＳ Ｐゴシック"/>
        <family val="3"/>
        <charset val="128"/>
        <scheme val="minor"/>
      </rPr>
      <t>皇店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</si>
  <si>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州黔萃园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</si>
  <si>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葡萄酒</t>
    </r>
  </si>
  <si>
    <r>
      <t>澜贡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</si>
  <si>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黎富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</si>
  <si>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葡萄酒</t>
    </r>
  </si>
  <si>
    <t>封冠</t>
  </si>
  <si>
    <r>
      <t>湖南酒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</si>
  <si>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</si>
  <si>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白九潭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</si>
  <si>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开胃酒; 白酒</t>
    </r>
  </si>
  <si>
    <t>楚清江</t>
  </si>
  <si>
    <r>
      <t>宜都市醉知己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售商行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</si>
  <si>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米酒; 黄酒; 高粱酒; 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</si>
  <si>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桃源儿女</t>
  </si>
  <si>
    <r>
      <t>宋族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</si>
  <si>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</si>
  <si>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吴百夫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</si>
  <si>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南京百夫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</si>
  <si>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米酒; 汽酒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</si>
  <si>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身坊国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</si>
  <si>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甜酒;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果酒; 清酒</t>
    </r>
  </si>
  <si>
    <t>泉泓李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</si>
  <si>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</t>
    </r>
  </si>
  <si>
    <r>
      <t>遂</t>
    </r>
    <r>
      <rPr>
        <sz val="11"/>
        <color theme="1"/>
        <rFont val="ＭＳ Ｐゴシック"/>
        <family val="3"/>
        <charset val="134"/>
        <scheme val="minor"/>
      </rPr>
      <t>岿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</si>
  <si>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门钥</t>
    </r>
    <r>
      <rPr>
        <sz val="11"/>
        <color theme="1"/>
        <rFont val="ＭＳ Ｐゴシック"/>
        <family val="3"/>
        <charset val="128"/>
        <scheme val="minor"/>
      </rPr>
      <t>匙科技有限公司</t>
    </r>
  </si>
  <si>
    <r>
      <t>薄荷酒; 汽酒; 食用酒精; 蜂蜜酒;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</si>
  <si>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鹃</t>
    </r>
    <r>
      <rPr>
        <sz val="11"/>
        <color theme="1"/>
        <rFont val="ＭＳ Ｐゴシック"/>
        <family val="3"/>
        <charset val="128"/>
        <scheme val="minor"/>
      </rPr>
      <t>彝家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</si>
  <si>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</t>
    </r>
    <r>
      <rPr>
        <sz val="11"/>
        <color theme="1"/>
        <rFont val="ＭＳ Ｐゴシック"/>
        <family val="3"/>
        <charset val="134"/>
        <scheme val="minor"/>
      </rPr>
      <t>润农业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</si>
  <si>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</si>
  <si>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梦帝</t>
    </r>
  </si>
  <si>
    <r>
      <t>滕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</si>
  <si>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</si>
  <si>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穗心果</t>
  </si>
  <si>
    <r>
      <t>唐山市丰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区奇</t>
    </r>
    <r>
      <rPr>
        <sz val="11"/>
        <color theme="1"/>
        <rFont val="ＭＳ Ｐゴシック"/>
        <family val="3"/>
        <charset val="134"/>
        <scheme val="minor"/>
      </rPr>
      <t>发缘</t>
    </r>
    <r>
      <rPr>
        <sz val="11"/>
        <color theme="1"/>
        <rFont val="ＭＳ Ｐゴシック"/>
        <family val="3"/>
        <charset val="128"/>
        <scheme val="minor"/>
      </rPr>
      <t>油沙豆种植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</si>
  <si>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黄酒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</si>
  <si>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王国</t>
    </r>
  </si>
  <si>
    <t>尹万里</t>
  </si>
  <si>
    <r>
      <t>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白干酒（中国白酒）;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</si>
  <si>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彩京坊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</si>
  <si>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州台老大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</si>
  <si>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清酒（日本米酒）</t>
    </r>
  </si>
  <si>
    <t>御金亭</t>
  </si>
  <si>
    <r>
      <t>湖南湘陶坊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</si>
  <si>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</si>
  <si>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注醉三河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</si>
  <si>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</t>
    </r>
  </si>
  <si>
    <t>郝味丰</t>
  </si>
  <si>
    <r>
      <t>鄢炉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</si>
  <si>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</si>
  <si>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庄园</t>
    </r>
  </si>
  <si>
    <t>四川郎酒股份有限公司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</si>
  <si>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烈酒; 黄酒</t>
    </r>
  </si>
  <si>
    <t>暖阳如初</t>
  </si>
  <si>
    <r>
      <t>龚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</si>
  <si>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汽酒;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</si>
  <si>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礼仕民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</si>
  <si>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州名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能源科技有限公司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</si>
  <si>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</si>
  <si>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著和</t>
    </r>
  </si>
  <si>
    <t>杜金柱******************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</si>
  <si>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</si>
  <si>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海明众惠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</si>
  <si>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海韵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萌生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</si>
  <si>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</si>
  <si>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嘉洲府</t>
  </si>
  <si>
    <r>
      <t>孙</t>
    </r>
    <r>
      <rPr>
        <sz val="11"/>
        <color theme="1"/>
        <rFont val="ＭＳ Ｐゴシック"/>
        <family val="3"/>
        <charset val="128"/>
        <scheme val="minor"/>
      </rPr>
      <t>耀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</si>
  <si>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佐餐酒; 烈酒; 葡萄酒; 伏特加酒;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</si>
  <si>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伴</t>
    </r>
    <r>
      <rPr>
        <sz val="11"/>
        <color theme="1"/>
        <rFont val="ＭＳ Ｐゴシック"/>
        <family val="3"/>
        <charset val="134"/>
        <scheme val="minor"/>
      </rPr>
      <t>侣鹤</t>
    </r>
  </si>
  <si>
    <r>
      <t>夏</t>
    </r>
    <r>
      <rPr>
        <sz val="11"/>
        <color theme="1"/>
        <rFont val="ＭＳ Ｐゴシック"/>
        <family val="3"/>
        <charset val="129"/>
        <scheme val="minor"/>
      </rPr>
      <t>强强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</si>
  <si>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</si>
  <si>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</si>
  <si>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四川新源</t>
    </r>
    <r>
      <rPr>
        <sz val="11"/>
        <color theme="1"/>
        <rFont val="ＭＳ Ｐゴシック"/>
        <family val="3"/>
        <charset val="134"/>
        <scheme val="minor"/>
      </rPr>
      <t>华泽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</si>
  <si>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果酒（含酒精）; 开胃酒; 米酒; 酒; 食用酒精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</si>
  <si>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</si>
  <si>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东华谦时</t>
    </r>
    <r>
      <rPr>
        <sz val="11"/>
        <color theme="1"/>
        <rFont val="ＭＳ Ｐゴシック"/>
        <family val="3"/>
        <charset val="128"/>
        <scheme val="minor"/>
      </rPr>
      <t>代科技有限公司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</si>
  <si>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</si>
  <si>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MOSHANG VINI</t>
  </si>
  <si>
    <t>深圳市敦鼎健康科技有限公司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</si>
  <si>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果酒; 青梅酒; 利口酒; 威士忌; 清酒; 白酒</t>
    </r>
  </si>
  <si>
    <t>合金亭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</si>
  <si>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威士忌; 果酒（含酒精）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</si>
  <si>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金亭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</si>
  <si>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</si>
  <si>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百姓众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</si>
  <si>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区真甄百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</si>
  <si>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威士忌; 米酒; 黄酒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</si>
  <si>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人雄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</si>
  <si>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酸酒（低等葡萄酒）;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</t>
    </r>
  </si>
  <si>
    <t>玉舌尖</t>
  </si>
  <si>
    <r>
      <t>玉舌尖（河北）食品生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</si>
  <si>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清酒;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</si>
  <si>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草堂</t>
    </r>
  </si>
  <si>
    <t>蔡兵</t>
  </si>
  <si>
    <t>葡萄酒; 威士忌; 清酒; 汽酒; 草本型利口酒; 白酒; 黄酒; 果酒; 甜酒; 米酒</t>
  </si>
  <si>
    <r>
      <t>宋梦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</si>
  <si>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钟泽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</si>
  <si>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黄酒; 米酒;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</si>
  <si>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麟福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</si>
  <si>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</si>
  <si>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致九州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</si>
  <si>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果酒（含酒精）; 白酒; 开胃酒; 清酒（日本米酒）; 威士忌; 黄酒</t>
    </r>
  </si>
  <si>
    <r>
      <t>贰</t>
    </r>
    <r>
      <rPr>
        <sz val="11"/>
        <color theme="1"/>
        <rFont val="ＭＳ Ｐゴシック"/>
        <family val="3"/>
        <charset val="128"/>
        <scheme val="minor"/>
      </rPr>
      <t>开</t>
    </r>
  </si>
  <si>
    <r>
      <t>台州莫争文化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</si>
  <si>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威士忌; 白酒; 米酒</t>
    </r>
  </si>
  <si>
    <r>
      <t>佬粮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</si>
  <si>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倩倩</t>
    </r>
  </si>
  <si>
    <r>
      <t xml:space="preserve">青梅酒; 白酒; 梅酒; 高粱酒; 甜酒; 果酒; 苹果酒;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</si>
  <si>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德利</t>
    </r>
  </si>
  <si>
    <r>
      <t>烟台棕</t>
    </r>
    <r>
      <rPr>
        <sz val="11"/>
        <color theme="1"/>
        <rFont val="ＭＳ Ｐゴシック"/>
        <family val="3"/>
        <charset val="134"/>
        <scheme val="minor"/>
      </rPr>
      <t>榈树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</si>
  <si>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白酒; 葡萄酒;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</si>
  <si>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秘金亭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</si>
  <si>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香瑰宝酒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</si>
  <si>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黄酒; 葡萄酒</t>
    </r>
  </si>
  <si>
    <t>插兜老板</t>
  </si>
  <si>
    <t>徐会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</si>
  <si>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</si>
  <si>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生吾也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</si>
  <si>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粹文化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</si>
  <si>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清酒;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黄酒</t>
    </r>
  </si>
  <si>
    <t>KINGICA 金壹嘉</t>
  </si>
  <si>
    <r>
      <t>金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</si>
  <si>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白酒;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</t>
    </r>
  </si>
  <si>
    <t>海明嘉悦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</si>
  <si>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</si>
  <si>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海明惠众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</si>
  <si>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</si>
  <si>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暨</t>
    </r>
    <r>
      <rPr>
        <sz val="11"/>
        <color theme="1"/>
        <rFont val="ＭＳ Ｐゴシック"/>
        <family val="3"/>
        <charset val="128"/>
        <scheme val="minor"/>
      </rPr>
      <t>达三宝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</si>
  <si>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南堂医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</si>
  <si>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蜂蜜酒; 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黄酒; 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</si>
  <si>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均</t>
    </r>
  </si>
  <si>
    <r>
      <t>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</si>
  <si>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t>一代酩朝</t>
  </si>
  <si>
    <t>王惠粧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</si>
  <si>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果酒（含酒精）; 白酒; 黄酒;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</si>
  <si>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翠微</t>
    </r>
  </si>
  <si>
    <r>
      <t>宁夏福德麓供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</si>
  <si>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</si>
  <si>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博王子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</si>
  <si>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康惠宝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</si>
  <si>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</si>
  <si>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仁养方</t>
  </si>
  <si>
    <r>
      <t>香港葆元康健康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</si>
  <si>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黄酒; 苹果酒;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</si>
  <si>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守毅酒</t>
  </si>
  <si>
    <t>曾明青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</si>
  <si>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</si>
  <si>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承仙</t>
    </r>
  </si>
  <si>
    <t>于紫微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</si>
  <si>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黄酒; 蜂蜜酒;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</si>
  <si>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百乾</t>
    </r>
    <r>
      <rPr>
        <sz val="11"/>
        <color theme="1"/>
        <rFont val="ＭＳ Ｐゴシック"/>
        <family val="3"/>
        <charset val="134"/>
        <scheme val="minor"/>
      </rPr>
      <t>岁</t>
    </r>
  </si>
  <si>
    <t>李武林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</si>
  <si>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果酒; 黄酒</t>
    </r>
  </si>
  <si>
    <t>SINAVO</t>
  </si>
  <si>
    <t>黄振波</t>
  </si>
  <si>
    <r>
      <t xml:space="preserve">威士忌; 果酒（含酒精）; 黄酒; 苹果酒;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</si>
  <si>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顶见</t>
    </r>
  </si>
  <si>
    <r>
      <t>上海柘火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</si>
  <si>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汽酒; 白葡萄酒; 烈酒; 露酒</t>
    </r>
  </si>
  <si>
    <r>
      <t>绽</t>
    </r>
    <r>
      <rPr>
        <sz val="11"/>
        <color theme="1"/>
        <rFont val="ＭＳ Ｐゴシック"/>
        <family val="3"/>
        <charset val="128"/>
        <scheme val="minor"/>
      </rPr>
      <t>百里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</si>
  <si>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</si>
  <si>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威士忌;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果酒（含酒精）; 黄酒; 白酒; 高粱酒; 米酒; 葡萄酒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</si>
  <si>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稻夫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</si>
  <si>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</si>
  <si>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</si>
  <si>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富波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</si>
  <si>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</si>
  <si>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榕利</t>
  </si>
  <si>
    <r>
      <t>程文</t>
    </r>
    <r>
      <rPr>
        <sz val="11"/>
        <color theme="1"/>
        <rFont val="ＭＳ Ｐゴシック"/>
        <family val="3"/>
        <charset val="134"/>
        <scheme val="minor"/>
      </rPr>
      <t>锋</t>
    </r>
  </si>
  <si>
    <t>白酒; 甜酒; 草本型利口酒; 米酒; 威士忌; 清酒; 葡萄酒; 黄酒; 汽酒; 果酒</t>
  </si>
  <si>
    <r>
      <t>深圳市真雕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生用品有限公司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</si>
  <si>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</si>
  <si>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派</t>
    </r>
    <r>
      <rPr>
        <sz val="11"/>
        <color theme="1"/>
        <rFont val="ＭＳ Ｐゴシック"/>
        <family val="3"/>
        <charset val="134"/>
        <scheme val="minor"/>
      </rPr>
      <t>诗顿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</si>
  <si>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高粱酒; 威士忌; 葡萄酒; 甜酒</t>
    </r>
  </si>
  <si>
    <t>瑞得百福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</si>
  <si>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黄王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</si>
  <si>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</t>
    </r>
  </si>
  <si>
    <t>WIENIAWSKI</t>
  </si>
  <si>
    <r>
      <t>天津赫麟久</t>
    </r>
    <r>
      <rPr>
        <sz val="11"/>
        <color theme="1"/>
        <rFont val="ＭＳ Ｐゴシック"/>
        <family val="3"/>
        <charset val="134"/>
        <scheme val="minor"/>
      </rPr>
      <t>业进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</si>
  <si>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利口酒;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</t>
    </r>
  </si>
  <si>
    <t>晋百善</t>
  </si>
  <si>
    <t>薛炎虎</t>
  </si>
  <si>
    <r>
      <t>葡萄酒;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</si>
  <si>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首座古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</si>
  <si>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恒康酒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</si>
  <si>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葡萄酒; 白干酒（中国白酒）</t>
    </r>
  </si>
  <si>
    <t>皖祖皖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</si>
  <si>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清酒（日本米酒）</t>
    </r>
  </si>
  <si>
    <t>粮王皇</t>
  </si>
  <si>
    <r>
      <t xml:space="preserve">青梅酒; 葡萄酒; 甜酒; 清酒; 苹果酒; 高粱酒;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</si>
  <si>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t>彩仰坊</t>
  </si>
  <si>
    <r>
      <t>四川蜀国古坊酒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</si>
  <si>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</si>
  <si>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TANCLIFE</t>
  </si>
  <si>
    <r>
      <t>海南省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</si>
  <si>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清酒; 葡萄酒;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威士忌; 烈酒; 白酒</t>
    </r>
  </si>
  <si>
    <t>博奢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</si>
  <si>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军设计顾问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</si>
  <si>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</si>
  <si>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羊</t>
    </r>
    <r>
      <rPr>
        <sz val="11"/>
        <color theme="1"/>
        <rFont val="ＭＳ Ｐゴシック"/>
        <family val="3"/>
        <charset val="134"/>
        <scheme val="minor"/>
      </rPr>
      <t>驼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</si>
  <si>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</si>
  <si>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果酒（含酒精）; 黄酒; 白酒; 威士忌;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</si>
  <si>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金广</t>
  </si>
  <si>
    <r>
      <t>广安市广安区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</si>
  <si>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</si>
  <si>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t>鑫鹿元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</si>
  <si>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西鹿宴品道餐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</si>
  <si>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餐后酒（利口酒和烈酒）</t>
    </r>
  </si>
  <si>
    <t>佳摩</t>
  </si>
  <si>
    <r>
      <t>杨</t>
    </r>
    <r>
      <rPr>
        <sz val="11"/>
        <color theme="1"/>
        <rFont val="ＭＳ Ｐゴシック"/>
        <family val="3"/>
        <charset val="128"/>
        <scheme val="minor"/>
      </rPr>
      <t>素素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</si>
  <si>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黄酒; 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</si>
  <si>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梵祖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</si>
  <si>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</si>
  <si>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黟庄匠</t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</si>
  <si>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非</t>
    </r>
  </si>
  <si>
    <r>
      <t>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威士忌; 青稞酒; 米酒; 葡萄酒; 蜂蜜酒; 梨酒</t>
    </r>
  </si>
  <si>
    <t>宋金亭</t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</si>
  <si>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</si>
  <si>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盈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</si>
  <si>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</t>
    </r>
  </si>
  <si>
    <t>双阳印象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</si>
  <si>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春冠鹿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</si>
  <si>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汽酒; 葡萄酒; 利口酒;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</si>
  <si>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樽奢阳光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</si>
  <si>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餐后酒（利口酒和烈酒）; 白酒;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</si>
  <si>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圆</t>
    </r>
    <r>
      <rPr>
        <sz val="11"/>
        <color theme="1"/>
        <rFont val="ＭＳ Ｐゴシック"/>
        <family val="3"/>
        <charset val="129"/>
        <scheme val="minor"/>
      </rPr>
      <t>溹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</si>
  <si>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国玲</t>
    </r>
  </si>
  <si>
    <r>
      <t>果酒（含酒精）;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米酒</t>
    </r>
  </si>
  <si>
    <t>水流云在</t>
  </si>
  <si>
    <r>
      <t>承德市悦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</si>
  <si>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利口酒</t>
    </r>
  </si>
  <si>
    <t>晋享美好</t>
  </si>
  <si>
    <r>
      <t>山西北派黄酒酒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</si>
  <si>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黄酒; 蜂蜜酒</t>
    </r>
  </si>
  <si>
    <r>
      <t>颖</t>
    </r>
    <r>
      <rPr>
        <sz val="11"/>
        <color theme="1"/>
        <rFont val="ＭＳ Ｐゴシック"/>
        <family val="3"/>
        <charset val="128"/>
        <scheme val="minor"/>
      </rPr>
      <t>妃</t>
    </r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</si>
  <si>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金谷食品有限公司</t>
    </r>
  </si>
  <si>
    <r>
      <t xml:space="preserve">米酒; 黄酒; 露酒;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食用酒精;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</si>
  <si>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DIRI</t>
  </si>
  <si>
    <r>
      <t>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</si>
  <si>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百里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</si>
  <si>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</si>
  <si>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拉</t>
    </r>
  </si>
  <si>
    <r>
      <t>甜酒; 葡萄酒; 烈酒;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</si>
  <si>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二开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</si>
  <si>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伏特加酒; 朗姆酒;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</si>
  <si>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安井</t>
    </r>
  </si>
  <si>
    <t>王根</t>
  </si>
  <si>
    <r>
      <t>果酒（含酒精）; 汽酒;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高粱酒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</si>
  <si>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羽之印</t>
    </r>
  </si>
  <si>
    <t>吴俊健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</si>
  <si>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清酒; 葡萄酒; 米酒; 朗姆酒;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</si>
  <si>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千瓮醉</t>
  </si>
  <si>
    <r>
      <t>成都千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</si>
  <si>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</si>
  <si>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府酒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</si>
  <si>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</si>
  <si>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唐金亭</t>
  </si>
  <si>
    <r>
      <t xml:space="preserve">威士忌;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</si>
  <si>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t>下街仔</t>
  </si>
  <si>
    <r>
      <t>曾正</t>
    </r>
    <r>
      <rPr>
        <sz val="11"/>
        <color theme="1"/>
        <rFont val="ＭＳ Ｐゴシック"/>
        <family val="3"/>
        <charset val="134"/>
        <scheme val="minor"/>
      </rPr>
      <t>谋</t>
    </r>
  </si>
  <si>
    <r>
      <t>葡萄酒;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</t>
    </r>
  </si>
  <si>
    <t>首座古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</si>
  <si>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白干酒（中国白酒）; 高粱酒; 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</si>
  <si>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汉顶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陨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</si>
  <si>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台（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泰）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</si>
  <si>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</si>
  <si>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碧泉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</si>
  <si>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色科技有限公司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</si>
  <si>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开胃酒;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</t>
    </r>
  </si>
  <si>
    <t>甲金亭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</si>
  <si>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</t>
    </r>
  </si>
  <si>
    <t>龙腾纳财</t>
  </si>
  <si>
    <r>
      <t xml:space="preserve">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</si>
  <si>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绣爱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</si>
  <si>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江西云上</t>
    </r>
    <r>
      <rPr>
        <sz val="11"/>
        <color theme="1"/>
        <rFont val="ＭＳ Ｐゴシック"/>
        <family val="3"/>
        <charset val="134"/>
        <scheme val="minor"/>
      </rPr>
      <t>绣</t>
    </r>
    <r>
      <rPr>
        <sz val="11"/>
        <color theme="1"/>
        <rFont val="ＭＳ Ｐゴシック"/>
        <family val="3"/>
        <charset val="128"/>
        <scheme val="minor"/>
      </rPr>
      <t>原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</si>
  <si>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开胃酒; 梨酒; 杜松子酒;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米酒</t>
    </r>
  </si>
  <si>
    <r>
      <t>皖匠成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</si>
  <si>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东汉</t>
    </r>
    <r>
      <rPr>
        <sz val="11"/>
        <color theme="1"/>
        <rFont val="ＭＳ Ｐゴシック"/>
        <family val="3"/>
        <charset val="128"/>
        <scheme val="minor"/>
      </rPr>
      <t>将成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</si>
  <si>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</t>
    </r>
  </si>
  <si>
    <t>三珩淳裕</t>
  </si>
  <si>
    <r>
      <t>崔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</si>
  <si>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</si>
  <si>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丛乡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</si>
  <si>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平原德通商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</si>
  <si>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</si>
  <si>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虎哮酒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</si>
  <si>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清酒（日本米酒）; 果酒</t>
    </r>
  </si>
  <si>
    <t>中密王子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</si>
  <si>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</t>
    </r>
  </si>
  <si>
    <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</si>
  <si>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军军</t>
    </r>
  </si>
  <si>
    <r>
      <t xml:space="preserve">果酒（含酒精）; 伏特加酒; 米酒; 苦味酒;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</si>
  <si>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酬正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</si>
  <si>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深圳酬正文化有限公司</t>
    </r>
  </si>
  <si>
    <r>
      <t>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</si>
  <si>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蜀匠成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</si>
  <si>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</si>
  <si>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圈趣</t>
  </si>
  <si>
    <r>
      <t>浙江一路</t>
    </r>
    <r>
      <rPr>
        <sz val="11"/>
        <color theme="1"/>
        <rFont val="ＭＳ Ｐゴシック"/>
        <family val="3"/>
        <charset val="134"/>
        <scheme val="minor"/>
      </rPr>
      <t>乡见乡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</si>
  <si>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</si>
  <si>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彩陶神</t>
  </si>
  <si>
    <r>
      <t>清酒（日本米酒）; 伏特加酒; 食用酒精;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</si>
  <si>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进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</si>
  <si>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市江云</t>
    </r>
    <r>
      <rPr>
        <sz val="11"/>
        <color theme="1"/>
        <rFont val="ＭＳ Ｐゴシック"/>
        <family val="3"/>
        <charset val="134"/>
        <scheme val="minor"/>
      </rPr>
      <t>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</si>
  <si>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</si>
  <si>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马萨维诺</t>
  </si>
  <si>
    <r>
      <t>帕高葡萄酒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</si>
  <si>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佐餐酒; 汽酒;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</si>
  <si>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嘉海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</si>
  <si>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嘉海（嘉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</si>
  <si>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</si>
  <si>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 xml:space="preserve"> HONG YUN JIU YE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</si>
  <si>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</si>
  <si>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鑫金亭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</si>
  <si>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</si>
  <si>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名相御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</si>
  <si>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州仁信达商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</si>
  <si>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葡萄酒; 果酒（含酒精）; 青稞酒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</si>
  <si>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上加喜</t>
    </r>
  </si>
  <si>
    <t>洪志芬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</si>
  <si>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</si>
  <si>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</si>
  <si>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蒲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</si>
  <si>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沈阳蒲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佳食品科技有限公司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</si>
  <si>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</si>
  <si>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梁山</t>
    </r>
    <r>
      <rPr>
        <sz val="11"/>
        <color theme="1"/>
        <rFont val="ＭＳ Ｐゴシック"/>
        <family val="3"/>
        <charset val="134"/>
        <scheme val="minor"/>
      </rPr>
      <t>顶见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</si>
  <si>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加烈葡萄酒; 露酒; 葡萄酒; 汽酒;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</si>
  <si>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</si>
  <si>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高粱酒;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葡萄酒</t>
    </r>
  </si>
  <si>
    <t>中岦</t>
  </si>
  <si>
    <t>蒋春燕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</si>
  <si>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烈酒; 黄酒</t>
    </r>
  </si>
  <si>
    <t>携神</t>
  </si>
  <si>
    <r>
      <t>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</t>
    </r>
  </si>
  <si>
    <r>
      <t>星野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</si>
  <si>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名匠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</si>
  <si>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</si>
  <si>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聆笙文化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媒（北京）有限公司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</si>
  <si>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黄酒; 青稞酒</t>
    </r>
  </si>
  <si>
    <t>奥巴汗</t>
  </si>
  <si>
    <t>王海茹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</si>
  <si>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利口酒</t>
    </r>
  </si>
  <si>
    <r>
      <t>东桦</t>
    </r>
    <r>
      <rPr>
        <sz val="11"/>
        <color theme="1"/>
        <rFont val="ＭＳ Ｐゴシック"/>
        <family val="3"/>
        <charset val="128"/>
        <scheme val="minor"/>
      </rPr>
      <t>福康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</si>
  <si>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连东桦</t>
    </r>
    <r>
      <rPr>
        <sz val="11"/>
        <color theme="1"/>
        <rFont val="ＭＳ Ｐゴシック"/>
        <family val="3"/>
        <charset val="128"/>
        <scheme val="minor"/>
      </rPr>
      <t>福康生物科技有限公司</t>
    </r>
  </si>
  <si>
    <r>
      <t xml:space="preserve">利口酒; 米酒; 黄酒;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</si>
  <si>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冰甄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</si>
  <si>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明冲</t>
    </r>
  </si>
  <si>
    <t>果酒; 草本型利口酒; 白酒; 清酒; 黄酒; 葡萄酒; 甜酒; 威士忌; 米酒; 汽酒</t>
  </si>
  <si>
    <t>五福九州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</si>
  <si>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</si>
  <si>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葡萄酒;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</si>
  <si>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润焘</t>
  </si>
  <si>
    <r>
      <t>迈兴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</t>
    </r>
  </si>
  <si>
    <r>
      <t xml:space="preserve">果酒; 白酒; 烈酒; 葡萄酒; 黄酒; 佐餐酒;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</si>
  <si>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天一巷子</t>
  </si>
  <si>
    <r>
      <t>王立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</si>
  <si>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</si>
  <si>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宁波市鄞州区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民合作</t>
    </r>
    <r>
      <rPr>
        <sz val="11"/>
        <color theme="1"/>
        <rFont val="ＭＳ Ｐゴシック"/>
        <family val="3"/>
        <charset val="134"/>
        <scheme val="minor"/>
      </rPr>
      <t>经济组织联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</si>
  <si>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</si>
  <si>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小圃</t>
  </si>
  <si>
    <r>
      <t>宁夏小圃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</si>
  <si>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</si>
  <si>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</si>
  <si>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</si>
  <si>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</si>
  <si>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t>祖馥</t>
  </si>
  <si>
    <r>
      <t>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</si>
  <si>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丛乡</t>
  </si>
  <si>
    <r>
      <t xml:space="preserve">清酒（日本米酒）;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</si>
  <si>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</si>
  <si>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果酒（含酒精）; 利口酒;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</si>
  <si>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</si>
  <si>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</si>
  <si>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本酷酒坊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</si>
  <si>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</si>
  <si>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逻</t>
    </r>
    <r>
      <rPr>
        <sz val="11"/>
        <color theme="1"/>
        <rFont val="ＭＳ Ｐゴシック"/>
        <family val="3"/>
        <charset val="128"/>
        <scheme val="minor"/>
      </rPr>
      <t>霸江湖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</si>
  <si>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前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</si>
  <si>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</si>
  <si>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方烈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</si>
  <si>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</si>
  <si>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高粱酒;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</si>
  <si>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庆沣农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</si>
  <si>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苦味酒; 利口酒; 白酒; 黄酒; 朗姆酒; 清酒（日本米酒）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</si>
  <si>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匠</t>
    </r>
  </si>
  <si>
    <t>黄明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</si>
  <si>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</si>
  <si>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GMEYONE 革美沅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</si>
  <si>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昱源生物科技有限公司</t>
    </r>
  </si>
  <si>
    <r>
      <t>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</si>
  <si>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宁珹正元</t>
  </si>
  <si>
    <r>
      <t>宁城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正元酒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</si>
  <si>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</si>
  <si>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柏芝泉</t>
  </si>
  <si>
    <r>
      <t>淄博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</si>
  <si>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露酒;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威士忌; 黄酒</t>
    </r>
  </si>
  <si>
    <t>流金傲威</t>
  </si>
  <si>
    <r>
      <t>猎</t>
    </r>
    <r>
      <rPr>
        <sz val="11"/>
        <color theme="1"/>
        <rFont val="ＭＳ Ｐゴシック"/>
        <family val="3"/>
        <charset val="128"/>
        <scheme val="minor"/>
      </rPr>
      <t>豹一八八七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</si>
  <si>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苹果酒; 餐后酒（利口酒和烈酒）; 烈酒</t>
    </r>
  </si>
  <si>
    <t>明六酒坊</t>
  </si>
  <si>
    <r>
      <t>四川吉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</si>
  <si>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烈酒; 黄酒; 白酒; 清酒</t>
    </r>
  </si>
  <si>
    <t>曾意同道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</si>
  <si>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市曾意酒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</si>
  <si>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</si>
  <si>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王某</t>
  </si>
  <si>
    <r>
      <t>宿迁市</t>
    </r>
    <r>
      <rPr>
        <sz val="11"/>
        <color theme="1"/>
        <rFont val="ＭＳ Ｐゴシック"/>
        <family val="3"/>
        <charset val="134"/>
        <scheme val="minor"/>
      </rPr>
      <t>汉贡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</si>
  <si>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高粱酒; 果酒;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</si>
  <si>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</si>
  <si>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泰安市御道奥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</si>
  <si>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</si>
  <si>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SKF</t>
  </si>
  <si>
    <r>
      <t>马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</si>
  <si>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烈酒;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蒸煮提取物（利口酒和烈酒）</t>
    </r>
  </si>
  <si>
    <r>
      <t>语长</t>
    </r>
    <r>
      <rPr>
        <sz val="11"/>
        <color theme="1"/>
        <rFont val="ＭＳ Ｐゴシック"/>
        <family val="3"/>
        <charset val="128"/>
        <scheme val="minor"/>
      </rPr>
      <t>鑫</t>
    </r>
  </si>
  <si>
    <t>焦晶******************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</si>
  <si>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</t>
    </r>
  </si>
  <si>
    <t>利庄</t>
  </si>
  <si>
    <r>
      <t>谭</t>
    </r>
    <r>
      <rPr>
        <sz val="11"/>
        <color theme="1"/>
        <rFont val="ＭＳ Ｐゴシック"/>
        <family val="3"/>
        <charset val="128"/>
        <scheme val="minor"/>
      </rPr>
      <t>清霞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</si>
  <si>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果酒（含酒精）</t>
    </r>
  </si>
  <si>
    <r>
      <t>宁波瑀昕果蔬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</si>
  <si>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蜂蜜酒; 葡萄酒; 水果汽酒; 威士忌; 白酒; 果酒（含酒精）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</si>
  <si>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飞续</t>
    </r>
  </si>
  <si>
    <r>
      <t>太原市得造花香商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</si>
  <si>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开胃酒; 果酒（含酒精）; 白酒</t>
    </r>
  </si>
  <si>
    <t>流金欧威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</si>
  <si>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瓦多斯酒;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</si>
  <si>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盘农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</si>
  <si>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>宁夏六</t>
    </r>
    <r>
      <rPr>
        <sz val="11"/>
        <color theme="1"/>
        <rFont val="ＭＳ Ｐゴシック"/>
        <family val="3"/>
        <charset val="134"/>
        <scheme val="minor"/>
      </rPr>
      <t>盘农</t>
    </r>
    <r>
      <rPr>
        <sz val="11"/>
        <color theme="1"/>
        <rFont val="ＭＳ Ｐゴシック"/>
        <family val="3"/>
        <charset val="128"/>
        <scheme val="minor"/>
      </rPr>
      <t>掌柜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</si>
  <si>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水果汽酒</t>
    </r>
  </si>
  <si>
    <t>丹溪有朋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</si>
  <si>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</si>
  <si>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草本型利口酒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</si>
  <si>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运当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</si>
  <si>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白干酒（中国白酒）</t>
    </r>
  </si>
  <si>
    <r>
      <t>楠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</si>
  <si>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利富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</si>
  <si>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</si>
  <si>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华节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</si>
  <si>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州五魁首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</si>
  <si>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</si>
  <si>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得公子</t>
  </si>
  <si>
    <r>
      <t>卢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</si>
  <si>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</si>
  <si>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酒下江南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</si>
  <si>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州市乾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</si>
  <si>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</si>
  <si>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万侯府</t>
  </si>
  <si>
    <t>蒋猛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</si>
  <si>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清酒（日本米酒）; 威士忌;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</si>
  <si>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坪小酒坊</t>
    </r>
  </si>
  <si>
    <t>胡志梅</t>
  </si>
  <si>
    <r>
      <t>果酒（含酒精）;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苹果酒;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</si>
  <si>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沛和</t>
  </si>
  <si>
    <t>苏维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</si>
  <si>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</si>
  <si>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平安年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</si>
  <si>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南平安年生物科技开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</si>
  <si>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</si>
  <si>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里祥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</si>
  <si>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东预</t>
    </r>
    <r>
      <rPr>
        <sz val="11"/>
        <color theme="1"/>
        <rFont val="ＭＳ Ｐゴシック"/>
        <family val="3"/>
        <charset val="128"/>
        <scheme val="minor"/>
      </rPr>
      <t>制菜</t>
    </r>
    <r>
      <rPr>
        <sz val="11"/>
        <color theme="1"/>
        <rFont val="ＭＳ Ｐゴシック"/>
        <family val="3"/>
        <charset val="134"/>
        <scheme val="minor"/>
      </rPr>
      <t>产业联</t>
    </r>
    <r>
      <rPr>
        <sz val="11"/>
        <color theme="1"/>
        <rFont val="ＭＳ Ｐゴシック"/>
        <family val="3"/>
        <charset val="128"/>
        <scheme val="minor"/>
      </rPr>
      <t>合会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</si>
  <si>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威士忌; 伏特加酒;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</si>
  <si>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賨州十六景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</si>
  <si>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皇影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</si>
  <si>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</si>
  <si>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旭旺嘉</t>
  </si>
  <si>
    <r>
      <t>刘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</si>
  <si>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</si>
  <si>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造易丰</t>
  </si>
  <si>
    <t>孟靖博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</si>
  <si>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</si>
  <si>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滔公·酒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</si>
  <si>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许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</si>
  <si>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黄酒; 果酒;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</si>
  <si>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方烈</t>
    </r>
  </si>
  <si>
    <r>
      <t>米酒; 烈酒;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</si>
  <si>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鮀城</t>
    </r>
    <r>
      <rPr>
        <sz val="11"/>
        <color theme="1"/>
        <rFont val="ＭＳ Ｐゴシック"/>
        <family val="3"/>
        <charset val="134"/>
        <scheme val="minor"/>
      </rPr>
      <t>岛</t>
    </r>
  </si>
  <si>
    <t>北京海厦中医院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</si>
  <si>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高粱酒; 黄酒; 果酒（含酒精）;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</si>
  <si>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佑春</t>
    </r>
  </si>
  <si>
    <r>
      <t>合肥玉兔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窗幕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</si>
  <si>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</si>
  <si>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呈觥</t>
  </si>
  <si>
    <r>
      <t>河南舒杉商</t>
    </r>
    <r>
      <rPr>
        <sz val="11"/>
        <color theme="1"/>
        <rFont val="ＭＳ Ｐゴシック"/>
        <family val="3"/>
        <charset val="134"/>
        <scheme val="minor"/>
      </rPr>
      <t>业项</t>
    </r>
    <r>
      <rPr>
        <sz val="11"/>
        <color theme="1"/>
        <rFont val="ＭＳ Ｐゴシック"/>
        <family val="3"/>
        <charset val="128"/>
        <scheme val="minor"/>
      </rPr>
      <t>目策划有限公司</t>
    </r>
  </si>
  <si>
    <r>
      <t xml:space="preserve">清酒（日本米酒）; 汽酒; 青稞酒; 黄酒; 食用酒精; 餐后酒（利口酒和烈酒）;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</si>
  <si>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QJLF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</si>
  <si>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梦幻奇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</si>
  <si>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梨酒; 黄酒; 高粱酒; 苦艾酒</t>
    </r>
  </si>
  <si>
    <t>村掌柜</t>
  </si>
  <si>
    <t>李广健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</si>
  <si>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葡萄酒; 清酒（日本米酒）; 白酒; 黄酒; 米酒</t>
    </r>
  </si>
  <si>
    <r>
      <t>悠然</t>
    </r>
    <r>
      <rPr>
        <sz val="11"/>
        <color theme="1"/>
        <rFont val="ＭＳ Ｐゴシック"/>
        <family val="3"/>
        <charset val="129"/>
        <scheme val="minor"/>
      </rPr>
      <t>蔻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</si>
  <si>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白酒;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</si>
  <si>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潘大啤酒集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</si>
  <si>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水果汽酒; 葡萄酒; 汽酒; 白酒; 露酒;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</t>
    </r>
  </si>
  <si>
    <t>宁承正元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</si>
  <si>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清酒; 果酒（含酒精）;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</si>
  <si>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老君山无双</t>
  </si>
  <si>
    <t>程学达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</si>
  <si>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</si>
  <si>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黔</t>
    </r>
    <r>
      <rPr>
        <sz val="11"/>
        <color theme="1"/>
        <rFont val="ＭＳ Ｐゴシック"/>
        <family val="3"/>
        <charset val="129"/>
        <scheme val="minor"/>
      </rPr>
      <t>諨</t>
    </r>
  </si>
  <si>
    <t>胡露雨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</si>
  <si>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</si>
  <si>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邕江福</t>
  </si>
  <si>
    <r>
      <t>山西商晋旅游开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</si>
  <si>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</si>
  <si>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邕江王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</si>
  <si>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蒸煮提取物（利口酒和烈酒）;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</si>
  <si>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古公子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</si>
  <si>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</si>
  <si>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美芝</t>
    </r>
  </si>
  <si>
    <t>广州市福庭健康管理有限公司</t>
  </si>
  <si>
    <r>
      <t>杜松子酒; 蜂蜜酒;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酸酒（低等葡萄酒）; 利口酒</t>
    </r>
  </si>
  <si>
    <r>
      <t>贵酿</t>
    </r>
    <r>
      <rPr>
        <sz val="11"/>
        <color theme="1"/>
        <rFont val="ＭＳ Ｐゴシック"/>
        <family val="3"/>
        <charset val="128"/>
        <scheme val="minor"/>
      </rPr>
      <t>康</t>
    </r>
  </si>
  <si>
    <t>刘忠明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</si>
  <si>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</si>
  <si>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若溪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</si>
  <si>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威士忌;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</si>
  <si>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t>花花的花花世界</t>
  </si>
  <si>
    <r>
      <t>美高梅（上海）文化旅游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</si>
  <si>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</t>
    </r>
  </si>
  <si>
    <t>集井</t>
  </si>
  <si>
    <r>
      <t>威士忌; 果酒（含酒精）; 葡萄酒; 黄酒;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</si>
  <si>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媚</t>
    </r>
    <r>
      <rPr>
        <sz val="11"/>
        <color theme="1"/>
        <rFont val="ＭＳ Ｐゴシック"/>
        <family val="3"/>
        <charset val="134"/>
        <scheme val="minor"/>
      </rPr>
      <t>俪</t>
    </r>
  </si>
  <si>
    <r>
      <t>烟台香舍里商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</si>
  <si>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餐后酒（利口酒和烈酒）; 威士忌;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</si>
  <si>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敖三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</si>
  <si>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</t>
    </r>
    <r>
      <rPr>
        <sz val="11"/>
        <color theme="1"/>
        <rFont val="ＭＳ Ｐゴシック"/>
        <family val="3"/>
        <charset val="134"/>
        <scheme val="minor"/>
      </rPr>
      <t>择酿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</si>
  <si>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朗姆酒</t>
    </r>
  </si>
  <si>
    <r>
      <t>黔</t>
    </r>
    <r>
      <rPr>
        <sz val="11"/>
        <color theme="1"/>
        <rFont val="ＭＳ Ｐゴシック"/>
        <family val="3"/>
        <charset val="129"/>
        <scheme val="minor"/>
      </rPr>
      <t>諨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</si>
  <si>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</si>
  <si>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撼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穹</t>
    </r>
  </si>
  <si>
    <r>
      <t>清酒（日本米酒）;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</si>
  <si>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t>撼九重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</si>
  <si>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果酒（含酒精）; 黄酒; 白酒;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</si>
  <si>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劝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</si>
  <si>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子雨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</si>
  <si>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</si>
  <si>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源汐</t>
    </r>
  </si>
  <si>
    <r>
      <t>湖北正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</si>
  <si>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食用酒精</t>
    </r>
  </si>
  <si>
    <r>
      <t>态</t>
    </r>
    <r>
      <rPr>
        <sz val="11"/>
        <color theme="1"/>
        <rFont val="ＭＳ Ｐゴシック"/>
        <family val="3"/>
        <charset val="128"/>
        <scheme val="minor"/>
      </rPr>
      <t>粮液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</si>
  <si>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县态农农业专业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</si>
  <si>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</si>
  <si>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圣丁堡装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</si>
  <si>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 xml:space="preserve">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露酒</t>
    </r>
  </si>
  <si>
    <t>好韵通</t>
  </si>
  <si>
    <t>王瑞峰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</si>
  <si>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</si>
  <si>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榕宴</t>
    </r>
  </si>
  <si>
    <r>
      <t>陆陈娇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</si>
  <si>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</si>
  <si>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清卮源</t>
  </si>
  <si>
    <r>
      <t>四川方寸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</si>
  <si>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奶油利口酒; 茴香酒（利口酒）; 朗姆酒; 葡萄酒; 青梅酒; 草莓酒;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</si>
  <si>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嘉宝</t>
    </r>
    <r>
      <rPr>
        <sz val="11"/>
        <color theme="1"/>
        <rFont val="ＭＳ Ｐゴシック"/>
        <family val="3"/>
        <charset val="134"/>
        <scheme val="minor"/>
      </rPr>
      <t>钻时</t>
    </r>
  </si>
  <si>
    <r>
      <t>四川嘉宝液酒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</si>
  <si>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</si>
  <si>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高涂</t>
  </si>
  <si>
    <r>
      <t>湖南</t>
    </r>
    <r>
      <rPr>
        <sz val="11"/>
        <color theme="1"/>
        <rFont val="ＭＳ Ｐゴシック"/>
        <family val="3"/>
        <charset val="129"/>
        <scheme val="minor"/>
      </rPr>
      <t>崀</t>
    </r>
    <r>
      <rPr>
        <sz val="11"/>
        <color theme="1"/>
        <rFont val="ＭＳ Ｐゴシック"/>
        <family val="3"/>
        <charset val="128"/>
        <scheme val="minor"/>
      </rPr>
      <t>山夷江春酒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</si>
  <si>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清酒;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</si>
  <si>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延太狼</t>
  </si>
  <si>
    <r>
      <t>崔</t>
    </r>
    <r>
      <rPr>
        <sz val="11"/>
        <color theme="1"/>
        <rFont val="ＭＳ Ｐゴシック"/>
        <family val="3"/>
        <charset val="134"/>
        <scheme val="minor"/>
      </rPr>
      <t>远见</t>
    </r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</si>
  <si>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葡萄酒; 威士忌; 伏特加酒; 白酒</t>
    </r>
  </si>
  <si>
    <t>KINGMYFOOD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</si>
  <si>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西福宝商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</si>
  <si>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利口酒; 米酒; 果酒（含酒精）</t>
    </r>
  </si>
  <si>
    <r>
      <t>黔中</t>
    </r>
    <r>
      <rPr>
        <sz val="11"/>
        <color theme="1"/>
        <rFont val="ＭＳ Ｐゴシック"/>
        <family val="3"/>
        <charset val="134"/>
        <scheme val="minor"/>
      </rPr>
      <t>结义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</si>
  <si>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西普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陀中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</si>
  <si>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</si>
  <si>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润发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</si>
  <si>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清酒;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</si>
  <si>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九福份</t>
  </si>
  <si>
    <r>
      <t>山西国衡</t>
    </r>
    <r>
      <rPr>
        <sz val="11"/>
        <color theme="1"/>
        <rFont val="ＭＳ Ｐゴシック"/>
        <family val="3"/>
        <charset val="134"/>
        <scheme val="minor"/>
      </rPr>
      <t>检验检测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</si>
  <si>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利口酒; 果酒（含酒精）; 开胃酒;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</si>
  <si>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天速运</t>
    </r>
  </si>
  <si>
    <r>
      <t>喀什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天速达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运代理服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</si>
  <si>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食用酒精</t>
    </r>
  </si>
  <si>
    <r>
      <t>荔众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</si>
  <si>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南宁利众科技有限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</si>
  <si>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</si>
  <si>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GUOXIANGXINGJIU</t>
  </si>
  <si>
    <r>
      <t>广州万达生物科技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</si>
  <si>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葡萄酒; 威士忌</t>
    </r>
  </si>
  <si>
    <t>鹿小达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</si>
  <si>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郸东贸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</si>
  <si>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</si>
  <si>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</si>
  <si>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</si>
  <si>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吾品余生</t>
  </si>
  <si>
    <r>
      <t>海南中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智合控股集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</si>
  <si>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</si>
  <si>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-8-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</si>
  <si>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</si>
  <si>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</si>
  <si>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</si>
  <si>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市开州区三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口</t>
    </r>
    <r>
      <rPr>
        <sz val="11"/>
        <color theme="1"/>
        <rFont val="ＭＳ Ｐゴシック"/>
        <family val="3"/>
        <charset val="134"/>
        <scheme val="minor"/>
      </rPr>
      <t>乡产业发</t>
    </r>
    <r>
      <rPr>
        <sz val="11"/>
        <color theme="1"/>
        <rFont val="ＭＳ Ｐゴシック"/>
        <family val="3"/>
        <charset val="128"/>
        <scheme val="minor"/>
      </rPr>
      <t>展服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</si>
  <si>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梅酒; 甜酒; 白酒;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水果汽酒; 烈酒</t>
    </r>
  </si>
  <si>
    <t>祥云境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</si>
  <si>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</si>
  <si>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</si>
  <si>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誉梁春</t>
  </si>
  <si>
    <r>
      <t>安徽誉梁春酒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</si>
  <si>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</si>
  <si>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林郭勒盟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木牧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</si>
  <si>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</si>
  <si>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枫传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</si>
  <si>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四川上敬下施酒文化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</si>
  <si>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葡萄酒; 果酒;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</t>
    </r>
  </si>
  <si>
    <r>
      <t>董嵇檐</t>
    </r>
    <r>
      <rPr>
        <sz val="11"/>
        <color theme="1"/>
        <rFont val="ＭＳ Ｐゴシック"/>
        <family val="3"/>
        <charset val="134"/>
        <scheme val="minor"/>
      </rPr>
      <t>榄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</si>
  <si>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市董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</si>
  <si>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</si>
  <si>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逸哥逸凡</t>
  </si>
  <si>
    <r>
      <t>阜南逸隆酒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</si>
  <si>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甜酒</t>
    </r>
  </si>
  <si>
    <t>御宴河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</si>
  <si>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葡萄酒</t>
    </r>
  </si>
  <si>
    <t>俏繁花</t>
  </si>
  <si>
    <r>
      <t>激活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</si>
  <si>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汽酒;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葡萄酒; 黄酒; 清酒; 日式甜米酒;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</si>
  <si>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匠心</t>
    </r>
  </si>
  <si>
    <t>王法旺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</si>
  <si>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葡萄酒; 威士忌; 开胃酒</t>
    </r>
  </si>
  <si>
    <r>
      <t>福美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</si>
  <si>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凉</t>
    </r>
  </si>
  <si>
    <r>
      <t>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</si>
  <si>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十</t>
    </r>
    <r>
      <rPr>
        <sz val="11"/>
        <color theme="1"/>
        <rFont val="ＭＳ Ｐゴシック"/>
        <family val="3"/>
        <charset val="134"/>
        <scheme val="minor"/>
      </rPr>
      <t>释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</si>
  <si>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</si>
  <si>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</si>
  <si>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花儿山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</si>
  <si>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番小茄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</si>
  <si>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</si>
  <si>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t>品睿</t>
  </si>
  <si>
    <r>
      <t>陈</t>
    </r>
    <r>
      <rPr>
        <sz val="11"/>
        <color theme="1"/>
        <rFont val="ＭＳ Ｐゴシック"/>
        <family val="3"/>
        <charset val="128"/>
        <scheme val="minor"/>
      </rPr>
      <t>義</t>
    </r>
  </si>
  <si>
    <r>
      <t xml:space="preserve">清酒; 葡萄酒; 青稞酒; 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</si>
  <si>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r>
      <t>御府精品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</si>
  <si>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黄酒; 开胃酒; 利口酒; 白酒</t>
    </r>
  </si>
  <si>
    <t>李冠楼</t>
  </si>
  <si>
    <r>
      <t>商丘逗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</si>
  <si>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梨酒;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</si>
  <si>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宏福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</si>
  <si>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</si>
  <si>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</si>
  <si>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御品彬景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</si>
  <si>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春市御品食品有限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</si>
  <si>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</si>
  <si>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荣状元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</si>
  <si>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</si>
  <si>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陌能</t>
  </si>
  <si>
    <r>
      <t>富林餐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</si>
  <si>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食用酒精; 果酒（含酒精）</t>
    </r>
  </si>
  <si>
    <r>
      <t>圣拉斐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</si>
  <si>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</si>
  <si>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贯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</si>
  <si>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郑连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</si>
  <si>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清酒（日本米酒）; 开胃酒</t>
    </r>
  </si>
  <si>
    <r>
      <t>加伯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按迪卡</t>
    </r>
  </si>
  <si>
    <t>深圳起南文氏科技有限公司</t>
  </si>
  <si>
    <r>
      <t>餐后酒（利口酒和烈酒）;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食用酒精; 白酒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</si>
  <si>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申沙</t>
    </r>
  </si>
  <si>
    <t>贺伟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</si>
  <si>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米酒; 烈酒; 葡萄酒; 白酒; 甜酒; 汽酒</t>
    </r>
  </si>
  <si>
    <t>福九份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</si>
  <si>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</si>
  <si>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利雅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</si>
  <si>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广</t>
    </r>
  </si>
  <si>
    <r>
      <t>果酒（含酒精）; 葡萄酒; 利口酒;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</si>
  <si>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村母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</si>
  <si>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</si>
  <si>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 15</t>
    </r>
  </si>
  <si>
    <r>
      <t xml:space="preserve">开胃酒; 薄荷酒;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</si>
  <si>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r>
      <t>诸诚</t>
    </r>
    <r>
      <rPr>
        <sz val="11"/>
        <color theme="1"/>
        <rFont val="ＭＳ Ｐゴシック"/>
        <family val="3"/>
        <charset val="128"/>
        <scheme val="minor"/>
      </rPr>
      <t>往事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</si>
  <si>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潭原酒酒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</si>
  <si>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</si>
  <si>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福</t>
    </r>
  </si>
  <si>
    <t>高尚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</si>
  <si>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</si>
  <si>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品余生</t>
    </r>
  </si>
  <si>
    <r>
      <t>白酒;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露酒</t>
    </r>
  </si>
  <si>
    <r>
      <t>恒熠悦</t>
    </r>
    <r>
      <rPr>
        <sz val="11"/>
        <color theme="1"/>
        <rFont val="ＭＳ Ｐゴシック"/>
        <family val="3"/>
        <charset val="134"/>
        <scheme val="minor"/>
      </rPr>
      <t>颜</t>
    </r>
  </si>
  <si>
    <t>合肥恒熠健康管理有限公司</t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</si>
  <si>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</si>
  <si>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顽</t>
    </r>
    <r>
      <rPr>
        <sz val="11"/>
        <color theme="1"/>
        <rFont val="ＭＳ Ｐゴシック"/>
        <family val="3"/>
        <charset val="128"/>
        <scheme val="minor"/>
      </rPr>
      <t>皮花花</t>
    </r>
  </si>
  <si>
    <t>四川花甜熹肆食品有限公司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</si>
  <si>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米酒;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</si>
  <si>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台-5-</t>
    </r>
  </si>
  <si>
    <r>
      <t>黄酒; 薄荷酒;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</si>
  <si>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和至善</t>
  </si>
  <si>
    <r>
      <t xml:space="preserve">梅酒; 清酒; 葡萄酒;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</si>
  <si>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t>PENFOLDS COLLECTORS EDITION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</si>
  <si>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起泡白葡萄酒;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</si>
  <si>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三上山</t>
  </si>
  <si>
    <r>
      <t>好去</t>
    </r>
    <r>
      <rPr>
        <sz val="11"/>
        <color theme="1"/>
        <rFont val="ＭＳ Ｐゴシック"/>
        <family val="3"/>
        <charset val="134"/>
        <scheme val="minor"/>
      </rPr>
      <t>处</t>
    </r>
    <r>
      <rPr>
        <sz val="11"/>
        <color theme="1"/>
        <rFont val="ＭＳ Ｐゴシック"/>
        <family val="3"/>
        <charset val="128"/>
        <scheme val="minor"/>
      </rPr>
      <t>（深圳）文化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</si>
  <si>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</si>
  <si>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有御上呈</t>
  </si>
  <si>
    <r>
      <t>谢</t>
    </r>
    <r>
      <rPr>
        <sz val="11"/>
        <color theme="1"/>
        <rFont val="ＭＳ Ｐゴシック"/>
        <family val="3"/>
        <charset val="128"/>
        <scheme val="minor"/>
      </rPr>
      <t>呈御品牌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展(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城)有限公司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</si>
  <si>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甜酒; 白干酒（中国白酒）; 苦味酒;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</si>
  <si>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爱长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</si>
  <si>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伏特加酒; 汽酒; 露酒; 葡萄酒; 白酒;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</si>
  <si>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</si>
  <si>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孙长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</si>
  <si>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</si>
  <si>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约</t>
    </r>
  </si>
  <si>
    <t>酒鬼酒股份有限公司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</si>
  <si>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</si>
  <si>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份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</si>
  <si>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白酒; 开胃酒</t>
    </r>
  </si>
  <si>
    <t>洛里特普拉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</si>
  <si>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食用酒精</t>
    </r>
  </si>
  <si>
    <r>
      <t>豪</t>
    </r>
    <r>
      <rPr>
        <sz val="11"/>
        <color theme="1"/>
        <rFont val="ＭＳ Ｐゴシック"/>
        <family val="3"/>
        <charset val="134"/>
        <scheme val="minor"/>
      </rPr>
      <t>纭</t>
    </r>
    <r>
      <rPr>
        <sz val="11"/>
        <color theme="1"/>
        <rFont val="ＭＳ Ｐゴシック"/>
        <family val="3"/>
        <charset val="128"/>
        <scheme val="minor"/>
      </rPr>
      <t>逸品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</si>
  <si>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</si>
  <si>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</si>
  <si>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</si>
  <si>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高立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</si>
  <si>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</si>
  <si>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郑</t>
    </r>
  </si>
  <si>
    <t>郑骏</t>
  </si>
  <si>
    <r>
      <t>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米酒</t>
    </r>
  </si>
  <si>
    <t>三佳辛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</si>
  <si>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三佳辛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</si>
  <si>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果酒（含酒精）; 白酒; 清酒（日本米酒）</t>
    </r>
  </si>
  <si>
    <r>
      <t>食味大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</si>
  <si>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孙丽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</si>
  <si>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葡萄酒;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</si>
  <si>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居易湘灵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</si>
  <si>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茅舍酒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</si>
  <si>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餐后酒（利口酒和烈酒）; 梨酒; 白干酒（中国白酒）; 清酒; 果酒（含酒精）</t>
    </r>
  </si>
  <si>
    <t>臻孝</t>
  </si>
  <si>
    <t>牛永彬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</si>
  <si>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</si>
  <si>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泛春湖</t>
  </si>
  <si>
    <r>
      <t>马衔</t>
    </r>
    <r>
      <rPr>
        <sz val="11"/>
        <color theme="1"/>
        <rFont val="ＭＳ Ｐゴシック"/>
        <family val="3"/>
        <charset val="128"/>
        <scheme val="minor"/>
      </rPr>
      <t>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</si>
  <si>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利口酒; 米酒; 青稞酒</t>
    </r>
  </si>
  <si>
    <r>
      <t>同窗同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</si>
  <si>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同窗同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（山西）科技有限公司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</si>
  <si>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开胃酒</t>
    </r>
  </si>
  <si>
    <r>
      <t>每</t>
    </r>
    <r>
      <rPr>
        <sz val="11"/>
        <color theme="1"/>
        <rFont val="ＭＳ Ｐゴシック"/>
        <family val="3"/>
        <charset val="134"/>
        <scheme val="minor"/>
      </rPr>
      <t>艳</t>
    </r>
  </si>
  <si>
    <t>郭勇峰</t>
  </si>
  <si>
    <t>草本型利口酒; 葡萄酒; 米酒; 清酒; 威士忌; 果酒; 汽酒; 黄酒; 甜酒; 白酒</t>
  </si>
  <si>
    <t>河南力泉科技有限公司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</si>
  <si>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</si>
  <si>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醉美芷茳</t>
  </si>
  <si>
    <t>尹青青</t>
  </si>
  <si>
    <r>
      <t>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</si>
  <si>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陌如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</si>
  <si>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</si>
  <si>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郏</t>
    </r>
    <r>
      <rPr>
        <sz val="11"/>
        <color theme="1"/>
        <rFont val="ＭＳ Ｐゴシック"/>
        <family val="3"/>
        <charset val="128"/>
        <scheme val="minor"/>
      </rPr>
      <t>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</si>
  <si>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</si>
  <si>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伏特加酒</t>
    </r>
  </si>
  <si>
    <t>勇大叔</t>
  </si>
  <si>
    <r>
      <t>广州勇大叔餐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</si>
  <si>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果酒（含酒精）; 白酒; 蜂蜜酒; 利口酒; 威士忌;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</si>
  <si>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极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</si>
  <si>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</si>
  <si>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黄酒; 薄荷酒;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</si>
  <si>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康健功成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</si>
  <si>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康健功成品牌管理有限公司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</si>
  <si>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高粱酒</t>
    </r>
  </si>
  <si>
    <t>柔祖古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</si>
  <si>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州祖</t>
    </r>
    <r>
      <rPr>
        <sz val="11"/>
        <color theme="1"/>
        <rFont val="ＭＳ Ｐゴシック"/>
        <family val="3"/>
        <charset val="134"/>
        <scheme val="minor"/>
      </rPr>
      <t>师传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</si>
  <si>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白酒; 果酒（含酒精）;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</si>
  <si>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市大地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</si>
  <si>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汽酒;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</si>
  <si>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孜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</si>
  <si>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 xml:space="preserve">白酒; 餐后酒（利口酒和烈酒）; 黄酒;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</si>
  <si>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蒙吉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</si>
  <si>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玲</t>
    </r>
  </si>
  <si>
    <t>茴香酒（利口酒）; 高粱酒; 黄酒; 草莓酒; 甜果酒; 葡萄酒; 米酒; 苹果酒; 白酒; 果酒（含酒精）</t>
  </si>
  <si>
    <t>桔棠里</t>
  </si>
  <si>
    <t>魏祥燕******************</t>
  </si>
  <si>
    <r>
      <t xml:space="preserve">果酒; 葡萄酒;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</si>
  <si>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谊缘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</si>
  <si>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眉山市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坡区金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白酒厂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</si>
  <si>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露酒; 甜酒; 白干酒（中国白酒）</t>
    </r>
  </si>
  <si>
    <t>晟悟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</si>
  <si>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</si>
  <si>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聆渡</t>
    </r>
  </si>
  <si>
    <t>焦根平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</si>
  <si>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米酒</t>
    </r>
  </si>
  <si>
    <r>
      <t>惊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晏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</si>
  <si>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威中</t>
    </r>
  </si>
  <si>
    <r>
      <t>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</si>
  <si>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栈桥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</si>
  <si>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山海志国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交流有限公司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</si>
  <si>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</si>
  <si>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栈桥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</si>
  <si>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白酒; 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</si>
  <si>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姜学士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</si>
  <si>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姜太公食品有限公司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</si>
  <si>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</si>
  <si>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巴山夜雨</t>
  </si>
  <si>
    <t>唐隆祥</t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</si>
  <si>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</si>
  <si>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多彩苗宝控股集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</si>
  <si>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果酒; 黄酒; 开胃酒; 白酒; 露酒; 米酒;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</si>
  <si>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</si>
  <si>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 xml:space="preserve">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</si>
  <si>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云烟</t>
    </r>
  </si>
  <si>
    <r>
      <t>果酒（含酒精）; 苹果酒;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</si>
  <si>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醉每汀州</t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</si>
  <si>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岩市汀州酒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</si>
  <si>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梨酒; 米酒</t>
    </r>
  </si>
  <si>
    <t>互加物</t>
  </si>
  <si>
    <r>
      <t>安徽舒合网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</si>
  <si>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葡萄酒; 白葡萄酒;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</si>
  <si>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朽木与重生</t>
  </si>
  <si>
    <r>
      <t>王一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</si>
  <si>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</si>
  <si>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爵野</t>
  </si>
  <si>
    <r>
      <t>威士忌; 果酒（含酒精）; 白酒; 清酒（日本米酒）;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</si>
  <si>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t>龙涩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</si>
  <si>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仙津保健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</si>
  <si>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</si>
  <si>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阜特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</si>
  <si>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安徽阜特酒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</si>
  <si>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白酒</t>
    </r>
  </si>
  <si>
    <t>闽乐</t>
  </si>
  <si>
    <r>
      <t xml:space="preserve">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汽酒; 白酒; 葡萄酒</t>
    </r>
  </si>
  <si>
    <t>胖千金</t>
  </si>
  <si>
    <t>四川九火数字科技有限公司</t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</si>
  <si>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</si>
  <si>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减小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</si>
  <si>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四川中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舜文化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</si>
  <si>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含酒精的气泡水; 草本型利口酒; 米酒;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</si>
  <si>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</si>
  <si>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雪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</si>
  <si>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</si>
  <si>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鹤归</t>
    </r>
    <r>
      <rPr>
        <sz val="11"/>
        <color theme="1"/>
        <rFont val="ＭＳ Ｐゴシック"/>
        <family val="3"/>
        <charset val="128"/>
        <scheme val="minor"/>
      </rPr>
      <t>来（湖北）品牌运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</si>
  <si>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苦味酒; 米酒</t>
    </r>
  </si>
  <si>
    <r>
      <t>洛洛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巴</t>
    </r>
  </si>
  <si>
    <t>巴木扎衣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</si>
  <si>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烈酒;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</si>
  <si>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健馨怡</t>
  </si>
  <si>
    <t>深圳市豆美康食品有限公司</t>
  </si>
  <si>
    <r>
      <t>葡萄酒; 利口酒; 黄酒; 伏特加酒; 米酒; 白酒; 果酒（含酒精）;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</si>
  <si>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阜特人生</t>
  </si>
  <si>
    <r>
      <t>食用酒精;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</si>
  <si>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裴社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</si>
  <si>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匠人餐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</si>
  <si>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果酒（含酒精）; 餐后酒（利口酒和烈酒）;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</si>
  <si>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美果来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</si>
  <si>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美果来食品有限公司</t>
    </r>
  </si>
  <si>
    <r>
      <t>烈酒; 甜酒; 果酒; 米酒; 水果汽酒;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</si>
  <si>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老隅首</t>
  </si>
  <si>
    <t>周涛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</si>
  <si>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</si>
  <si>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黄封禄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</si>
  <si>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水兵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</si>
  <si>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 xml:space="preserve">葡萄酒; 含酒精的气泡水; 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威士忌; 白酒; 朗姆酒</t>
    </r>
  </si>
  <si>
    <r>
      <t>凌云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</si>
  <si>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白酒; 清酒（日本米酒）;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</si>
  <si>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禾</t>
    </r>
    <r>
      <rPr>
        <sz val="11"/>
        <color theme="1"/>
        <rFont val="ＭＳ Ｐゴシック"/>
        <family val="3"/>
        <charset val="134"/>
        <scheme val="minor"/>
      </rPr>
      <t>亿鸿</t>
    </r>
  </si>
  <si>
    <r>
      <t>烟台禾</t>
    </r>
    <r>
      <rPr>
        <sz val="11"/>
        <color theme="1"/>
        <rFont val="ＭＳ Ｐゴシック"/>
        <family val="3"/>
        <charset val="134"/>
        <scheme val="minor"/>
      </rPr>
      <t>亿鸿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</si>
  <si>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</si>
  <si>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</si>
  <si>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态</t>
    </r>
  </si>
  <si>
    <t>原小春</t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</si>
  <si>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</si>
  <si>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杏河青山</t>
  </si>
  <si>
    <r>
      <t>闫</t>
    </r>
    <r>
      <rPr>
        <sz val="11"/>
        <color theme="1"/>
        <rFont val="ＭＳ Ｐゴシック"/>
        <family val="3"/>
        <charset val="128"/>
        <scheme val="minor"/>
      </rPr>
      <t>冠逸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</si>
  <si>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含酒精的气泡水; 开胃酒; 薄荷酒;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</si>
  <si>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语</t>
    </r>
  </si>
  <si>
    <t>高海文******************</t>
  </si>
  <si>
    <r>
      <t>酸酒（低等葡萄酒）;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蒸煮提取物（利口酒和烈酒）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</si>
  <si>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方馥</t>
    </r>
    <r>
      <rPr>
        <sz val="11"/>
        <color theme="1"/>
        <rFont val="ＭＳ Ｐゴシック"/>
        <family val="3"/>
        <charset val="134"/>
        <scheme val="minor"/>
      </rPr>
      <t>贵</t>
    </r>
  </si>
  <si>
    <t>潘信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</si>
  <si>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</si>
  <si>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竟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</si>
  <si>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山云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</si>
  <si>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</si>
  <si>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寞春</t>
  </si>
  <si>
    <r>
      <t>阳倍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</si>
  <si>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葡萄酒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</si>
  <si>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</si>
  <si>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</si>
  <si>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柔</t>
    </r>
  </si>
  <si>
    <t>卢显军</t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</si>
  <si>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</si>
  <si>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鹮</t>
    </r>
    <r>
      <rPr>
        <sz val="11"/>
        <color theme="1"/>
        <rFont val="ＭＳ Ｐゴシック"/>
        <family val="3"/>
        <charset val="128"/>
        <scheme val="minor"/>
      </rPr>
      <t>酷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</si>
  <si>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</si>
  <si>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果酒（含酒精）; 蜂蜜酒; 烈酒; 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</si>
  <si>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祥梦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</si>
  <si>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西博美名</t>
    </r>
    <r>
      <rPr>
        <sz val="11"/>
        <color theme="1"/>
        <rFont val="ＭＳ Ｐゴシック"/>
        <family val="3"/>
        <charset val="134"/>
        <scheme val="minor"/>
      </rPr>
      <t>汇连锁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</si>
  <si>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苹果酒; 苦味酒;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</si>
  <si>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心茵</t>
  </si>
  <si>
    <t>深圳心茵科技有限公司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</si>
  <si>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米酒; 伏特加酒; 白酒; 蜂蜜酒;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</t>
    </r>
  </si>
  <si>
    <t>熙恒广源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</si>
  <si>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州熙恒供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</si>
  <si>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</si>
  <si>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湖南漫思酒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</si>
  <si>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</si>
  <si>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链爱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</si>
  <si>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合肥明予商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</si>
  <si>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</si>
  <si>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t>都莫愁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</si>
  <si>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岛东</t>
    </r>
    <r>
      <rPr>
        <sz val="11"/>
        <color theme="1"/>
        <rFont val="ＭＳ Ｐゴシック"/>
        <family val="3"/>
        <charset val="128"/>
        <scheme val="minor"/>
      </rPr>
      <t>方恒宇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</si>
  <si>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草本型利口酒;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烈酒; 白酒; 威士忌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</si>
  <si>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</si>
  <si>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 xml:space="preserve">黄酒; 葡萄酒; 威士忌; 米酒; 含酒精的气泡水;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</si>
  <si>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CGF·ZGHSC</t>
  </si>
  <si>
    <r>
      <t>深圳中好粮食品供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</si>
  <si>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青梅酒; 食用酒精; 威士忌; 梨酒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</si>
  <si>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满镜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</si>
  <si>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</si>
  <si>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苹果酒; 果酒（含酒精）; 利口酒; 甜酒; 威士忌; 汽酒; 梅酒;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</si>
  <si>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月落白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</si>
  <si>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</si>
  <si>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康知己</t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</si>
  <si>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</si>
  <si>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</t>
    </r>
  </si>
  <si>
    <t>雍度</t>
  </si>
  <si>
    <t>山西百与百品牌管理有限公司</t>
  </si>
  <si>
    <r>
      <t>果酒（含酒精）;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</si>
  <si>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磐</t>
    </r>
    <r>
      <rPr>
        <sz val="11"/>
        <color theme="1"/>
        <rFont val="ＭＳ Ｐゴシック"/>
        <family val="3"/>
        <charset val="134"/>
        <scheme val="minor"/>
      </rPr>
      <t>质</t>
    </r>
  </si>
  <si>
    <r>
      <t>海南恒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</si>
  <si>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葡萄酒;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</si>
  <si>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沁花竹</t>
  </si>
  <si>
    <t>黄酒; 米酒; 朗姆酒; 清酒; 梅酒; 葡萄酒; 伏特加酒; 白酒; 甜酒; 果酒（含酒精）</t>
  </si>
  <si>
    <t>八酒日</t>
  </si>
  <si>
    <t>郑钟权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</si>
  <si>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葡萄酒; 威士忌; 白酒</t>
    </r>
  </si>
  <si>
    <t>米粒石</t>
  </si>
  <si>
    <r>
      <t>郑训</t>
    </r>
    <r>
      <rPr>
        <sz val="11"/>
        <color theme="1"/>
        <rFont val="ＭＳ Ｐゴシック"/>
        <family val="3"/>
        <charset val="128"/>
        <scheme val="minor"/>
      </rPr>
      <t>葵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</si>
  <si>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利口酒; 黄酒;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</si>
  <si>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巴山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丛</t>
    </r>
  </si>
  <si>
    <r>
      <t>四川喜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</si>
  <si>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果酒（含酒精）; 清酒; 开胃酒; 高粱酒; 白干酒（中国白酒）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</si>
  <si>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之泉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</si>
  <si>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泉酒庄有限公司</t>
    </r>
  </si>
  <si>
    <r>
      <t>高粱酒; 黄酒; 蒸煮提取物（利口酒和烈酒）; 白干酒（中国白酒）;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</t>
    </r>
  </si>
  <si>
    <t>洞王河</t>
  </si>
  <si>
    <t>娄楚祥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</si>
  <si>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开胃酒; 白酒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</si>
  <si>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</si>
  <si>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汽酒; 含酒精的气泡水;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</si>
  <si>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洲春</t>
    </r>
  </si>
  <si>
    <r>
      <t>江西江右酒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</si>
  <si>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米酒</t>
    </r>
  </si>
  <si>
    <t>净阗</t>
  </si>
  <si>
    <r>
      <t>狂</t>
    </r>
    <r>
      <rPr>
        <sz val="11"/>
        <color theme="1"/>
        <rFont val="ＭＳ Ｐゴシック"/>
        <family val="3"/>
        <charset val="134"/>
        <scheme val="minor"/>
      </rPr>
      <t>飙</t>
    </r>
    <r>
      <rPr>
        <sz val="11"/>
        <color theme="1"/>
        <rFont val="ＭＳ Ｐゴシック"/>
        <family val="3"/>
        <charset val="128"/>
        <scheme val="minor"/>
      </rPr>
      <t>（焦作）供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</si>
  <si>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</si>
  <si>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r>
      <t>抱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</si>
  <si>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泉州喜鹿鹿供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</si>
  <si>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</si>
  <si>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月台序</t>
  </si>
  <si>
    <r>
      <t>赵</t>
    </r>
    <r>
      <rPr>
        <sz val="11"/>
        <color theme="1"/>
        <rFont val="ＭＳ Ｐゴシック"/>
        <family val="3"/>
        <charset val="128"/>
        <scheme val="minor"/>
      </rPr>
      <t>丹皓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</si>
  <si>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葡萄酒</t>
    </r>
  </si>
  <si>
    <t>小供哥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</si>
  <si>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市日用消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8"/>
        <scheme val="minor"/>
      </rPr>
      <t>品（集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</si>
  <si>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威士忌; 白葡萄酒; 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</si>
  <si>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</si>
  <si>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>巩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市杜甫老窖酒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</si>
  <si>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</si>
  <si>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果之春</t>
  </si>
  <si>
    <r>
      <t>郭</t>
    </r>
    <r>
      <rPr>
        <sz val="11"/>
        <color theme="1"/>
        <rFont val="ＭＳ Ｐゴシック"/>
        <family val="3"/>
        <charset val="134"/>
        <scheme val="minor"/>
      </rPr>
      <t>卫东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</si>
  <si>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清酒（日本米酒）; 威士忌; 葡萄酒; 开胃酒; 果酒（含酒精）</t>
    </r>
  </si>
  <si>
    <t>杏敏杏运</t>
  </si>
  <si>
    <r>
      <t>马</t>
    </r>
    <r>
      <rPr>
        <sz val="11"/>
        <color theme="1"/>
        <rFont val="ＭＳ Ｐゴシック"/>
        <family val="3"/>
        <charset val="128"/>
        <scheme val="minor"/>
      </rPr>
      <t>明杰</t>
    </r>
  </si>
  <si>
    <r>
      <t>高粱酒;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清酒; 白酒</t>
    </r>
  </si>
  <si>
    <r>
      <t>如源似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</si>
  <si>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天津市善</t>
    </r>
    <r>
      <rPr>
        <sz val="11"/>
        <color theme="1"/>
        <rFont val="ＭＳ Ｐゴシック"/>
        <family val="3"/>
        <charset val="134"/>
        <scheme val="minor"/>
      </rPr>
      <t>缘纸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</si>
  <si>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</si>
  <si>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水晴</t>
    </r>
  </si>
  <si>
    <r>
      <t xml:space="preserve">食用酒精; 蒸煮提取物（利口酒和烈酒）;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</si>
  <si>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梁食官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</si>
  <si>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皓元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</si>
  <si>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葡萄酒</t>
    </r>
  </si>
  <si>
    <t>MATTO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</si>
  <si>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瓶子星球酒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</si>
  <si>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</si>
  <si>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白山己</t>
  </si>
  <si>
    <r>
      <t>吴光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</si>
  <si>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高粱酒; 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</si>
  <si>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黑斧</t>
  </si>
  <si>
    <r>
      <t>靳小</t>
    </r>
    <r>
      <rPr>
        <sz val="11"/>
        <color theme="1"/>
        <rFont val="ＭＳ Ｐゴシック"/>
        <family val="3"/>
        <charset val="134"/>
        <scheme val="minor"/>
      </rPr>
      <t>铁</t>
    </r>
  </si>
  <si>
    <r>
      <t xml:space="preserve">白酒; 葡萄酒; 威士忌;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</si>
  <si>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偶清花</t>
  </si>
  <si>
    <r>
      <t>邹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</si>
  <si>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</si>
  <si>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朝根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</si>
  <si>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苦味酒;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</t>
    </r>
  </si>
  <si>
    <t>粤潮升</t>
  </si>
  <si>
    <r>
      <t>广州潮升餐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</si>
  <si>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餐后酒（利口酒和烈酒）;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</si>
  <si>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半卷清辞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</si>
  <si>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</si>
  <si>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开胃酒; 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</si>
  <si>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誉双福</t>
  </si>
  <si>
    <r>
      <t>钟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</si>
  <si>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 xml:space="preserve">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食用酒精; 青稞酒; 果酒（含酒精）</t>
    </r>
  </si>
  <si>
    <r>
      <t>野人日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</si>
  <si>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大地密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(河南)科技有限公司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</si>
  <si>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威士忌; 葡萄酒;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</si>
  <si>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</si>
  <si>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沙酒拉丁酒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</si>
  <si>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</si>
  <si>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丹霞似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</si>
  <si>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北海富宝商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</si>
  <si>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水果汽酒; 白酒;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起泡白葡萄酒</t>
    </r>
  </si>
  <si>
    <t>一品粱食官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</si>
  <si>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葡萄酒; 米酒;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</si>
  <si>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瓷泠</t>
  </si>
  <si>
    <r>
      <t>山西晋十二酒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</si>
  <si>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</si>
  <si>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GUO PAIMING JIU</t>
  </si>
  <si>
    <r>
      <t>陈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</si>
  <si>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</si>
  <si>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睿七娃教育科技有限公司</t>
    </r>
  </si>
  <si>
    <r>
      <t xml:space="preserve">白酒; 露酒; 白干酒（中国白酒）; 高粱酒;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</si>
  <si>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旬坤</t>
  </si>
  <si>
    <t>宫鸣泽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</si>
  <si>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</si>
  <si>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畅</t>
    </r>
  </si>
  <si>
    <t>邵金秀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</si>
  <si>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</si>
  <si>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筹源堂</t>
  </si>
  <si>
    <r>
      <t xml:space="preserve">白酒; 青稞酒; 果酒（含酒精）;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</si>
  <si>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沁渝雄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</si>
  <si>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沁渝酒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</si>
  <si>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果酒; 果酒（含酒精）; 高粱酒; 黄酒</t>
    </r>
  </si>
  <si>
    <r>
      <t>沁渝追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</si>
  <si>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米酒; 甜酒;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</si>
  <si>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t>煨源堂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</si>
  <si>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米酒</t>
    </r>
  </si>
  <si>
    <t>穗月麦浪</t>
  </si>
  <si>
    <r>
      <t>高</t>
    </r>
    <r>
      <rPr>
        <sz val="11"/>
        <color theme="1"/>
        <rFont val="ＭＳ Ｐゴシック"/>
        <family val="3"/>
        <charset val="134"/>
        <scheme val="minor"/>
      </rPr>
      <t>贯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</si>
  <si>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汽酒;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</si>
  <si>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谷里</t>
    </r>
  </si>
  <si>
    <r>
      <t>白酒; 清酒; 米酒;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葡萄酒</t>
    </r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</si>
  <si>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</si>
  <si>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青梅酒; 果酒（含酒精）;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烈酒; 白酒; 露酒</t>
    </r>
  </si>
  <si>
    <r>
      <t>陌生</t>
    </r>
    <r>
      <rPr>
        <sz val="11"/>
        <color theme="1"/>
        <rFont val="ＭＳ Ｐゴシック"/>
        <family val="3"/>
        <charset val="134"/>
        <scheme val="minor"/>
      </rPr>
      <t>频</t>
    </r>
    <r>
      <rPr>
        <sz val="11"/>
        <color theme="1"/>
        <rFont val="ＭＳ Ｐゴシック"/>
        <family val="3"/>
        <charset val="128"/>
        <scheme val="minor"/>
      </rPr>
      <t>率</t>
    </r>
  </si>
  <si>
    <r>
      <t>海南陌生</t>
    </r>
    <r>
      <rPr>
        <sz val="11"/>
        <color theme="1"/>
        <rFont val="ＭＳ Ｐゴシック"/>
        <family val="3"/>
        <charset val="134"/>
        <scheme val="minor"/>
      </rPr>
      <t>频</t>
    </r>
    <r>
      <rPr>
        <sz val="11"/>
        <color theme="1"/>
        <rFont val="ＭＳ Ｐゴシック"/>
        <family val="3"/>
        <charset val="128"/>
        <scheme val="minor"/>
      </rPr>
      <t>率影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</si>
  <si>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汽酒; 威士忌;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葡萄酒; 白酒</t>
    </r>
  </si>
  <si>
    <t>四成公</t>
  </si>
  <si>
    <t>山西省四成公食品有限公司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</si>
  <si>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</si>
  <si>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灞岸春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</si>
  <si>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西中科空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教育研究院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</si>
  <si>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</si>
  <si>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随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</si>
  <si>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成雄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</si>
  <si>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</si>
  <si>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御坊</t>
    </r>
  </si>
  <si>
    <t>郭二平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</si>
  <si>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</si>
  <si>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达大草原</t>
    </r>
  </si>
  <si>
    <r>
      <t xml:space="preserve">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</si>
  <si>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疆半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</si>
  <si>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阿克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市半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田果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</si>
  <si>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苹果酒; 果酒; 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水果汽酒; 果酒（含酒精）; 梨酒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</si>
  <si>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酬</t>
    </r>
  </si>
  <si>
    <r>
      <t>果酒（含酒精）; 青稞酒;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</si>
  <si>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都大草原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</si>
  <si>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食用酒精</t>
    </r>
  </si>
  <si>
    <t>邀禧</t>
  </si>
  <si>
    <t>郭双奇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</si>
  <si>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露酒;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</si>
  <si>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嵩郝家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</si>
  <si>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嵩明金皓阳商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</si>
  <si>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</t>
    </r>
  </si>
  <si>
    <t>䬹醇</t>
  </si>
  <si>
    <r>
      <t>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</si>
  <si>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</t>
    </r>
  </si>
  <si>
    <t>九上喜</t>
  </si>
  <si>
    <r>
      <t>深圳市盈</t>
    </r>
    <r>
      <rPr>
        <sz val="11"/>
        <color theme="1"/>
        <rFont val="ＭＳ Ｐゴシック"/>
        <family val="3"/>
        <charset val="134"/>
        <scheme val="minor"/>
      </rPr>
      <t>联饮</t>
    </r>
    <r>
      <rPr>
        <sz val="11"/>
        <color theme="1"/>
        <rFont val="ＭＳ Ｐゴシック"/>
        <family val="3"/>
        <charset val="128"/>
        <scheme val="minor"/>
      </rPr>
      <t>食文化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</si>
  <si>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青梅酒;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米酒; 果酒（含酒精）; 葡萄酒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</si>
  <si>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博士</t>
    </r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</si>
  <si>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千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</si>
  <si>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葡萄酒; 白酒; 蜂蜜酒;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</si>
  <si>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不言而</t>
    </r>
    <r>
      <rPr>
        <sz val="11"/>
        <color theme="1"/>
        <rFont val="ＭＳ Ｐゴシック"/>
        <family val="3"/>
        <charset val="129"/>
        <scheme val="minor"/>
      </rPr>
      <t>喻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</si>
  <si>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</si>
  <si>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生堂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</si>
  <si>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博斯佳商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</si>
  <si>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烈酒; 甜酒; 高粱酒; 葡萄酒; 米酒; 白酒; 佐餐酒; 梅酒; 果酒</t>
  </si>
  <si>
    <t>鹿佑嘉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</si>
  <si>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春市新天一鹿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</si>
  <si>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酸酒（低等葡萄酒）; 青稞酒</t>
    </r>
  </si>
  <si>
    <t>君湃</t>
  </si>
  <si>
    <t>涂明德</t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</si>
  <si>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清酒; 黄酒;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</si>
  <si>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沧澜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</si>
  <si>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海听涛酒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</si>
  <si>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伏特加酒;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</si>
  <si>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米酒; 蜂蜜酒;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</si>
  <si>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颗鲜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</si>
  <si>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西洋</t>
    </r>
    <r>
      <rPr>
        <sz val="11"/>
        <color theme="1"/>
        <rFont val="ＭＳ Ｐゴシック"/>
        <family val="3"/>
        <charset val="134"/>
        <scheme val="minor"/>
      </rPr>
      <t>县蓝</t>
    </r>
    <r>
      <rPr>
        <sz val="11"/>
        <color theme="1"/>
        <rFont val="ＭＳ Ｐゴシック"/>
        <family val="3"/>
        <charset val="128"/>
        <scheme val="minor"/>
      </rPr>
      <t>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</si>
  <si>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</t>
    </r>
  </si>
  <si>
    <r>
      <t>炎黄先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</si>
  <si>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</si>
  <si>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麒宇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巡酒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</si>
  <si>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西麒宇酒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</si>
  <si>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</si>
  <si>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金神鼓</t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</si>
  <si>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</si>
  <si>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勇神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</si>
  <si>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</si>
  <si>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天香馥雅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</si>
  <si>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</si>
  <si>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茗雅辰味</t>
  </si>
  <si>
    <t>黄琬棋</t>
  </si>
  <si>
    <r>
      <t>青稞酒; 杜松子酒;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</si>
  <si>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深圳市三智广告有限公司</t>
  </si>
  <si>
    <r>
      <t>果酒;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</si>
  <si>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誉昌盛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</si>
  <si>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</si>
  <si>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果酒（含酒精）; 食用酒精; 青稞酒; 薄荷酒;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</si>
  <si>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粮中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</si>
  <si>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威士忌; 黄酒;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</si>
  <si>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客喜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</si>
  <si>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</si>
  <si>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</si>
  <si>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可复柔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</si>
  <si>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西鑫久生物制品制造有限公司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</si>
  <si>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</t>
    </r>
  </si>
  <si>
    <t>多彩果力源</t>
  </si>
  <si>
    <r>
      <t>陈</t>
    </r>
    <r>
      <rPr>
        <sz val="11"/>
        <color theme="1"/>
        <rFont val="ＭＳ Ｐゴシック"/>
        <family val="3"/>
        <charset val="128"/>
        <scheme val="minor"/>
      </rPr>
      <t>春福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</si>
  <si>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</si>
  <si>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趣小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</si>
  <si>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欣欣</t>
    </r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</si>
  <si>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伏特加酒;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</si>
  <si>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神沽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</si>
  <si>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黄酒</t>
    </r>
  </si>
  <si>
    <t>大道曜林</t>
  </si>
  <si>
    <t>浙江曜林科技有限公司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</si>
  <si>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茴香酒（利口酒）;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茴芹酒（利口酒）;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</si>
  <si>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嬉游忌</t>
  </si>
  <si>
    <t>黄圣然</t>
  </si>
  <si>
    <r>
      <t>威士忌; 葡萄酒; 杜松子酒; 伏特加酒;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</si>
  <si>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</si>
  <si>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威士忌; 葡萄酒; 米酒; 白酒; 开胃酒</t>
    </r>
  </si>
  <si>
    <t>湘泉九魂</t>
  </si>
  <si>
    <r>
      <t>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</si>
  <si>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北田野</t>
    </r>
  </si>
  <si>
    <t>郭恩慧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</si>
  <si>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</si>
  <si>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宿山秀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</si>
  <si>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云港宿山秀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</si>
  <si>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起泡白葡萄酒;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</si>
  <si>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青城山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</si>
  <si>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都江堰市青城山大道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</si>
  <si>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</si>
  <si>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求樽</t>
  </si>
  <si>
    <t>王小广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</si>
  <si>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</si>
  <si>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纵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</si>
  <si>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国文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</si>
  <si>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</si>
  <si>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万泰隆</t>
  </si>
  <si>
    <t>丁江浩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</si>
  <si>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</si>
  <si>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金誉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</si>
  <si>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岩市金誉生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</si>
  <si>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果酒; 烈酒; 露酒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</si>
  <si>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小仙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</si>
  <si>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</si>
  <si>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秒南秒北</t>
  </si>
  <si>
    <r>
      <t>果酒（含酒精）;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黄酒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</si>
  <si>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元气</t>
    </r>
  </si>
  <si>
    <t>蔡李素</t>
  </si>
  <si>
    <r>
      <t xml:space="preserve">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米酒</t>
    </r>
  </si>
  <si>
    <t>峭崎</t>
  </si>
  <si>
    <r>
      <t>深圳市麦迪姆斯酒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</si>
  <si>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利口酒;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</si>
  <si>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陶成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</si>
  <si>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蜂蜜酒; 威士忌;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</si>
  <si>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t>信之洋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</si>
  <si>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泉湖酒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</si>
  <si>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</t>
    </r>
  </si>
  <si>
    <t>忻川高</t>
  </si>
  <si>
    <t>王占昌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</si>
  <si>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</t>
    </r>
  </si>
  <si>
    <t>蜀双福</t>
  </si>
  <si>
    <r>
      <t>陈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</si>
  <si>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白酒; 黄酒; 米酒; 果酒（含酒精）</t>
    </r>
  </si>
  <si>
    <t>富好康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</si>
  <si>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区安友百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</si>
  <si>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</si>
  <si>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金六梦</t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</si>
  <si>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</si>
  <si>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露酒</t>
    </r>
  </si>
  <si>
    <r>
      <t>关中</t>
    </r>
    <r>
      <rPr>
        <sz val="11"/>
        <color theme="1"/>
        <rFont val="ＭＳ Ｐゴシック"/>
        <family val="3"/>
        <charset val="134"/>
        <scheme val="minor"/>
      </rPr>
      <t>谣</t>
    </r>
  </si>
  <si>
    <t>王子定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</si>
  <si>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开胃酒;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</si>
  <si>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赤康古</t>
  </si>
  <si>
    <r>
      <t>钟</t>
    </r>
    <r>
      <rPr>
        <sz val="11"/>
        <color theme="1"/>
        <rFont val="ＭＳ Ｐゴシック"/>
        <family val="3"/>
        <charset val="128"/>
        <scheme val="minor"/>
      </rPr>
      <t>山区醉翁亭烟酒店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</si>
  <si>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葡萄酒;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</si>
  <si>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西大境唐鼎酒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</si>
  <si>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白酒;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</si>
  <si>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孝春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</si>
  <si>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好儿女酒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</si>
  <si>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餐后酒（利口酒和烈酒）;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</si>
  <si>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宇明月</t>
  </si>
  <si>
    <r>
      <t>雄安花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昱生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</si>
  <si>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朗姆酒; 含酒精的气泡水</t>
    </r>
  </si>
  <si>
    <t>杏彩福</t>
  </si>
  <si>
    <t>潘光姐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</si>
  <si>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餐后酒（利口酒和烈酒）; 黄酒</t>
    </r>
  </si>
  <si>
    <r>
      <t>秒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秒西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</si>
  <si>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</si>
  <si>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酒小殿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</si>
  <si>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</si>
  <si>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星空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</si>
  <si>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深州三合盛祥酒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</si>
  <si>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清酒（日本米酒）;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</si>
  <si>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9"/>
        <scheme val="minor"/>
      </rPr>
      <t>喵喵</t>
    </r>
  </si>
  <si>
    <r>
      <t>深圳市鼎鼎酒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</si>
  <si>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果酒; 利口酒;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</si>
  <si>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大境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</si>
  <si>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</si>
  <si>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驱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</si>
  <si>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展通科技有限公司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</si>
  <si>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</si>
  <si>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摸</t>
    </r>
    <r>
      <rPr>
        <sz val="11"/>
        <color theme="1"/>
        <rFont val="ＭＳ Ｐゴシック"/>
        <family val="3"/>
        <charset val="134"/>
        <scheme val="minor"/>
      </rPr>
      <t>钧</t>
    </r>
  </si>
  <si>
    <r>
      <t>河南天涛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</si>
  <si>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催兜味</t>
  </si>
  <si>
    <t>阳俊</t>
  </si>
  <si>
    <r>
      <t xml:space="preserve">米酒;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白酒; 甜果酒; 黄酒;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</si>
  <si>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北義</t>
    </r>
  </si>
  <si>
    <r>
      <t xml:space="preserve">白酒; 黄酒; 利口酒;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</t>
    </r>
  </si>
  <si>
    <r>
      <t>義</t>
    </r>
    <r>
      <rPr>
        <sz val="11"/>
        <color theme="1"/>
        <rFont val="ＭＳ Ｐゴシック"/>
        <family val="3"/>
        <charset val="134"/>
        <scheme val="minor"/>
      </rPr>
      <t>门龙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</si>
  <si>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</si>
  <si>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果酒（含酒精）;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</si>
  <si>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r>
      <t>华润</t>
    </r>
    <r>
      <rPr>
        <sz val="11"/>
        <color theme="1"/>
        <rFont val="ＭＳ Ｐゴシック"/>
        <family val="3"/>
        <charset val="128"/>
        <scheme val="minor"/>
      </rPr>
      <t>希望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 CR HOPE LAND</t>
    </r>
  </si>
  <si>
    <r>
      <t>华润</t>
    </r>
    <r>
      <rPr>
        <sz val="11"/>
        <color theme="1"/>
        <rFont val="ＭＳ Ｐゴシック"/>
        <family val="3"/>
        <charset val="128"/>
        <scheme val="minor"/>
      </rPr>
      <t>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</si>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</sst>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883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1916</v>
      </c>
      <c r="D2" s="10">
        <v>45646</v>
      </c>
      <c r="E2" s="13" t="str">
        <f>+HYPERLINK("http://trademark.i-assist.jp/data/china/image_1916th/27098460.pdf","27098460")</f>
        <v>27098460</v>
      </c>
      <c r="F2" s="9" t="s">
        <v>74</v>
      </c>
      <c r="G2" s="9" t="s">
        <v>75</v>
      </c>
      <c r="H2" s="9" t="s">
        <v>76</v>
      </c>
      <c r="I2" s="10">
        <v>43034</v>
      </c>
    </row>
    <row r="3" spans="1:9" x14ac:dyDescent="0.15">
      <c r="A3" s="9">
        <v>2</v>
      </c>
      <c r="B3" s="9" t="s">
        <v>9</v>
      </c>
      <c r="C3" s="9">
        <v>1916</v>
      </c>
      <c r="D3" s="10">
        <v>45646</v>
      </c>
      <c r="E3" s="13" t="str">
        <f>+HYPERLINK("http://trademark.i-assist.jp/data/china/image_1916th/53496318.pdf","53496318")</f>
        <v>53496318</v>
      </c>
      <c r="F3" s="9" t="s">
        <v>77</v>
      </c>
      <c r="G3" s="9" t="s">
        <v>78</v>
      </c>
      <c r="H3" s="9" t="s">
        <v>79</v>
      </c>
      <c r="I3" s="10">
        <v>44229</v>
      </c>
    </row>
    <row r="4" spans="1:9" x14ac:dyDescent="0.15">
      <c r="A4" s="9">
        <v>3</v>
      </c>
      <c r="B4" s="9" t="s">
        <v>9</v>
      </c>
      <c r="C4" s="9">
        <v>1916</v>
      </c>
      <c r="D4" s="10">
        <v>45646</v>
      </c>
      <c r="E4" s="13" t="str">
        <f>+HYPERLINK("http://trademark.i-assist.jp/data/china/image_1916th/66099226.pdf","66099226")</f>
        <v>66099226</v>
      </c>
      <c r="F4" s="9" t="s">
        <v>80</v>
      </c>
      <c r="G4" s="9" t="s">
        <v>81</v>
      </c>
      <c r="H4" s="9" t="s">
        <v>82</v>
      </c>
      <c r="I4" s="10">
        <v>44763</v>
      </c>
    </row>
    <row r="5" spans="1:9" x14ac:dyDescent="0.15">
      <c r="A5" s="9">
        <v>4</v>
      </c>
      <c r="B5" s="9" t="s">
        <v>9</v>
      </c>
      <c r="C5" s="9">
        <v>1916</v>
      </c>
      <c r="D5" s="10">
        <v>45646</v>
      </c>
      <c r="E5" s="13" t="str">
        <f>+HYPERLINK("http://trademark.i-assist.jp/data/china/image_1916th/67651692.pdf","67651692")</f>
        <v>67651692</v>
      </c>
      <c r="F5" s="9" t="s">
        <v>83</v>
      </c>
      <c r="G5" s="12" t="s">
        <v>84</v>
      </c>
      <c r="H5" s="9" t="s">
        <v>85</v>
      </c>
      <c r="I5" s="10">
        <v>44845</v>
      </c>
    </row>
    <row r="6" spans="1:9" x14ac:dyDescent="0.15">
      <c r="A6" s="9">
        <v>5</v>
      </c>
      <c r="B6" s="9" t="s">
        <v>9</v>
      </c>
      <c r="C6" s="9">
        <v>1916</v>
      </c>
      <c r="D6" s="10">
        <v>45646</v>
      </c>
      <c r="E6" s="13" t="str">
        <f>+HYPERLINK("http://trademark.i-assist.jp/data/china/image_1916th/68628827.pdf","68628827")</f>
        <v>68628827</v>
      </c>
      <c r="F6" s="9" t="s">
        <v>86</v>
      </c>
      <c r="G6" s="9" t="s">
        <v>87</v>
      </c>
      <c r="H6" s="9" t="s">
        <v>88</v>
      </c>
      <c r="I6" s="10">
        <v>44895</v>
      </c>
    </row>
    <row r="7" spans="1:9" x14ac:dyDescent="0.15">
      <c r="A7" s="9">
        <v>6</v>
      </c>
      <c r="B7" s="9" t="s">
        <v>9</v>
      </c>
      <c r="C7" s="9">
        <v>1916</v>
      </c>
      <c r="D7" s="10">
        <v>45646</v>
      </c>
      <c r="E7" s="13" t="str">
        <f>+HYPERLINK("http://trademark.i-assist.jp/data/china/image_1916th/68993458.pdf","68993458")</f>
        <v>68993458</v>
      </c>
      <c r="F7" s="9" t="s">
        <v>89</v>
      </c>
      <c r="G7" s="12" t="s">
        <v>22</v>
      </c>
      <c r="H7" s="9" t="s">
        <v>12</v>
      </c>
      <c r="I7" s="10">
        <v>44921</v>
      </c>
    </row>
    <row r="8" spans="1:9" x14ac:dyDescent="0.15">
      <c r="A8" s="9">
        <v>7</v>
      </c>
      <c r="B8" s="9" t="s">
        <v>9</v>
      </c>
      <c r="C8" s="9">
        <v>1916</v>
      </c>
      <c r="D8" s="10">
        <v>45646</v>
      </c>
      <c r="E8" s="13" t="str">
        <f>+HYPERLINK("http://trademark.i-assist.jp/data/china/image_1916th/69670904.pdf","69670904")</f>
        <v>69670904</v>
      </c>
      <c r="F8" s="9" t="s">
        <v>90</v>
      </c>
      <c r="G8" s="12" t="s">
        <v>91</v>
      </c>
      <c r="H8" s="9" t="s">
        <v>92</v>
      </c>
      <c r="I8" s="10">
        <v>44977</v>
      </c>
    </row>
    <row r="9" spans="1:9" x14ac:dyDescent="0.15">
      <c r="A9" s="9">
        <v>8</v>
      </c>
      <c r="B9" s="9" t="s">
        <v>9</v>
      </c>
      <c r="C9" s="9">
        <v>1916</v>
      </c>
      <c r="D9" s="10">
        <v>45646</v>
      </c>
      <c r="E9" s="13" t="str">
        <f>+HYPERLINK("http://trademark.i-assist.jp/data/china/image_1916th/71948936.pdf","71948936")</f>
        <v>71948936</v>
      </c>
      <c r="F9" s="9" t="s">
        <v>93</v>
      </c>
      <c r="G9" s="12" t="s">
        <v>94</v>
      </c>
      <c r="H9" s="9" t="s">
        <v>95</v>
      </c>
      <c r="I9" s="10">
        <v>45077</v>
      </c>
    </row>
    <row r="10" spans="1:9" x14ac:dyDescent="0.15">
      <c r="A10" s="9">
        <v>9</v>
      </c>
      <c r="B10" s="9" t="s">
        <v>9</v>
      </c>
      <c r="C10" s="9">
        <v>1916</v>
      </c>
      <c r="D10" s="10">
        <v>45646</v>
      </c>
      <c r="E10" s="13" t="str">
        <f>+HYPERLINK("http://trademark.i-assist.jp/data/china/image_1916th/72190321.pdf","72190321")</f>
        <v>72190321</v>
      </c>
      <c r="F10" s="9" t="s">
        <v>96</v>
      </c>
      <c r="G10" s="12" t="s">
        <v>22</v>
      </c>
      <c r="H10" s="9" t="s">
        <v>97</v>
      </c>
      <c r="I10" s="10">
        <v>45090</v>
      </c>
    </row>
    <row r="11" spans="1:9" x14ac:dyDescent="0.15">
      <c r="A11" s="9">
        <v>10</v>
      </c>
      <c r="B11" s="9" t="s">
        <v>9</v>
      </c>
      <c r="C11" s="9">
        <v>1916</v>
      </c>
      <c r="D11" s="10">
        <v>45646</v>
      </c>
      <c r="E11" s="13" t="str">
        <f>+HYPERLINK("http://trademark.i-assist.jp/data/china/image_1916th/73726262.pdf","73726262")</f>
        <v>73726262</v>
      </c>
      <c r="F11" s="9" t="s">
        <v>98</v>
      </c>
      <c r="G11" s="9" t="s">
        <v>99</v>
      </c>
      <c r="H11" s="12" t="s">
        <v>100</v>
      </c>
      <c r="I11" s="10">
        <v>45166</v>
      </c>
    </row>
    <row r="12" spans="1:9" x14ac:dyDescent="0.15">
      <c r="A12" s="9">
        <v>11</v>
      </c>
      <c r="B12" s="9" t="s">
        <v>9</v>
      </c>
      <c r="C12" s="9">
        <v>1916</v>
      </c>
      <c r="D12" s="10">
        <v>45646</v>
      </c>
      <c r="E12" s="13" t="str">
        <f>+HYPERLINK("http://trademark.i-assist.jp/data/china/image_1916th/74076835.pdf","74076835")</f>
        <v>74076835</v>
      </c>
      <c r="F12" s="9" t="s">
        <v>101</v>
      </c>
      <c r="G12" s="9" t="s">
        <v>102</v>
      </c>
      <c r="H12" s="9" t="s">
        <v>103</v>
      </c>
      <c r="I12" s="10">
        <v>45183</v>
      </c>
    </row>
    <row r="13" spans="1:9" x14ac:dyDescent="0.15">
      <c r="A13" s="9">
        <v>12</v>
      </c>
      <c r="B13" s="9" t="s">
        <v>9</v>
      </c>
      <c r="C13" s="9">
        <v>1916</v>
      </c>
      <c r="D13" s="10">
        <v>45646</v>
      </c>
      <c r="E13" s="13" t="str">
        <f>+HYPERLINK("http://trademark.i-assist.jp/data/china/image_1916th/74291320.pdf","74291320")</f>
        <v>74291320</v>
      </c>
      <c r="F13" s="9" t="s">
        <v>104</v>
      </c>
      <c r="G13" s="12" t="s">
        <v>105</v>
      </c>
      <c r="H13" s="9" t="s">
        <v>106</v>
      </c>
      <c r="I13" s="10">
        <v>45194</v>
      </c>
    </row>
    <row r="14" spans="1:9" x14ac:dyDescent="0.15">
      <c r="A14" s="9">
        <v>13</v>
      </c>
      <c r="B14" s="9" t="s">
        <v>9</v>
      </c>
      <c r="C14" s="9">
        <v>1916</v>
      </c>
      <c r="D14" s="10">
        <v>45646</v>
      </c>
      <c r="E14" s="13" t="str">
        <f>+HYPERLINK("http://trademark.i-assist.jp/data/china/image_1916th/74315010.pdf","74315010")</f>
        <v>74315010</v>
      </c>
      <c r="F14" s="9" t="s">
        <v>107</v>
      </c>
      <c r="G14" s="9" t="s">
        <v>108</v>
      </c>
      <c r="H14" s="9" t="s">
        <v>109</v>
      </c>
      <c r="I14" s="10">
        <v>45195</v>
      </c>
    </row>
    <row r="15" spans="1:9" x14ac:dyDescent="0.15">
      <c r="A15" s="9">
        <v>14</v>
      </c>
      <c r="B15" s="9" t="s">
        <v>9</v>
      </c>
      <c r="C15" s="9">
        <v>1916</v>
      </c>
      <c r="D15" s="10">
        <v>45646</v>
      </c>
      <c r="E15" s="13" t="str">
        <f>+HYPERLINK("http://trademark.i-assist.jp/data/china/image_1916th/74562826.pdf","74562826")</f>
        <v>74562826</v>
      </c>
      <c r="F15" s="9" t="s">
        <v>110</v>
      </c>
      <c r="G15" s="12" t="s">
        <v>111</v>
      </c>
      <c r="H15" s="9" t="s">
        <v>112</v>
      </c>
      <c r="I15" s="10">
        <v>45212</v>
      </c>
    </row>
    <row r="16" spans="1:9" x14ac:dyDescent="0.15">
      <c r="A16" s="9">
        <v>15</v>
      </c>
      <c r="B16" s="9" t="s">
        <v>9</v>
      </c>
      <c r="C16" s="9">
        <v>1916</v>
      </c>
      <c r="D16" s="10">
        <v>45646</v>
      </c>
      <c r="E16" s="13" t="str">
        <f>+HYPERLINK("http://trademark.i-assist.jp/data/china/image_1916th/74612197.pdf","74612197")</f>
        <v>74612197</v>
      </c>
      <c r="F16" s="12" t="s">
        <v>113</v>
      </c>
      <c r="G16" s="12" t="s">
        <v>113</v>
      </c>
      <c r="H16" s="9" t="s">
        <v>25</v>
      </c>
      <c r="I16" s="10">
        <v>45216</v>
      </c>
    </row>
    <row r="17" spans="1:9" x14ac:dyDescent="0.15">
      <c r="A17" s="9">
        <v>16</v>
      </c>
      <c r="B17" s="9" t="s">
        <v>9</v>
      </c>
      <c r="C17" s="9">
        <v>1916</v>
      </c>
      <c r="D17" s="10">
        <v>45646</v>
      </c>
      <c r="E17" s="13" t="str">
        <f>+HYPERLINK("http://trademark.i-assist.jp/data/china/image_1916th/74715945.pdf","74715945")</f>
        <v>74715945</v>
      </c>
      <c r="F17" s="9" t="s">
        <v>114</v>
      </c>
      <c r="G17" s="9" t="s">
        <v>115</v>
      </c>
      <c r="H17" s="9" t="s">
        <v>116</v>
      </c>
      <c r="I17" s="10">
        <v>45222</v>
      </c>
    </row>
    <row r="18" spans="1:9" x14ac:dyDescent="0.15">
      <c r="A18" s="9">
        <v>17</v>
      </c>
      <c r="B18" s="9" t="s">
        <v>9</v>
      </c>
      <c r="C18" s="9">
        <v>1916</v>
      </c>
      <c r="D18" s="10">
        <v>45646</v>
      </c>
      <c r="E18" s="13" t="str">
        <f>+HYPERLINK("http://trademark.i-assist.jp/data/china/image_1916th/74823043.pdf","74823043")</f>
        <v>74823043</v>
      </c>
      <c r="F18" s="9" t="s">
        <v>117</v>
      </c>
      <c r="G18" s="9" t="s">
        <v>118</v>
      </c>
      <c r="H18" s="9" t="s">
        <v>119</v>
      </c>
      <c r="I18" s="10">
        <v>45226</v>
      </c>
    </row>
    <row r="19" spans="1:9" x14ac:dyDescent="0.15">
      <c r="A19" s="9">
        <v>18</v>
      </c>
      <c r="B19" s="9" t="s">
        <v>9</v>
      </c>
      <c r="C19" s="9">
        <v>1916</v>
      </c>
      <c r="D19" s="10">
        <v>45646</v>
      </c>
      <c r="E19" s="13" t="str">
        <f>+HYPERLINK("http://trademark.i-assist.jp/data/china/image_1916th/74895579.pdf","74895579")</f>
        <v>74895579</v>
      </c>
      <c r="F19" s="9" t="s">
        <v>120</v>
      </c>
      <c r="G19" s="9" t="s">
        <v>121</v>
      </c>
      <c r="H19" s="9" t="s">
        <v>122</v>
      </c>
      <c r="I19" s="10">
        <v>45230</v>
      </c>
    </row>
    <row r="20" spans="1:9" x14ac:dyDescent="0.15">
      <c r="A20" s="9">
        <v>19</v>
      </c>
      <c r="B20" s="9" t="s">
        <v>9</v>
      </c>
      <c r="C20" s="9">
        <v>1916</v>
      </c>
      <c r="D20" s="10">
        <v>45646</v>
      </c>
      <c r="E20" s="13" t="str">
        <f>+HYPERLINK("http://trademark.i-assist.jp/data/china/image_1916th/74958909.pdf","74958909")</f>
        <v>74958909</v>
      </c>
      <c r="F20" s="9" t="s">
        <v>123</v>
      </c>
      <c r="G20" s="9" t="s">
        <v>124</v>
      </c>
      <c r="H20" s="9" t="s">
        <v>125</v>
      </c>
      <c r="I20" s="10">
        <v>45233</v>
      </c>
    </row>
    <row r="21" spans="1:9" x14ac:dyDescent="0.15">
      <c r="A21" s="9">
        <v>20</v>
      </c>
      <c r="B21" s="9" t="s">
        <v>9</v>
      </c>
      <c r="C21" s="9">
        <v>1916</v>
      </c>
      <c r="D21" s="10">
        <v>45646</v>
      </c>
      <c r="E21" s="13" t="str">
        <f>+HYPERLINK("http://trademark.i-assist.jp/data/china/image_1916th/74959768.pdf","74959768")</f>
        <v>74959768</v>
      </c>
      <c r="F21" s="9" t="s">
        <v>126</v>
      </c>
      <c r="G21" s="12" t="s">
        <v>127</v>
      </c>
      <c r="H21" s="9" t="s">
        <v>128</v>
      </c>
      <c r="I21" s="10">
        <v>45233</v>
      </c>
    </row>
    <row r="22" spans="1:9" x14ac:dyDescent="0.15">
      <c r="A22" s="9">
        <v>21</v>
      </c>
      <c r="B22" s="9" t="s">
        <v>9</v>
      </c>
      <c r="C22" s="9">
        <v>1916</v>
      </c>
      <c r="D22" s="10">
        <v>45646</v>
      </c>
      <c r="E22" s="13" t="str">
        <f>+HYPERLINK("http://trademark.i-assist.jp/data/china/image_1916th/74998164.pdf","74998164")</f>
        <v>74998164</v>
      </c>
      <c r="F22" s="12" t="s">
        <v>129</v>
      </c>
      <c r="G22" s="12" t="s">
        <v>130</v>
      </c>
      <c r="H22" s="9" t="s">
        <v>131</v>
      </c>
      <c r="I22" s="10">
        <v>45236</v>
      </c>
    </row>
    <row r="23" spans="1:9" x14ac:dyDescent="0.15">
      <c r="A23" s="9">
        <v>22</v>
      </c>
      <c r="B23" s="9" t="s">
        <v>9</v>
      </c>
      <c r="C23" s="9">
        <v>1916</v>
      </c>
      <c r="D23" s="10">
        <v>45646</v>
      </c>
      <c r="E23" s="13" t="str">
        <f>+HYPERLINK("http://trademark.i-assist.jp/data/china/image_1916th/75039136.pdf","75039136")</f>
        <v>75039136</v>
      </c>
      <c r="F23" s="9" t="s">
        <v>132</v>
      </c>
      <c r="G23" s="9" t="s">
        <v>133</v>
      </c>
      <c r="H23" s="9" t="s">
        <v>134</v>
      </c>
      <c r="I23" s="10">
        <v>45237</v>
      </c>
    </row>
    <row r="24" spans="1:9" x14ac:dyDescent="0.15">
      <c r="A24" s="9">
        <v>23</v>
      </c>
      <c r="B24" s="9" t="s">
        <v>9</v>
      </c>
      <c r="C24" s="9">
        <v>1916</v>
      </c>
      <c r="D24" s="10">
        <v>45646</v>
      </c>
      <c r="E24" s="13" t="str">
        <f>+HYPERLINK("http://trademark.i-assist.jp/data/china/image_1916th/75095484.pdf","75095484")</f>
        <v>75095484</v>
      </c>
      <c r="F24" s="9" t="s">
        <v>135</v>
      </c>
      <c r="G24" s="9" t="s">
        <v>136</v>
      </c>
      <c r="H24" s="9" t="s">
        <v>137</v>
      </c>
      <c r="I24" s="10">
        <v>45240</v>
      </c>
    </row>
    <row r="25" spans="1:9" x14ac:dyDescent="0.15">
      <c r="A25" s="9">
        <v>24</v>
      </c>
      <c r="B25" s="9" t="s">
        <v>9</v>
      </c>
      <c r="C25" s="9">
        <v>1916</v>
      </c>
      <c r="D25" s="10">
        <v>45646</v>
      </c>
      <c r="E25" s="13" t="str">
        <f>+HYPERLINK("http://trademark.i-assist.jp/data/china/image_1916th/75133991.pdf","75133991")</f>
        <v>75133991</v>
      </c>
      <c r="F25" s="9" t="s">
        <v>138</v>
      </c>
      <c r="G25" s="9" t="s">
        <v>23</v>
      </c>
      <c r="H25" s="9" t="s">
        <v>139</v>
      </c>
      <c r="I25" s="10">
        <v>45243</v>
      </c>
    </row>
    <row r="26" spans="1:9" x14ac:dyDescent="0.15">
      <c r="A26" s="9">
        <v>25</v>
      </c>
      <c r="B26" s="9" t="s">
        <v>9</v>
      </c>
      <c r="C26" s="9">
        <v>1916</v>
      </c>
      <c r="D26" s="10">
        <v>45646</v>
      </c>
      <c r="E26" s="13" t="str">
        <f>+HYPERLINK("http://trademark.i-assist.jp/data/china/image_1916th/75236768.pdf","75236768")</f>
        <v>75236768</v>
      </c>
      <c r="F26" s="9" t="s">
        <v>140</v>
      </c>
      <c r="G26" s="9" t="s">
        <v>141</v>
      </c>
      <c r="H26" s="12" t="s">
        <v>142</v>
      </c>
      <c r="I26" s="10">
        <v>45247</v>
      </c>
    </row>
    <row r="27" spans="1:9" x14ac:dyDescent="0.15">
      <c r="A27" s="9">
        <v>26</v>
      </c>
      <c r="B27" s="9" t="s">
        <v>9</v>
      </c>
      <c r="C27" s="9">
        <v>1916</v>
      </c>
      <c r="D27" s="10">
        <v>45646</v>
      </c>
      <c r="E27" s="13" t="str">
        <f>+HYPERLINK("http://trademark.i-assist.jp/data/china/image_1916th/75403987.pdf","75403987")</f>
        <v>75403987</v>
      </c>
      <c r="F27" s="12" t="s">
        <v>143</v>
      </c>
      <c r="G27" s="12" t="s">
        <v>144</v>
      </c>
      <c r="H27" s="9" t="s">
        <v>145</v>
      </c>
      <c r="I27" s="10">
        <v>45254</v>
      </c>
    </row>
    <row r="28" spans="1:9" x14ac:dyDescent="0.15">
      <c r="A28" s="9">
        <v>27</v>
      </c>
      <c r="B28" s="9" t="s">
        <v>9</v>
      </c>
      <c r="C28" s="9">
        <v>1916</v>
      </c>
      <c r="D28" s="10">
        <v>45646</v>
      </c>
      <c r="E28" s="13" t="str">
        <f>+HYPERLINK("http://trademark.i-assist.jp/data/china/image_1916th/75423974.pdf","75423974")</f>
        <v>75423974</v>
      </c>
      <c r="F28" s="9" t="s">
        <v>146</v>
      </c>
      <c r="G28" s="9" t="s">
        <v>147</v>
      </c>
      <c r="H28" s="9" t="s">
        <v>148</v>
      </c>
      <c r="I28" s="10">
        <v>45257</v>
      </c>
    </row>
    <row r="29" spans="1:9" x14ac:dyDescent="0.15">
      <c r="A29" s="9">
        <v>28</v>
      </c>
      <c r="B29" s="9" t="s">
        <v>9</v>
      </c>
      <c r="C29" s="9">
        <v>1916</v>
      </c>
      <c r="D29" s="10">
        <v>45646</v>
      </c>
      <c r="E29" s="13" t="str">
        <f>+HYPERLINK("http://trademark.i-assist.jp/data/china/image_1916th/75481027.pdf","75481027")</f>
        <v>75481027</v>
      </c>
      <c r="F29" s="12" t="s">
        <v>149</v>
      </c>
      <c r="G29" s="12" t="s">
        <v>150</v>
      </c>
      <c r="H29" s="9" t="s">
        <v>151</v>
      </c>
      <c r="I29" s="10">
        <v>45259</v>
      </c>
    </row>
    <row r="30" spans="1:9" x14ac:dyDescent="0.15">
      <c r="A30" s="9">
        <v>29</v>
      </c>
      <c r="B30" s="9" t="s">
        <v>9</v>
      </c>
      <c r="C30" s="9">
        <v>1916</v>
      </c>
      <c r="D30" s="10">
        <v>45646</v>
      </c>
      <c r="E30" s="13" t="str">
        <f>+HYPERLINK("http://trademark.i-assist.jp/data/china/image_1916th/75679408.pdf","75679408")</f>
        <v>75679408</v>
      </c>
      <c r="F30" s="9" t="s">
        <v>152</v>
      </c>
      <c r="G30" s="9" t="s">
        <v>153</v>
      </c>
      <c r="H30" s="9" t="s">
        <v>154</v>
      </c>
      <c r="I30" s="10">
        <v>45268</v>
      </c>
    </row>
    <row r="31" spans="1:9" x14ac:dyDescent="0.15">
      <c r="A31" s="9">
        <v>30</v>
      </c>
      <c r="B31" s="9" t="s">
        <v>9</v>
      </c>
      <c r="C31" s="9">
        <v>1916</v>
      </c>
      <c r="D31" s="10">
        <v>45646</v>
      </c>
      <c r="E31" s="13" t="str">
        <f>+HYPERLINK("http://trademark.i-assist.jp/data/china/image_1916th/75826156.pdf","75826156")</f>
        <v>75826156</v>
      </c>
      <c r="F31" s="9" t="s">
        <v>155</v>
      </c>
      <c r="G31" s="9" t="s">
        <v>156</v>
      </c>
      <c r="H31" s="9" t="s">
        <v>157</v>
      </c>
      <c r="I31" s="10">
        <v>45275</v>
      </c>
    </row>
    <row r="32" spans="1:9" x14ac:dyDescent="0.15">
      <c r="A32" s="9">
        <v>31</v>
      </c>
      <c r="B32" s="9" t="s">
        <v>9</v>
      </c>
      <c r="C32" s="9">
        <v>1916</v>
      </c>
      <c r="D32" s="10">
        <v>45646</v>
      </c>
      <c r="E32" s="13" t="str">
        <f>+HYPERLINK("http://trademark.i-assist.jp/data/china/image_1916th/75840414.pdf","75840414")</f>
        <v>75840414</v>
      </c>
      <c r="F32" s="9" t="s">
        <v>158</v>
      </c>
      <c r="G32" s="12" t="s">
        <v>159</v>
      </c>
      <c r="H32" s="9" t="s">
        <v>160</v>
      </c>
      <c r="I32" s="10">
        <v>45276</v>
      </c>
    </row>
    <row r="33" spans="1:9" x14ac:dyDescent="0.15">
      <c r="A33" s="9">
        <v>32</v>
      </c>
      <c r="B33" s="9" t="s">
        <v>9</v>
      </c>
      <c r="C33" s="9">
        <v>1916</v>
      </c>
      <c r="D33" s="10">
        <v>45646</v>
      </c>
      <c r="E33" s="13" t="str">
        <f>+HYPERLINK("http://trademark.i-assist.jp/data/china/image_1916th/75909475.pdf","75909475")</f>
        <v>75909475</v>
      </c>
      <c r="F33" s="12" t="s">
        <v>161</v>
      </c>
      <c r="G33" s="9" t="s">
        <v>162</v>
      </c>
      <c r="H33" s="9" t="s">
        <v>163</v>
      </c>
      <c r="I33" s="10">
        <v>45280</v>
      </c>
    </row>
    <row r="34" spans="1:9" x14ac:dyDescent="0.15">
      <c r="A34" s="9">
        <v>33</v>
      </c>
      <c r="B34" s="9" t="s">
        <v>9</v>
      </c>
      <c r="C34" s="9">
        <v>1916</v>
      </c>
      <c r="D34" s="10">
        <v>45646</v>
      </c>
      <c r="E34" s="13" t="str">
        <f>+HYPERLINK("http://trademark.i-assist.jp/data/china/image_1916th/75915586.pdf","75915586")</f>
        <v>75915586</v>
      </c>
      <c r="F34" s="9" t="s">
        <v>164</v>
      </c>
      <c r="G34" s="9" t="s">
        <v>165</v>
      </c>
      <c r="H34" s="9" t="s">
        <v>166</v>
      </c>
      <c r="I34" s="10">
        <v>45280</v>
      </c>
    </row>
    <row r="35" spans="1:9" x14ac:dyDescent="0.15">
      <c r="A35" s="9">
        <v>34</v>
      </c>
      <c r="B35" s="9" t="s">
        <v>9</v>
      </c>
      <c r="C35" s="9">
        <v>1916</v>
      </c>
      <c r="D35" s="10">
        <v>45646</v>
      </c>
      <c r="E35" s="13" t="str">
        <f>+HYPERLINK("http://trademark.i-assist.jp/data/china/image_1916th/75917095.pdf","75917095")</f>
        <v>75917095</v>
      </c>
      <c r="F35" s="12" t="s">
        <v>167</v>
      </c>
      <c r="G35" s="9" t="s">
        <v>168</v>
      </c>
      <c r="H35" s="9" t="s">
        <v>169</v>
      </c>
      <c r="I35" s="10">
        <v>45280</v>
      </c>
    </row>
    <row r="36" spans="1:9" x14ac:dyDescent="0.15">
      <c r="A36" s="9">
        <v>35</v>
      </c>
      <c r="B36" s="9" t="s">
        <v>9</v>
      </c>
      <c r="C36" s="9">
        <v>1916</v>
      </c>
      <c r="D36" s="10">
        <v>45646</v>
      </c>
      <c r="E36" s="13" t="str">
        <f>+HYPERLINK("http://trademark.i-assist.jp/data/china/image_1916th/75990546.pdf","75990546")</f>
        <v>75990546</v>
      </c>
      <c r="F36" s="9" t="s">
        <v>170</v>
      </c>
      <c r="G36" s="12" t="s">
        <v>171</v>
      </c>
      <c r="H36" s="12" t="s">
        <v>172</v>
      </c>
      <c r="I36" s="10">
        <v>45285</v>
      </c>
    </row>
    <row r="37" spans="1:9" x14ac:dyDescent="0.15">
      <c r="A37" s="9">
        <v>36</v>
      </c>
      <c r="B37" s="9" t="s">
        <v>9</v>
      </c>
      <c r="C37" s="9">
        <v>1916</v>
      </c>
      <c r="D37" s="10">
        <v>45646</v>
      </c>
      <c r="E37" s="13" t="str">
        <f>+HYPERLINK("http://trademark.i-assist.jp/data/china/image_1916th/76038060.pdf","76038060")</f>
        <v>76038060</v>
      </c>
      <c r="F37" s="9" t="s">
        <v>173</v>
      </c>
      <c r="G37" s="12" t="s">
        <v>174</v>
      </c>
      <c r="H37" s="9" t="s">
        <v>175</v>
      </c>
      <c r="I37" s="10">
        <v>45287</v>
      </c>
    </row>
    <row r="38" spans="1:9" x14ac:dyDescent="0.15">
      <c r="A38" s="9">
        <v>37</v>
      </c>
      <c r="B38" s="9" t="s">
        <v>9</v>
      </c>
      <c r="C38" s="9">
        <v>1916</v>
      </c>
      <c r="D38" s="10">
        <v>45646</v>
      </c>
      <c r="E38" s="13" t="str">
        <f>+HYPERLINK("http://trademark.i-assist.jp/data/china/image_1916th/76049388.pdf","76049388")</f>
        <v>76049388</v>
      </c>
      <c r="F38" s="9" t="s">
        <v>176</v>
      </c>
      <c r="G38" s="9" t="s">
        <v>177</v>
      </c>
      <c r="H38" s="9" t="s">
        <v>178</v>
      </c>
      <c r="I38" s="10">
        <v>45287</v>
      </c>
    </row>
    <row r="39" spans="1:9" x14ac:dyDescent="0.15">
      <c r="A39" s="9">
        <v>38</v>
      </c>
      <c r="B39" s="9" t="s">
        <v>9</v>
      </c>
      <c r="C39" s="9">
        <v>1916</v>
      </c>
      <c r="D39" s="10">
        <v>45646</v>
      </c>
      <c r="E39" s="13" t="str">
        <f>+HYPERLINK("http://trademark.i-assist.jp/data/china/image_1916th/76067427.pdf","76067427")</f>
        <v>76067427</v>
      </c>
      <c r="F39" s="12" t="s">
        <v>179</v>
      </c>
      <c r="G39" s="12" t="s">
        <v>130</v>
      </c>
      <c r="H39" s="9" t="s">
        <v>180</v>
      </c>
      <c r="I39" s="10">
        <v>45288</v>
      </c>
    </row>
    <row r="40" spans="1:9" x14ac:dyDescent="0.15">
      <c r="A40" s="9">
        <v>39</v>
      </c>
      <c r="B40" s="9" t="s">
        <v>9</v>
      </c>
      <c r="C40" s="9">
        <v>1916</v>
      </c>
      <c r="D40" s="10">
        <v>45646</v>
      </c>
      <c r="E40" s="13" t="str">
        <f>+HYPERLINK("http://trademark.i-assist.jp/data/china/image_1916th/76070837.pdf","76070837")</f>
        <v>76070837</v>
      </c>
      <c r="F40" s="9" t="s">
        <v>181</v>
      </c>
      <c r="G40" s="9" t="s">
        <v>182</v>
      </c>
      <c r="H40" s="9" t="s">
        <v>183</v>
      </c>
      <c r="I40" s="10">
        <v>45288</v>
      </c>
    </row>
    <row r="41" spans="1:9" x14ac:dyDescent="0.15">
      <c r="A41" s="9">
        <v>40</v>
      </c>
      <c r="B41" s="9" t="s">
        <v>9</v>
      </c>
      <c r="C41" s="9">
        <v>1916</v>
      </c>
      <c r="D41" s="10">
        <v>45646</v>
      </c>
      <c r="E41" s="13" t="str">
        <f>+HYPERLINK("http://trademark.i-assist.jp/data/china/image_1916th/76082793.pdf","76082793")</f>
        <v>76082793</v>
      </c>
      <c r="F41" s="12" t="s">
        <v>184</v>
      </c>
      <c r="G41" s="9" t="s">
        <v>185</v>
      </c>
      <c r="H41" s="9" t="s">
        <v>186</v>
      </c>
      <c r="I41" s="10">
        <v>45288</v>
      </c>
    </row>
    <row r="42" spans="1:9" x14ac:dyDescent="0.15">
      <c r="A42" s="9">
        <v>41</v>
      </c>
      <c r="B42" s="9" t="s">
        <v>9</v>
      </c>
      <c r="C42" s="9">
        <v>1916</v>
      </c>
      <c r="D42" s="10">
        <v>45646</v>
      </c>
      <c r="E42" s="13" t="str">
        <f>+HYPERLINK("http://trademark.i-assist.jp/data/china/image_1916th/76111898.pdf","76111898")</f>
        <v>76111898</v>
      </c>
      <c r="F42" s="9" t="s">
        <v>187</v>
      </c>
      <c r="G42" s="9" t="s">
        <v>188</v>
      </c>
      <c r="H42" s="9" t="s">
        <v>189</v>
      </c>
      <c r="I42" s="10">
        <v>45289</v>
      </c>
    </row>
    <row r="43" spans="1:9" x14ac:dyDescent="0.15">
      <c r="A43" s="9">
        <v>42</v>
      </c>
      <c r="B43" s="9" t="s">
        <v>9</v>
      </c>
      <c r="C43" s="9">
        <v>1916</v>
      </c>
      <c r="D43" s="10">
        <v>45646</v>
      </c>
      <c r="E43" s="13" t="str">
        <f>+HYPERLINK("http://trademark.i-assist.jp/data/china/image_1916th/76142966.pdf","76142966")</f>
        <v>76142966</v>
      </c>
      <c r="F43" s="12" t="s">
        <v>13</v>
      </c>
      <c r="G43" s="9" t="s">
        <v>190</v>
      </c>
      <c r="H43" s="9" t="s">
        <v>191</v>
      </c>
      <c r="I43" s="10">
        <v>45293</v>
      </c>
    </row>
    <row r="44" spans="1:9" x14ac:dyDescent="0.15">
      <c r="A44" s="9">
        <v>43</v>
      </c>
      <c r="B44" s="9" t="s">
        <v>9</v>
      </c>
      <c r="C44" s="9">
        <v>1916</v>
      </c>
      <c r="D44" s="10">
        <v>45646</v>
      </c>
      <c r="E44" s="13" t="str">
        <f>+HYPERLINK("http://trademark.i-assist.jp/data/china/image_1916th/76147191.pdf","76147191")</f>
        <v>76147191</v>
      </c>
      <c r="F44" s="9" t="s">
        <v>192</v>
      </c>
      <c r="G44" s="9" t="s">
        <v>193</v>
      </c>
      <c r="H44" s="9" t="s">
        <v>194</v>
      </c>
      <c r="I44" s="10">
        <v>45293</v>
      </c>
    </row>
    <row r="45" spans="1:9" x14ac:dyDescent="0.15">
      <c r="A45" s="9">
        <v>44</v>
      </c>
      <c r="B45" s="9" t="s">
        <v>9</v>
      </c>
      <c r="C45" s="9">
        <v>1916</v>
      </c>
      <c r="D45" s="10">
        <v>45646</v>
      </c>
      <c r="E45" s="13" t="str">
        <f>+HYPERLINK("http://trademark.i-assist.jp/data/china/image_1916th/76183578.pdf","76183578")</f>
        <v>76183578</v>
      </c>
      <c r="F45" s="9" t="s">
        <v>26</v>
      </c>
      <c r="G45" s="9" t="s">
        <v>195</v>
      </c>
      <c r="H45" s="9" t="s">
        <v>196</v>
      </c>
      <c r="I45" s="10">
        <v>45295</v>
      </c>
    </row>
    <row r="46" spans="1:9" x14ac:dyDescent="0.15">
      <c r="A46" s="9">
        <v>45</v>
      </c>
      <c r="B46" s="9" t="s">
        <v>9</v>
      </c>
      <c r="C46" s="9">
        <v>1916</v>
      </c>
      <c r="D46" s="10">
        <v>45646</v>
      </c>
      <c r="E46" s="13" t="str">
        <f>+HYPERLINK("http://trademark.i-assist.jp/data/china/image_1916th/76198439.pdf","76198439")</f>
        <v>76198439</v>
      </c>
      <c r="F46" s="9" t="s">
        <v>26</v>
      </c>
      <c r="G46" s="9" t="s">
        <v>195</v>
      </c>
      <c r="H46" s="9" t="s">
        <v>197</v>
      </c>
      <c r="I46" s="10">
        <v>45295</v>
      </c>
    </row>
    <row r="47" spans="1:9" x14ac:dyDescent="0.15">
      <c r="A47" s="9">
        <v>46</v>
      </c>
      <c r="B47" s="9" t="s">
        <v>9</v>
      </c>
      <c r="C47" s="9">
        <v>1916</v>
      </c>
      <c r="D47" s="10">
        <v>45646</v>
      </c>
      <c r="E47" s="13" t="str">
        <f>+HYPERLINK("http://trademark.i-assist.jp/data/china/image_1916th/76203506.pdf","76203506")</f>
        <v>76203506</v>
      </c>
      <c r="F47" s="9" t="s">
        <v>198</v>
      </c>
      <c r="G47" s="9" t="s">
        <v>199</v>
      </c>
      <c r="H47" s="9" t="s">
        <v>200</v>
      </c>
      <c r="I47" s="10">
        <v>45295</v>
      </c>
    </row>
    <row r="48" spans="1:9" x14ac:dyDescent="0.15">
      <c r="A48" s="9">
        <v>47</v>
      </c>
      <c r="B48" s="9" t="s">
        <v>9</v>
      </c>
      <c r="C48" s="9">
        <v>1916</v>
      </c>
      <c r="D48" s="10">
        <v>45646</v>
      </c>
      <c r="E48" s="13" t="str">
        <f>+HYPERLINK("http://trademark.i-assist.jp/data/china/image_1916th/76203707.pdf","76203707")</f>
        <v>76203707</v>
      </c>
      <c r="F48" s="9" t="s">
        <v>201</v>
      </c>
      <c r="G48" s="9" t="s">
        <v>202</v>
      </c>
      <c r="H48" s="9" t="s">
        <v>203</v>
      </c>
      <c r="I48" s="10">
        <v>45295</v>
      </c>
    </row>
    <row r="49" spans="1:9" x14ac:dyDescent="0.15">
      <c r="A49" s="9">
        <v>48</v>
      </c>
      <c r="B49" s="9" t="s">
        <v>9</v>
      </c>
      <c r="C49" s="9">
        <v>1916</v>
      </c>
      <c r="D49" s="10">
        <v>45646</v>
      </c>
      <c r="E49" s="13" t="str">
        <f>+HYPERLINK("http://trademark.i-assist.jp/data/china/image_1916th/76226096.pdf","76226096")</f>
        <v>76226096</v>
      </c>
      <c r="F49" s="12" t="s">
        <v>204</v>
      </c>
      <c r="G49" s="9" t="s">
        <v>205</v>
      </c>
      <c r="H49" s="9" t="s">
        <v>206</v>
      </c>
      <c r="I49" s="10">
        <v>45296</v>
      </c>
    </row>
    <row r="50" spans="1:9" x14ac:dyDescent="0.15">
      <c r="A50" s="9">
        <v>49</v>
      </c>
      <c r="B50" s="9" t="s">
        <v>9</v>
      </c>
      <c r="C50" s="9">
        <v>1916</v>
      </c>
      <c r="D50" s="10">
        <v>45646</v>
      </c>
      <c r="E50" s="13" t="str">
        <f>+HYPERLINK("http://trademark.i-assist.jp/data/china/image_1916th/76381724.pdf","76381724")</f>
        <v>76381724</v>
      </c>
      <c r="F50" s="9" t="s">
        <v>207</v>
      </c>
      <c r="G50" s="12" t="s">
        <v>208</v>
      </c>
      <c r="H50" s="9" t="s">
        <v>209</v>
      </c>
      <c r="I50" s="10">
        <v>45306</v>
      </c>
    </row>
    <row r="51" spans="1:9" x14ac:dyDescent="0.15">
      <c r="A51" s="9">
        <v>50</v>
      </c>
      <c r="B51" s="9" t="s">
        <v>9</v>
      </c>
      <c r="C51" s="9">
        <v>1916</v>
      </c>
      <c r="D51" s="10">
        <v>45646</v>
      </c>
      <c r="E51" s="13" t="str">
        <f>+HYPERLINK("http://trademark.i-assist.jp/data/china/image_1916th/76411338.pdf","76411338")</f>
        <v>76411338</v>
      </c>
      <c r="F51" s="9" t="s">
        <v>210</v>
      </c>
      <c r="G51" s="9" t="s">
        <v>211</v>
      </c>
      <c r="H51" s="9" t="s">
        <v>212</v>
      </c>
      <c r="I51" s="10">
        <v>45307</v>
      </c>
    </row>
    <row r="52" spans="1:9" x14ac:dyDescent="0.15">
      <c r="A52" s="9">
        <v>51</v>
      </c>
      <c r="B52" s="9" t="s">
        <v>9</v>
      </c>
      <c r="C52" s="9">
        <v>1916</v>
      </c>
      <c r="D52" s="10">
        <v>45646</v>
      </c>
      <c r="E52" s="13" t="str">
        <f>+HYPERLINK("http://trademark.i-assist.jp/data/china/image_1916th/76454526.pdf","76454526")</f>
        <v>76454526</v>
      </c>
      <c r="F52" s="9" t="s">
        <v>213</v>
      </c>
      <c r="G52" s="12" t="s">
        <v>22</v>
      </c>
      <c r="H52" s="9" t="s">
        <v>214</v>
      </c>
      <c r="I52" s="10">
        <v>45308</v>
      </c>
    </row>
    <row r="53" spans="1:9" x14ac:dyDescent="0.15">
      <c r="A53" s="9">
        <v>52</v>
      </c>
      <c r="B53" s="9" t="s">
        <v>9</v>
      </c>
      <c r="C53" s="9">
        <v>1916</v>
      </c>
      <c r="D53" s="10">
        <v>45646</v>
      </c>
      <c r="E53" s="13" t="str">
        <f>+HYPERLINK("http://trademark.i-assist.jp/data/china/image_1916th/76462890.pdf","76462890")</f>
        <v>76462890</v>
      </c>
      <c r="F53" s="9" t="s">
        <v>215</v>
      </c>
      <c r="G53" s="9" t="s">
        <v>216</v>
      </c>
      <c r="H53" s="9" t="s">
        <v>217</v>
      </c>
      <c r="I53" s="10">
        <v>45309</v>
      </c>
    </row>
    <row r="54" spans="1:9" x14ac:dyDescent="0.15">
      <c r="A54" s="9">
        <v>53</v>
      </c>
      <c r="B54" s="9" t="s">
        <v>9</v>
      </c>
      <c r="C54" s="9">
        <v>1916</v>
      </c>
      <c r="D54" s="10">
        <v>45646</v>
      </c>
      <c r="E54" s="13" t="str">
        <f>+HYPERLINK("http://trademark.i-assist.jp/data/china/image_1916th/76495322.pdf","76495322")</f>
        <v>76495322</v>
      </c>
      <c r="F54" s="9" t="s">
        <v>218</v>
      </c>
      <c r="G54" s="9" t="s">
        <v>219</v>
      </c>
      <c r="H54" s="9" t="s">
        <v>220</v>
      </c>
      <c r="I54" s="10">
        <v>45310</v>
      </c>
    </row>
    <row r="55" spans="1:9" x14ac:dyDescent="0.15">
      <c r="A55" s="9">
        <v>54</v>
      </c>
      <c r="B55" s="9" t="s">
        <v>9</v>
      </c>
      <c r="C55" s="9">
        <v>1916</v>
      </c>
      <c r="D55" s="10">
        <v>45646</v>
      </c>
      <c r="E55" s="13" t="str">
        <f>+HYPERLINK("http://trademark.i-assist.jp/data/china/image_1916th/76519477.pdf","76519477")</f>
        <v>76519477</v>
      </c>
      <c r="F55" s="9" t="s">
        <v>221</v>
      </c>
      <c r="G55" s="9" t="s">
        <v>222</v>
      </c>
      <c r="H55" s="9" t="s">
        <v>223</v>
      </c>
      <c r="I55" s="10">
        <v>45312</v>
      </c>
    </row>
    <row r="56" spans="1:9" x14ac:dyDescent="0.15">
      <c r="A56" s="9">
        <v>55</v>
      </c>
      <c r="B56" s="9" t="s">
        <v>9</v>
      </c>
      <c r="C56" s="9">
        <v>1916</v>
      </c>
      <c r="D56" s="10">
        <v>45646</v>
      </c>
      <c r="E56" s="13" t="str">
        <f>+HYPERLINK("http://trademark.i-assist.jp/data/china/image_1916th/76563925.pdf","76563925")</f>
        <v>76563925</v>
      </c>
      <c r="F56" s="9" t="s">
        <v>224</v>
      </c>
      <c r="G56" s="9" t="s">
        <v>225</v>
      </c>
      <c r="H56" s="12" t="s">
        <v>226</v>
      </c>
      <c r="I56" s="10">
        <v>45314</v>
      </c>
    </row>
    <row r="57" spans="1:9" x14ac:dyDescent="0.15">
      <c r="A57" s="9">
        <v>56</v>
      </c>
      <c r="B57" s="9" t="s">
        <v>9</v>
      </c>
      <c r="C57" s="9">
        <v>1916</v>
      </c>
      <c r="D57" s="10">
        <v>45646</v>
      </c>
      <c r="E57" s="13" t="str">
        <f>+HYPERLINK("http://trademark.i-assist.jp/data/china/image_1916th/76605173.pdf","76605173")</f>
        <v>76605173</v>
      </c>
      <c r="F57" s="9" t="s">
        <v>227</v>
      </c>
      <c r="G57" s="12" t="s">
        <v>228</v>
      </c>
      <c r="H57" s="12" t="s">
        <v>229</v>
      </c>
      <c r="I57" s="10">
        <v>45316</v>
      </c>
    </row>
    <row r="58" spans="1:9" x14ac:dyDescent="0.15">
      <c r="A58" s="9">
        <v>57</v>
      </c>
      <c r="B58" s="9" t="s">
        <v>9</v>
      </c>
      <c r="C58" s="9">
        <v>1916</v>
      </c>
      <c r="D58" s="10">
        <v>45646</v>
      </c>
      <c r="E58" s="13" t="str">
        <f>+HYPERLINK("http://trademark.i-assist.jp/data/china/image_1916th/76632533.pdf","76632533")</f>
        <v>76632533</v>
      </c>
      <c r="F58" s="9" t="s">
        <v>230</v>
      </c>
      <c r="G58" s="9" t="s">
        <v>231</v>
      </c>
      <c r="H58" s="9" t="s">
        <v>232</v>
      </c>
      <c r="I58" s="10">
        <v>45317</v>
      </c>
    </row>
    <row r="59" spans="1:9" x14ac:dyDescent="0.15">
      <c r="A59" s="9">
        <v>58</v>
      </c>
      <c r="B59" s="9" t="s">
        <v>9</v>
      </c>
      <c r="C59" s="9">
        <v>1916</v>
      </c>
      <c r="D59" s="10">
        <v>45646</v>
      </c>
      <c r="E59" s="13" t="str">
        <f>+HYPERLINK("http://trademark.i-assist.jp/data/china/image_1916th/76657337.pdf","76657337")</f>
        <v>76657337</v>
      </c>
      <c r="F59" s="9" t="s">
        <v>233</v>
      </c>
      <c r="G59" s="9" t="s">
        <v>234</v>
      </c>
      <c r="H59" s="9" t="s">
        <v>235</v>
      </c>
      <c r="I59" s="10">
        <v>45320</v>
      </c>
    </row>
    <row r="60" spans="1:9" x14ac:dyDescent="0.15">
      <c r="A60" s="9">
        <v>59</v>
      </c>
      <c r="B60" s="9" t="s">
        <v>9</v>
      </c>
      <c r="C60" s="9">
        <v>1916</v>
      </c>
      <c r="D60" s="10">
        <v>45646</v>
      </c>
      <c r="E60" s="13" t="str">
        <f>+HYPERLINK("http://trademark.i-assist.jp/data/china/image_1916th/76711250.pdf","76711250")</f>
        <v>76711250</v>
      </c>
      <c r="F60" s="12" t="s">
        <v>13</v>
      </c>
      <c r="G60" s="12" t="s">
        <v>236</v>
      </c>
      <c r="H60" s="9" t="s">
        <v>237</v>
      </c>
      <c r="I60" s="10">
        <v>45322</v>
      </c>
    </row>
    <row r="61" spans="1:9" x14ac:dyDescent="0.15">
      <c r="A61" s="9">
        <v>60</v>
      </c>
      <c r="B61" s="9" t="s">
        <v>9</v>
      </c>
      <c r="C61" s="9">
        <v>1916</v>
      </c>
      <c r="D61" s="10">
        <v>45646</v>
      </c>
      <c r="E61" s="13" t="str">
        <f>+HYPERLINK("http://trademark.i-assist.jp/data/china/image_1916th/76740773.pdf","76740773")</f>
        <v>76740773</v>
      </c>
      <c r="F61" s="9" t="s">
        <v>238</v>
      </c>
      <c r="G61" s="9" t="s">
        <v>239</v>
      </c>
      <c r="H61" s="9" t="s">
        <v>240</v>
      </c>
      <c r="I61" s="10">
        <v>45323</v>
      </c>
    </row>
    <row r="62" spans="1:9" x14ac:dyDescent="0.15">
      <c r="A62" s="9">
        <v>61</v>
      </c>
      <c r="B62" s="9" t="s">
        <v>9</v>
      </c>
      <c r="C62" s="9">
        <v>1916</v>
      </c>
      <c r="D62" s="10">
        <v>45646</v>
      </c>
      <c r="E62" s="13" t="str">
        <f>+HYPERLINK("http://trademark.i-assist.jp/data/china/image_1916th/76789684.pdf","76789684")</f>
        <v>76789684</v>
      </c>
      <c r="F62" s="12" t="s">
        <v>241</v>
      </c>
      <c r="G62" s="9" t="s">
        <v>242</v>
      </c>
      <c r="H62" s="12" t="s">
        <v>243</v>
      </c>
      <c r="I62" s="10">
        <v>45327</v>
      </c>
    </row>
    <row r="63" spans="1:9" x14ac:dyDescent="0.15">
      <c r="A63" s="9">
        <v>62</v>
      </c>
      <c r="B63" s="9" t="s">
        <v>9</v>
      </c>
      <c r="C63" s="9">
        <v>1916</v>
      </c>
      <c r="D63" s="10">
        <v>45646</v>
      </c>
      <c r="E63" s="13" t="str">
        <f>+HYPERLINK("http://trademark.i-assist.jp/data/china/image_1916th/76833823.pdf","76833823")</f>
        <v>76833823</v>
      </c>
      <c r="F63" s="12" t="s">
        <v>13</v>
      </c>
      <c r="G63" s="9" t="s">
        <v>244</v>
      </c>
      <c r="H63" s="9" t="s">
        <v>245</v>
      </c>
      <c r="I63" s="10">
        <v>45340</v>
      </c>
    </row>
    <row r="64" spans="1:9" x14ac:dyDescent="0.15">
      <c r="A64" s="9">
        <v>63</v>
      </c>
      <c r="B64" s="9" t="s">
        <v>9</v>
      </c>
      <c r="C64" s="9">
        <v>1916</v>
      </c>
      <c r="D64" s="10">
        <v>45646</v>
      </c>
      <c r="E64" s="13" t="str">
        <f>+HYPERLINK("http://trademark.i-assist.jp/data/china/image_1916th/76849331.pdf","76849331")</f>
        <v>76849331</v>
      </c>
      <c r="F64" s="9" t="s">
        <v>246</v>
      </c>
      <c r="G64" s="9" t="s">
        <v>247</v>
      </c>
      <c r="H64" s="9" t="s">
        <v>248</v>
      </c>
      <c r="I64" s="10">
        <v>45341</v>
      </c>
    </row>
    <row r="65" spans="1:9" x14ac:dyDescent="0.15">
      <c r="A65" s="9">
        <v>64</v>
      </c>
      <c r="B65" s="9" t="s">
        <v>9</v>
      </c>
      <c r="C65" s="9">
        <v>1916</v>
      </c>
      <c r="D65" s="10">
        <v>45646</v>
      </c>
      <c r="E65" s="13" t="str">
        <f>+HYPERLINK("http://trademark.i-assist.jp/data/china/image_1916th/76903094.pdf","76903094")</f>
        <v>76903094</v>
      </c>
      <c r="F65" s="9" t="s">
        <v>249</v>
      </c>
      <c r="G65" s="9" t="s">
        <v>250</v>
      </c>
      <c r="H65" s="9" t="s">
        <v>251</v>
      </c>
      <c r="I65" s="10">
        <v>45344</v>
      </c>
    </row>
    <row r="66" spans="1:9" x14ac:dyDescent="0.15">
      <c r="A66" s="9">
        <v>65</v>
      </c>
      <c r="B66" s="9" t="s">
        <v>9</v>
      </c>
      <c r="C66" s="9">
        <v>1916</v>
      </c>
      <c r="D66" s="10">
        <v>45646</v>
      </c>
      <c r="E66" s="13" t="str">
        <f>+HYPERLINK("http://trademark.i-assist.jp/data/china/image_1916th/76925842.pdf","76925842")</f>
        <v>76925842</v>
      </c>
      <c r="F66" s="9" t="s">
        <v>252</v>
      </c>
      <c r="G66" s="9" t="s">
        <v>253</v>
      </c>
      <c r="H66" s="9" t="s">
        <v>254</v>
      </c>
      <c r="I66" s="10">
        <v>45345</v>
      </c>
    </row>
    <row r="67" spans="1:9" x14ac:dyDescent="0.15">
      <c r="A67" s="9">
        <v>66</v>
      </c>
      <c r="B67" s="9" t="s">
        <v>9</v>
      </c>
      <c r="C67" s="9">
        <v>1916</v>
      </c>
      <c r="D67" s="10">
        <v>45646</v>
      </c>
      <c r="E67" s="13" t="str">
        <f>+HYPERLINK("http://trademark.i-assist.jp/data/china/image_1916th/76925843.pdf","76925843")</f>
        <v>76925843</v>
      </c>
      <c r="F67" s="9" t="s">
        <v>255</v>
      </c>
      <c r="G67" s="9" t="s">
        <v>256</v>
      </c>
      <c r="H67" s="12" t="s">
        <v>257</v>
      </c>
      <c r="I67" s="10">
        <v>45345</v>
      </c>
    </row>
    <row r="68" spans="1:9" x14ac:dyDescent="0.15">
      <c r="A68" s="9">
        <v>67</v>
      </c>
      <c r="B68" s="9" t="s">
        <v>9</v>
      </c>
      <c r="C68" s="9">
        <v>1916</v>
      </c>
      <c r="D68" s="10">
        <v>45646</v>
      </c>
      <c r="E68" s="13" t="str">
        <f>+HYPERLINK("http://trademark.i-assist.jp/data/china/image_1916th/76954618.pdf","76954618")</f>
        <v>76954618</v>
      </c>
      <c r="F68" s="9" t="s">
        <v>258</v>
      </c>
      <c r="G68" s="9" t="s">
        <v>259</v>
      </c>
      <c r="H68" s="9" t="s">
        <v>260</v>
      </c>
      <c r="I68" s="10">
        <v>45348</v>
      </c>
    </row>
    <row r="69" spans="1:9" x14ac:dyDescent="0.15">
      <c r="A69" s="9">
        <v>68</v>
      </c>
      <c r="B69" s="9" t="s">
        <v>9</v>
      </c>
      <c r="C69" s="9">
        <v>1916</v>
      </c>
      <c r="D69" s="10">
        <v>45646</v>
      </c>
      <c r="E69" s="13" t="str">
        <f>+HYPERLINK("http://trademark.i-assist.jp/data/china/image_1916th/76960801.pdf","76960801")</f>
        <v>76960801</v>
      </c>
      <c r="F69" s="9" t="s">
        <v>261</v>
      </c>
      <c r="G69" s="9" t="s">
        <v>262</v>
      </c>
      <c r="H69" s="9" t="s">
        <v>263</v>
      </c>
      <c r="I69" s="10">
        <v>45348</v>
      </c>
    </row>
    <row r="70" spans="1:9" x14ac:dyDescent="0.15">
      <c r="A70" s="9">
        <v>69</v>
      </c>
      <c r="B70" s="9" t="s">
        <v>9</v>
      </c>
      <c r="C70" s="9">
        <v>1916</v>
      </c>
      <c r="D70" s="10">
        <v>45646</v>
      </c>
      <c r="E70" s="13" t="str">
        <f>+HYPERLINK("http://trademark.i-assist.jp/data/china/image_1916th/76966050.pdf","76966050")</f>
        <v>76966050</v>
      </c>
      <c r="F70" s="9" t="s">
        <v>264</v>
      </c>
      <c r="G70" s="9" t="s">
        <v>265</v>
      </c>
      <c r="H70" s="12" t="s">
        <v>266</v>
      </c>
      <c r="I70" s="10">
        <v>45348</v>
      </c>
    </row>
    <row r="71" spans="1:9" x14ac:dyDescent="0.15">
      <c r="A71" s="9">
        <v>70</v>
      </c>
      <c r="B71" s="9" t="s">
        <v>9</v>
      </c>
      <c r="C71" s="9">
        <v>1916</v>
      </c>
      <c r="D71" s="10">
        <v>45646</v>
      </c>
      <c r="E71" s="13" t="str">
        <f>+HYPERLINK("http://trademark.i-assist.jp/data/china/image_1916th/77051439.pdf","77051439")</f>
        <v>77051439</v>
      </c>
      <c r="F71" s="9" t="s">
        <v>267</v>
      </c>
      <c r="G71" s="9" t="s">
        <v>268</v>
      </c>
      <c r="H71" s="9" t="s">
        <v>269</v>
      </c>
      <c r="I71" s="10">
        <v>45352</v>
      </c>
    </row>
    <row r="72" spans="1:9" x14ac:dyDescent="0.15">
      <c r="A72" s="9">
        <v>71</v>
      </c>
      <c r="B72" s="9" t="s">
        <v>9</v>
      </c>
      <c r="C72" s="9">
        <v>1916</v>
      </c>
      <c r="D72" s="10">
        <v>45646</v>
      </c>
      <c r="E72" s="13" t="str">
        <f>+HYPERLINK("http://trademark.i-assist.jp/data/china/image_1916th/77108648.pdf","77108648")</f>
        <v>77108648</v>
      </c>
      <c r="F72" s="12" t="s">
        <v>270</v>
      </c>
      <c r="G72" s="9" t="s">
        <v>271</v>
      </c>
      <c r="H72" s="9" t="s">
        <v>272</v>
      </c>
      <c r="I72" s="10">
        <v>45356</v>
      </c>
    </row>
    <row r="73" spans="1:9" x14ac:dyDescent="0.15">
      <c r="A73" s="9">
        <v>72</v>
      </c>
      <c r="B73" s="9" t="s">
        <v>9</v>
      </c>
      <c r="C73" s="9">
        <v>1916</v>
      </c>
      <c r="D73" s="10">
        <v>45646</v>
      </c>
      <c r="E73" s="13" t="str">
        <f>+HYPERLINK("http://trademark.i-assist.jp/data/china/image_1916th/77133072.pdf","77133072")</f>
        <v>77133072</v>
      </c>
      <c r="F73" s="9" t="s">
        <v>273</v>
      </c>
      <c r="G73" s="12" t="s">
        <v>274</v>
      </c>
      <c r="H73" s="9" t="s">
        <v>275</v>
      </c>
      <c r="I73" s="10">
        <v>45357</v>
      </c>
    </row>
    <row r="74" spans="1:9" x14ac:dyDescent="0.15">
      <c r="A74" s="9">
        <v>73</v>
      </c>
      <c r="B74" s="9" t="s">
        <v>9</v>
      </c>
      <c r="C74" s="9">
        <v>1916</v>
      </c>
      <c r="D74" s="10">
        <v>45646</v>
      </c>
      <c r="E74" s="13" t="str">
        <f>+HYPERLINK("http://trademark.i-assist.jp/data/china/image_1916th/77140667.pdf","77140667")</f>
        <v>77140667</v>
      </c>
      <c r="F74" s="9" t="s">
        <v>276</v>
      </c>
      <c r="G74" s="12" t="s">
        <v>274</v>
      </c>
      <c r="H74" s="9" t="s">
        <v>277</v>
      </c>
      <c r="I74" s="10">
        <v>45357</v>
      </c>
    </row>
    <row r="75" spans="1:9" x14ac:dyDescent="0.15">
      <c r="A75" s="9">
        <v>74</v>
      </c>
      <c r="B75" s="9" t="s">
        <v>9</v>
      </c>
      <c r="C75" s="9">
        <v>1916</v>
      </c>
      <c r="D75" s="10">
        <v>45646</v>
      </c>
      <c r="E75" s="13" t="str">
        <f>+HYPERLINK("http://trademark.i-assist.jp/data/china/image_1916th/77142134.pdf","77142134")</f>
        <v>77142134</v>
      </c>
      <c r="F75" s="9" t="s">
        <v>278</v>
      </c>
      <c r="G75" s="12" t="s">
        <v>274</v>
      </c>
      <c r="H75" s="9" t="s">
        <v>279</v>
      </c>
      <c r="I75" s="10">
        <v>45357</v>
      </c>
    </row>
    <row r="76" spans="1:9" x14ac:dyDescent="0.15">
      <c r="A76" s="9">
        <v>75</v>
      </c>
      <c r="B76" s="9" t="s">
        <v>9</v>
      </c>
      <c r="C76" s="9">
        <v>1916</v>
      </c>
      <c r="D76" s="10">
        <v>45646</v>
      </c>
      <c r="E76" s="13" t="str">
        <f>+HYPERLINK("http://trademark.i-assist.jp/data/china/image_1916th/77142224.pdf","77142224")</f>
        <v>77142224</v>
      </c>
      <c r="F76" s="9" t="s">
        <v>280</v>
      </c>
      <c r="G76" s="12" t="s">
        <v>274</v>
      </c>
      <c r="H76" s="9" t="s">
        <v>281</v>
      </c>
      <c r="I76" s="10">
        <v>45357</v>
      </c>
    </row>
    <row r="77" spans="1:9" x14ac:dyDescent="0.15">
      <c r="A77" s="9">
        <v>76</v>
      </c>
      <c r="B77" s="9" t="s">
        <v>9</v>
      </c>
      <c r="C77" s="9">
        <v>1916</v>
      </c>
      <c r="D77" s="10">
        <v>45646</v>
      </c>
      <c r="E77" s="13" t="str">
        <f>+HYPERLINK("http://trademark.i-assist.jp/data/china/image_1916th/77151588.pdf","77151588")</f>
        <v>77151588</v>
      </c>
      <c r="F77" s="9" t="s">
        <v>282</v>
      </c>
      <c r="G77" s="9" t="s">
        <v>283</v>
      </c>
      <c r="H77" s="9" t="s">
        <v>284</v>
      </c>
      <c r="I77" s="10">
        <v>45358</v>
      </c>
    </row>
    <row r="78" spans="1:9" x14ac:dyDescent="0.15">
      <c r="A78" s="9">
        <v>77</v>
      </c>
      <c r="B78" s="9" t="s">
        <v>9</v>
      </c>
      <c r="C78" s="9">
        <v>1916</v>
      </c>
      <c r="D78" s="10">
        <v>45646</v>
      </c>
      <c r="E78" s="13" t="str">
        <f>+HYPERLINK("http://trademark.i-assist.jp/data/china/image_1916th/77197383.pdf","77197383")</f>
        <v>77197383</v>
      </c>
      <c r="F78" s="9" t="s">
        <v>285</v>
      </c>
      <c r="G78" s="9" t="s">
        <v>286</v>
      </c>
      <c r="H78" s="9" t="s">
        <v>287</v>
      </c>
      <c r="I78" s="10">
        <v>45359</v>
      </c>
    </row>
    <row r="79" spans="1:9" x14ac:dyDescent="0.15">
      <c r="A79" s="9">
        <v>78</v>
      </c>
      <c r="B79" s="9" t="s">
        <v>9</v>
      </c>
      <c r="C79" s="9">
        <v>1916</v>
      </c>
      <c r="D79" s="10">
        <v>45646</v>
      </c>
      <c r="E79" s="13" t="str">
        <f>+HYPERLINK("http://trademark.i-assist.jp/data/china/image_1916th/77262145.pdf","77262145")</f>
        <v>77262145</v>
      </c>
      <c r="F79" s="9" t="s">
        <v>288</v>
      </c>
      <c r="G79" s="9" t="s">
        <v>289</v>
      </c>
      <c r="H79" s="9" t="s">
        <v>290</v>
      </c>
      <c r="I79" s="10">
        <v>45363</v>
      </c>
    </row>
    <row r="80" spans="1:9" x14ac:dyDescent="0.15">
      <c r="A80" s="9">
        <v>79</v>
      </c>
      <c r="B80" s="9" t="s">
        <v>9</v>
      </c>
      <c r="C80" s="9">
        <v>1916</v>
      </c>
      <c r="D80" s="10">
        <v>45646</v>
      </c>
      <c r="E80" s="13" t="str">
        <f>+HYPERLINK("http://trademark.i-assist.jp/data/china/image_1916th/77413013.pdf","77413013")</f>
        <v>77413013</v>
      </c>
      <c r="F80" s="9" t="s">
        <v>291</v>
      </c>
      <c r="G80" s="12" t="s">
        <v>292</v>
      </c>
      <c r="H80" s="12" t="s">
        <v>293</v>
      </c>
      <c r="I80" s="10">
        <v>45370</v>
      </c>
    </row>
    <row r="81" spans="1:9" x14ac:dyDescent="0.15">
      <c r="A81" s="9">
        <v>80</v>
      </c>
      <c r="B81" s="9" t="s">
        <v>9</v>
      </c>
      <c r="C81" s="9">
        <v>1916</v>
      </c>
      <c r="D81" s="10">
        <v>45646</v>
      </c>
      <c r="E81" s="13" t="str">
        <f>+HYPERLINK("http://trademark.i-assist.jp/data/china/image_1916th/77572015.pdf","77572015")</f>
        <v>77572015</v>
      </c>
      <c r="F81" s="12" t="s">
        <v>294</v>
      </c>
      <c r="G81" s="9" t="s">
        <v>43</v>
      </c>
      <c r="H81" s="9" t="s">
        <v>295</v>
      </c>
      <c r="I81" s="10">
        <v>45378</v>
      </c>
    </row>
    <row r="82" spans="1:9" x14ac:dyDescent="0.15">
      <c r="A82" s="9">
        <v>81</v>
      </c>
      <c r="B82" s="9" t="s">
        <v>9</v>
      </c>
      <c r="C82" s="9">
        <v>1916</v>
      </c>
      <c r="D82" s="10">
        <v>45646</v>
      </c>
      <c r="E82" s="13" t="str">
        <f>+HYPERLINK("http://trademark.i-assist.jp/data/china/image_1916th/77681228.pdf","77681228")</f>
        <v>77681228</v>
      </c>
      <c r="F82" s="9" t="s">
        <v>296</v>
      </c>
      <c r="G82" s="9" t="s">
        <v>297</v>
      </c>
      <c r="H82" s="12" t="s">
        <v>298</v>
      </c>
      <c r="I82" s="10">
        <v>45383</v>
      </c>
    </row>
    <row r="83" spans="1:9" x14ac:dyDescent="0.15">
      <c r="A83" s="9">
        <v>82</v>
      </c>
      <c r="B83" s="9" t="s">
        <v>9</v>
      </c>
      <c r="C83" s="9">
        <v>1916</v>
      </c>
      <c r="D83" s="10">
        <v>45646</v>
      </c>
      <c r="E83" s="13" t="str">
        <f>+HYPERLINK("http://trademark.i-assist.jp/data/china/image_1916th/78017566.pdf","78017566")</f>
        <v>78017566</v>
      </c>
      <c r="F83" s="12" t="s">
        <v>13</v>
      </c>
      <c r="G83" s="9" t="s">
        <v>299</v>
      </c>
      <c r="H83" s="9" t="s">
        <v>300</v>
      </c>
      <c r="I83" s="10">
        <v>45397</v>
      </c>
    </row>
    <row r="84" spans="1:9" x14ac:dyDescent="0.15">
      <c r="A84" s="9">
        <v>83</v>
      </c>
      <c r="B84" s="9" t="s">
        <v>9</v>
      </c>
      <c r="C84" s="9">
        <v>1916</v>
      </c>
      <c r="D84" s="10">
        <v>45646</v>
      </c>
      <c r="E84" s="13" t="str">
        <f>+HYPERLINK("http://trademark.i-assist.jp/data/china/image_1916th/78327605.pdf","78327605")</f>
        <v>78327605</v>
      </c>
      <c r="F84" s="9" t="s">
        <v>301</v>
      </c>
      <c r="G84" s="9" t="s">
        <v>302</v>
      </c>
      <c r="H84" s="12" t="s">
        <v>303</v>
      </c>
      <c r="I84" s="10">
        <v>45411</v>
      </c>
    </row>
    <row r="85" spans="1:9" x14ac:dyDescent="0.15">
      <c r="A85" s="9">
        <v>84</v>
      </c>
      <c r="B85" s="9" t="s">
        <v>9</v>
      </c>
      <c r="C85" s="9">
        <v>1916</v>
      </c>
      <c r="D85" s="10">
        <v>45646</v>
      </c>
      <c r="E85" s="13" t="str">
        <f>+HYPERLINK("http://trademark.i-assist.jp/data/china/image_1916th/78359486.pdf","78359486")</f>
        <v>78359486</v>
      </c>
      <c r="F85" s="12" t="s">
        <v>13</v>
      </c>
      <c r="G85" s="9" t="s">
        <v>304</v>
      </c>
      <c r="H85" s="9" t="s">
        <v>305</v>
      </c>
      <c r="I85" s="10">
        <v>45418</v>
      </c>
    </row>
    <row r="86" spans="1:9" x14ac:dyDescent="0.15">
      <c r="A86" s="9">
        <v>85</v>
      </c>
      <c r="B86" s="9" t="s">
        <v>9</v>
      </c>
      <c r="C86" s="9">
        <v>1916</v>
      </c>
      <c r="D86" s="10">
        <v>45646</v>
      </c>
      <c r="E86" s="13" t="str">
        <f>+HYPERLINK("http://trademark.i-assist.jp/data/china/image_1916th/78363474.pdf","78363474")</f>
        <v>78363474</v>
      </c>
      <c r="F86" s="12" t="s">
        <v>13</v>
      </c>
      <c r="G86" s="9" t="s">
        <v>304</v>
      </c>
      <c r="H86" s="9" t="s">
        <v>306</v>
      </c>
      <c r="I86" s="10">
        <v>45418</v>
      </c>
    </row>
    <row r="87" spans="1:9" x14ac:dyDescent="0.15">
      <c r="A87" s="9">
        <v>86</v>
      </c>
      <c r="B87" s="9" t="s">
        <v>9</v>
      </c>
      <c r="C87" s="9">
        <v>1916</v>
      </c>
      <c r="D87" s="10">
        <v>45646</v>
      </c>
      <c r="E87" s="13" t="str">
        <f>+HYPERLINK("http://trademark.i-assist.jp/data/china/image_1916th/78370613.pdf","78370613")</f>
        <v>78370613</v>
      </c>
      <c r="F87" s="9" t="s">
        <v>307</v>
      </c>
      <c r="G87" s="9" t="s">
        <v>308</v>
      </c>
      <c r="H87" s="9" t="s">
        <v>309</v>
      </c>
      <c r="I87" s="10">
        <v>45418</v>
      </c>
    </row>
    <row r="88" spans="1:9" x14ac:dyDescent="0.15">
      <c r="A88" s="9">
        <v>87</v>
      </c>
      <c r="B88" s="9" t="s">
        <v>9</v>
      </c>
      <c r="C88" s="9">
        <v>1916</v>
      </c>
      <c r="D88" s="10">
        <v>45646</v>
      </c>
      <c r="E88" s="13" t="str">
        <f>+HYPERLINK("http://trademark.i-assist.jp/data/china/image_1916th/78387231.pdf","78387231")</f>
        <v>78387231</v>
      </c>
      <c r="F88" s="9" t="s">
        <v>310</v>
      </c>
      <c r="G88" s="9" t="s">
        <v>311</v>
      </c>
      <c r="H88" s="9" t="s">
        <v>312</v>
      </c>
      <c r="I88" s="10">
        <v>45418</v>
      </c>
    </row>
    <row r="89" spans="1:9" x14ac:dyDescent="0.15">
      <c r="A89" s="9">
        <v>88</v>
      </c>
      <c r="B89" s="9" t="s">
        <v>9</v>
      </c>
      <c r="C89" s="9">
        <v>1916</v>
      </c>
      <c r="D89" s="10">
        <v>45646</v>
      </c>
      <c r="E89" s="13" t="str">
        <f>+HYPERLINK("http://trademark.i-assist.jp/data/china/image_1916th/78397832.pdf","78397832")</f>
        <v>78397832</v>
      </c>
      <c r="F89" s="9" t="s">
        <v>313</v>
      </c>
      <c r="G89" s="9" t="s">
        <v>314</v>
      </c>
      <c r="H89" s="9" t="s">
        <v>315</v>
      </c>
      <c r="I89" s="10">
        <v>45419</v>
      </c>
    </row>
    <row r="90" spans="1:9" x14ac:dyDescent="0.15">
      <c r="A90" s="9">
        <v>89</v>
      </c>
      <c r="B90" s="9" t="s">
        <v>9</v>
      </c>
      <c r="C90" s="9">
        <v>1916</v>
      </c>
      <c r="D90" s="10">
        <v>45646</v>
      </c>
      <c r="E90" s="13" t="str">
        <f>+HYPERLINK("http://trademark.i-assist.jp/data/china/image_1916th/78555997.pdf","78555997")</f>
        <v>78555997</v>
      </c>
      <c r="F90" s="9" t="s">
        <v>316</v>
      </c>
      <c r="G90" s="12" t="s">
        <v>317</v>
      </c>
      <c r="H90" s="9" t="s">
        <v>318</v>
      </c>
      <c r="I90" s="10">
        <v>45425</v>
      </c>
    </row>
    <row r="91" spans="1:9" x14ac:dyDescent="0.15">
      <c r="A91" s="9">
        <v>90</v>
      </c>
      <c r="B91" s="9" t="s">
        <v>9</v>
      </c>
      <c r="C91" s="9">
        <v>1916</v>
      </c>
      <c r="D91" s="10">
        <v>45646</v>
      </c>
      <c r="E91" s="13" t="str">
        <f>+HYPERLINK("http://trademark.i-assist.jp/data/china/image_1916th/78693946.pdf","78693946")</f>
        <v>78693946</v>
      </c>
      <c r="F91" s="9" t="s">
        <v>319</v>
      </c>
      <c r="G91" s="9" t="s">
        <v>320</v>
      </c>
      <c r="H91" s="9" t="s">
        <v>321</v>
      </c>
      <c r="I91" s="10">
        <v>45432</v>
      </c>
    </row>
    <row r="92" spans="1:9" x14ac:dyDescent="0.15">
      <c r="A92" s="9">
        <v>91</v>
      </c>
      <c r="B92" s="9" t="s">
        <v>9</v>
      </c>
      <c r="C92" s="9">
        <v>1916</v>
      </c>
      <c r="D92" s="10">
        <v>45646</v>
      </c>
      <c r="E92" s="13" t="str">
        <f>+HYPERLINK("http://trademark.i-assist.jp/data/china/image_1916th/78774577.pdf","78774577")</f>
        <v>78774577</v>
      </c>
      <c r="F92" s="12" t="s">
        <v>13</v>
      </c>
      <c r="G92" s="9" t="s">
        <v>322</v>
      </c>
      <c r="H92" s="9" t="s">
        <v>323</v>
      </c>
      <c r="I92" s="10">
        <v>45435</v>
      </c>
    </row>
    <row r="93" spans="1:9" x14ac:dyDescent="0.15">
      <c r="A93" s="9">
        <v>92</v>
      </c>
      <c r="B93" s="9" t="s">
        <v>9</v>
      </c>
      <c r="C93" s="9">
        <v>1916</v>
      </c>
      <c r="D93" s="10">
        <v>45646</v>
      </c>
      <c r="E93" s="13" t="str">
        <f>+HYPERLINK("http://trademark.i-assist.jp/data/china/image_1916th/79025788.pdf","79025788")</f>
        <v>79025788</v>
      </c>
      <c r="F93" s="12" t="s">
        <v>13</v>
      </c>
      <c r="G93" s="9" t="s">
        <v>27</v>
      </c>
      <c r="H93" s="9" t="s">
        <v>324</v>
      </c>
      <c r="I93" s="10">
        <v>45447</v>
      </c>
    </row>
    <row r="94" spans="1:9" x14ac:dyDescent="0.15">
      <c r="A94" s="9">
        <v>93</v>
      </c>
      <c r="B94" s="9" t="s">
        <v>9</v>
      </c>
      <c r="C94" s="9">
        <v>1916</v>
      </c>
      <c r="D94" s="10">
        <v>45646</v>
      </c>
      <c r="E94" s="13" t="str">
        <f>+HYPERLINK("http://trademark.i-assist.jp/data/china/image_1916th/79031131.pdf","79031131")</f>
        <v>79031131</v>
      </c>
      <c r="F94" s="12" t="s">
        <v>325</v>
      </c>
      <c r="G94" s="12" t="s">
        <v>326</v>
      </c>
      <c r="H94" s="9" t="s">
        <v>327</v>
      </c>
      <c r="I94" s="10">
        <v>45447</v>
      </c>
    </row>
    <row r="95" spans="1:9" x14ac:dyDescent="0.15">
      <c r="A95" s="9">
        <v>94</v>
      </c>
      <c r="B95" s="9" t="s">
        <v>9</v>
      </c>
      <c r="C95" s="9">
        <v>1916</v>
      </c>
      <c r="D95" s="10">
        <v>45646</v>
      </c>
      <c r="E95" s="13" t="str">
        <f>+HYPERLINK("http://trademark.i-assist.jp/data/china/image_1916th/79083524.pdf","79083524")</f>
        <v>79083524</v>
      </c>
      <c r="F95" s="9" t="s">
        <v>328</v>
      </c>
      <c r="G95" s="12" t="s">
        <v>329</v>
      </c>
      <c r="H95" s="9" t="s">
        <v>330</v>
      </c>
      <c r="I95" s="10">
        <v>45449</v>
      </c>
    </row>
    <row r="96" spans="1:9" x14ac:dyDescent="0.15">
      <c r="A96" s="9">
        <v>95</v>
      </c>
      <c r="B96" s="9" t="s">
        <v>9</v>
      </c>
      <c r="C96" s="9">
        <v>1916</v>
      </c>
      <c r="D96" s="10">
        <v>45646</v>
      </c>
      <c r="E96" s="13" t="str">
        <f>+HYPERLINK("http://trademark.i-assist.jp/data/china/image_1916th/79096589.pdf","79096589")</f>
        <v>79096589</v>
      </c>
      <c r="F96" s="12" t="s">
        <v>331</v>
      </c>
      <c r="G96" s="9" t="s">
        <v>73</v>
      </c>
      <c r="H96" s="9" t="s">
        <v>332</v>
      </c>
      <c r="I96" s="10">
        <v>45450</v>
      </c>
    </row>
    <row r="97" spans="1:9" x14ac:dyDescent="0.15">
      <c r="A97" s="9">
        <v>96</v>
      </c>
      <c r="B97" s="9" t="s">
        <v>9</v>
      </c>
      <c r="C97" s="9">
        <v>1916</v>
      </c>
      <c r="D97" s="10">
        <v>45646</v>
      </c>
      <c r="E97" s="13" t="str">
        <f>+HYPERLINK("http://trademark.i-assist.jp/data/china/image_1916th/79163316.pdf","79163316")</f>
        <v>79163316</v>
      </c>
      <c r="F97" s="9" t="s">
        <v>333</v>
      </c>
      <c r="G97" s="9" t="s">
        <v>334</v>
      </c>
      <c r="H97" s="9" t="s">
        <v>335</v>
      </c>
      <c r="I97" s="10">
        <v>45455</v>
      </c>
    </row>
    <row r="98" spans="1:9" x14ac:dyDescent="0.15">
      <c r="A98" s="9">
        <v>97</v>
      </c>
      <c r="B98" s="9" t="s">
        <v>9</v>
      </c>
      <c r="C98" s="9">
        <v>1916</v>
      </c>
      <c r="D98" s="10">
        <v>45646</v>
      </c>
      <c r="E98" s="13" t="str">
        <f>+HYPERLINK("http://trademark.i-assist.jp/data/china/image_1916th/79231288.pdf","79231288")</f>
        <v>79231288</v>
      </c>
      <c r="F98" s="9" t="s">
        <v>336</v>
      </c>
      <c r="G98" s="9" t="s">
        <v>337</v>
      </c>
      <c r="H98" s="9" t="s">
        <v>338</v>
      </c>
      <c r="I98" s="10">
        <v>45457</v>
      </c>
    </row>
    <row r="99" spans="1:9" x14ac:dyDescent="0.15">
      <c r="A99" s="9">
        <v>98</v>
      </c>
      <c r="B99" s="9" t="s">
        <v>9</v>
      </c>
      <c r="C99" s="9">
        <v>1916</v>
      </c>
      <c r="D99" s="10">
        <v>45646</v>
      </c>
      <c r="E99" s="13" t="str">
        <f>+HYPERLINK("http://trademark.i-assist.jp/data/china/image_1916th/79251672.pdf","79251672")</f>
        <v>79251672</v>
      </c>
      <c r="F99" s="9" t="s">
        <v>339</v>
      </c>
      <c r="G99" s="12" t="s">
        <v>340</v>
      </c>
      <c r="H99" s="9" t="s">
        <v>341</v>
      </c>
      <c r="I99" s="10">
        <v>45460</v>
      </c>
    </row>
    <row r="100" spans="1:9" x14ac:dyDescent="0.15">
      <c r="A100" s="9">
        <v>99</v>
      </c>
      <c r="B100" s="9" t="s">
        <v>9</v>
      </c>
      <c r="C100" s="9">
        <v>1916</v>
      </c>
      <c r="D100" s="10">
        <v>45646</v>
      </c>
      <c r="E100" s="13" t="str">
        <f>+HYPERLINK("http://trademark.i-assist.jp/data/china/image_1916th/79253330.pdf","79253330")</f>
        <v>79253330</v>
      </c>
      <c r="F100" s="9" t="s">
        <v>342</v>
      </c>
      <c r="G100" s="12" t="s">
        <v>343</v>
      </c>
      <c r="H100" s="9" t="s">
        <v>344</v>
      </c>
      <c r="I100" s="10">
        <v>45460</v>
      </c>
    </row>
    <row r="101" spans="1:9" x14ac:dyDescent="0.15">
      <c r="A101" s="9">
        <v>100</v>
      </c>
      <c r="B101" s="9" t="s">
        <v>9</v>
      </c>
      <c r="C101" s="9">
        <v>1916</v>
      </c>
      <c r="D101" s="10">
        <v>45646</v>
      </c>
      <c r="E101" s="13" t="str">
        <f>+HYPERLINK("http://trademark.i-assist.jp/data/china/image_1916th/79333729.pdf","79333729")</f>
        <v>79333729</v>
      </c>
      <c r="F101" s="9" t="s">
        <v>345</v>
      </c>
      <c r="G101" s="9" t="s">
        <v>346</v>
      </c>
      <c r="H101" s="9" t="s">
        <v>347</v>
      </c>
      <c r="I101" s="10">
        <v>45463</v>
      </c>
    </row>
    <row r="102" spans="1:9" x14ac:dyDescent="0.15">
      <c r="A102" s="9">
        <v>101</v>
      </c>
      <c r="B102" s="9" t="s">
        <v>9</v>
      </c>
      <c r="C102" s="9">
        <v>1916</v>
      </c>
      <c r="D102" s="10">
        <v>45646</v>
      </c>
      <c r="E102" s="13" t="str">
        <f>+HYPERLINK("http://trademark.i-assist.jp/data/china/image_1916th/79342436.pdf","79342436")</f>
        <v>79342436</v>
      </c>
      <c r="F102" s="9" t="s">
        <v>348</v>
      </c>
      <c r="G102" s="9" t="s">
        <v>349</v>
      </c>
      <c r="H102" s="9" t="s">
        <v>350</v>
      </c>
      <c r="I102" s="10">
        <v>45463</v>
      </c>
    </row>
    <row r="103" spans="1:9" x14ac:dyDescent="0.15">
      <c r="A103" s="9">
        <v>102</v>
      </c>
      <c r="B103" s="9" t="s">
        <v>9</v>
      </c>
      <c r="C103" s="9">
        <v>1916</v>
      </c>
      <c r="D103" s="10">
        <v>45646</v>
      </c>
      <c r="E103" s="13" t="str">
        <f>+HYPERLINK("http://trademark.i-assist.jp/data/china/image_1916th/79360717.pdf","79360717")</f>
        <v>79360717</v>
      </c>
      <c r="F103" s="9" t="s">
        <v>351</v>
      </c>
      <c r="G103" s="9" t="s">
        <v>352</v>
      </c>
      <c r="H103" s="9" t="s">
        <v>353</v>
      </c>
      <c r="I103" s="10">
        <v>45464</v>
      </c>
    </row>
    <row r="104" spans="1:9" x14ac:dyDescent="0.15">
      <c r="A104" s="9">
        <v>103</v>
      </c>
      <c r="B104" s="9" t="s">
        <v>9</v>
      </c>
      <c r="C104" s="9">
        <v>1916</v>
      </c>
      <c r="D104" s="10">
        <v>45646</v>
      </c>
      <c r="E104" s="13" t="str">
        <f>+HYPERLINK("http://trademark.i-assist.jp/data/china/image_1916th/79400380.pdf","79400380")</f>
        <v>79400380</v>
      </c>
      <c r="F104" s="9" t="s">
        <v>354</v>
      </c>
      <c r="G104" s="9" t="s">
        <v>14</v>
      </c>
      <c r="H104" s="9" t="s">
        <v>355</v>
      </c>
      <c r="I104" s="10">
        <v>45467</v>
      </c>
    </row>
    <row r="105" spans="1:9" x14ac:dyDescent="0.15">
      <c r="A105" s="9">
        <v>104</v>
      </c>
      <c r="B105" s="9" t="s">
        <v>9</v>
      </c>
      <c r="C105" s="9">
        <v>1916</v>
      </c>
      <c r="D105" s="10">
        <v>45646</v>
      </c>
      <c r="E105" s="13" t="str">
        <f>+HYPERLINK("http://trademark.i-assist.jp/data/china/image_1916th/79459474.pdf","79459474")</f>
        <v>79459474</v>
      </c>
      <c r="F105" s="9" t="s">
        <v>356</v>
      </c>
      <c r="G105" s="9" t="s">
        <v>357</v>
      </c>
      <c r="H105" s="9" t="s">
        <v>358</v>
      </c>
      <c r="I105" s="10">
        <v>45469</v>
      </c>
    </row>
    <row r="106" spans="1:9" x14ac:dyDescent="0.15">
      <c r="A106" s="9">
        <v>105</v>
      </c>
      <c r="B106" s="9" t="s">
        <v>9</v>
      </c>
      <c r="C106" s="9">
        <v>1916</v>
      </c>
      <c r="D106" s="10">
        <v>45646</v>
      </c>
      <c r="E106" s="13" t="str">
        <f>+HYPERLINK("http://trademark.i-assist.jp/data/china/image_1916th/79509573.pdf","79509573")</f>
        <v>79509573</v>
      </c>
      <c r="F106" s="9" t="s">
        <v>359</v>
      </c>
      <c r="G106" s="9" t="s">
        <v>360</v>
      </c>
      <c r="H106" s="9" t="s">
        <v>361</v>
      </c>
      <c r="I106" s="10">
        <v>45471</v>
      </c>
    </row>
    <row r="107" spans="1:9" x14ac:dyDescent="0.15">
      <c r="A107" s="9">
        <v>106</v>
      </c>
      <c r="B107" s="9" t="s">
        <v>9</v>
      </c>
      <c r="C107" s="9">
        <v>1916</v>
      </c>
      <c r="D107" s="10">
        <v>45646</v>
      </c>
      <c r="E107" s="13" t="str">
        <f>+HYPERLINK("http://trademark.i-assist.jp/data/china/image_1916th/79525900.pdf","79525900")</f>
        <v>79525900</v>
      </c>
      <c r="F107" s="9" t="s">
        <v>362</v>
      </c>
      <c r="G107" s="9" t="s">
        <v>363</v>
      </c>
      <c r="H107" s="9" t="s">
        <v>364</v>
      </c>
      <c r="I107" s="10">
        <v>45474</v>
      </c>
    </row>
    <row r="108" spans="1:9" x14ac:dyDescent="0.15">
      <c r="A108" s="9">
        <v>107</v>
      </c>
      <c r="B108" s="9" t="s">
        <v>9</v>
      </c>
      <c r="C108" s="9">
        <v>1916</v>
      </c>
      <c r="D108" s="10">
        <v>45646</v>
      </c>
      <c r="E108" s="13" t="str">
        <f>+HYPERLINK("http://trademark.i-assist.jp/data/china/image_1916th/79540389.pdf","79540389")</f>
        <v>79540389</v>
      </c>
      <c r="F108" s="12" t="s">
        <v>13</v>
      </c>
      <c r="G108" s="9" t="s">
        <v>365</v>
      </c>
      <c r="H108" s="9" t="s">
        <v>366</v>
      </c>
      <c r="I108" s="10">
        <v>45474</v>
      </c>
    </row>
    <row r="109" spans="1:9" x14ac:dyDescent="0.15">
      <c r="A109" s="9">
        <v>108</v>
      </c>
      <c r="B109" s="9" t="s">
        <v>9</v>
      </c>
      <c r="C109" s="9">
        <v>1916</v>
      </c>
      <c r="D109" s="10">
        <v>45646</v>
      </c>
      <c r="E109" s="13" t="str">
        <f>+HYPERLINK("http://trademark.i-assist.jp/data/china/image_1916th/79557233.pdf","79557233")</f>
        <v>79557233</v>
      </c>
      <c r="F109" s="12" t="s">
        <v>367</v>
      </c>
      <c r="G109" s="9" t="s">
        <v>368</v>
      </c>
      <c r="H109" s="9" t="s">
        <v>369</v>
      </c>
      <c r="I109" s="10">
        <v>45475</v>
      </c>
    </row>
    <row r="110" spans="1:9" x14ac:dyDescent="0.15">
      <c r="A110" s="9">
        <v>109</v>
      </c>
      <c r="B110" s="9" t="s">
        <v>9</v>
      </c>
      <c r="C110" s="9">
        <v>1916</v>
      </c>
      <c r="D110" s="10">
        <v>45646</v>
      </c>
      <c r="E110" s="13" t="str">
        <f>+HYPERLINK("http://trademark.i-assist.jp/data/china/image_1916th/79591993.pdf","79591993")</f>
        <v>79591993</v>
      </c>
      <c r="F110" s="9" t="s">
        <v>370</v>
      </c>
      <c r="G110" s="9" t="s">
        <v>371</v>
      </c>
      <c r="H110" s="9" t="s">
        <v>372</v>
      </c>
      <c r="I110" s="10">
        <v>45476</v>
      </c>
    </row>
    <row r="111" spans="1:9" x14ac:dyDescent="0.15">
      <c r="A111" s="9">
        <v>110</v>
      </c>
      <c r="B111" s="9" t="s">
        <v>9</v>
      </c>
      <c r="C111" s="9">
        <v>1916</v>
      </c>
      <c r="D111" s="10">
        <v>45646</v>
      </c>
      <c r="E111" s="13" t="str">
        <f>+HYPERLINK("http://trademark.i-assist.jp/data/china/image_1916th/79642437.pdf","79642437")</f>
        <v>79642437</v>
      </c>
      <c r="F111" s="9" t="s">
        <v>373</v>
      </c>
      <c r="G111" s="9" t="s">
        <v>374</v>
      </c>
      <c r="H111" s="9" t="s">
        <v>375</v>
      </c>
      <c r="I111" s="10">
        <v>45478</v>
      </c>
    </row>
    <row r="112" spans="1:9" x14ac:dyDescent="0.15">
      <c r="A112" s="9">
        <v>111</v>
      </c>
      <c r="B112" s="9" t="s">
        <v>9</v>
      </c>
      <c r="C112" s="9">
        <v>1916</v>
      </c>
      <c r="D112" s="10">
        <v>45646</v>
      </c>
      <c r="E112" s="13" t="str">
        <f>+HYPERLINK("http://trademark.i-assist.jp/data/china/image_1916th/79644287.pdf","79644287")</f>
        <v>79644287</v>
      </c>
      <c r="F112" s="9" t="s">
        <v>376</v>
      </c>
      <c r="G112" s="12" t="s">
        <v>377</v>
      </c>
      <c r="H112" s="9" t="s">
        <v>378</v>
      </c>
      <c r="I112" s="10">
        <v>45478</v>
      </c>
    </row>
    <row r="113" spans="1:9" x14ac:dyDescent="0.15">
      <c r="A113" s="9">
        <v>112</v>
      </c>
      <c r="B113" s="9" t="s">
        <v>9</v>
      </c>
      <c r="C113" s="9">
        <v>1916</v>
      </c>
      <c r="D113" s="10">
        <v>45646</v>
      </c>
      <c r="E113" s="13" t="str">
        <f>+HYPERLINK("http://trademark.i-assist.jp/data/china/image_1916th/79651490.pdf","79651490")</f>
        <v>79651490</v>
      </c>
      <c r="F113" s="12" t="s">
        <v>379</v>
      </c>
      <c r="G113" s="9" t="s">
        <v>380</v>
      </c>
      <c r="H113" s="9" t="s">
        <v>381</v>
      </c>
      <c r="I113" s="10">
        <v>45479</v>
      </c>
    </row>
    <row r="114" spans="1:9" x14ac:dyDescent="0.15">
      <c r="A114" s="9">
        <v>113</v>
      </c>
      <c r="B114" s="9" t="s">
        <v>9</v>
      </c>
      <c r="C114" s="9">
        <v>1916</v>
      </c>
      <c r="D114" s="10">
        <v>45646</v>
      </c>
      <c r="E114" s="13" t="str">
        <f>+HYPERLINK("http://trademark.i-assist.jp/data/china/image_1916th/79704042.pdf","79704042")</f>
        <v>79704042</v>
      </c>
      <c r="F114" s="12" t="s">
        <v>13</v>
      </c>
      <c r="G114" s="12" t="s">
        <v>382</v>
      </c>
      <c r="H114" s="9" t="s">
        <v>383</v>
      </c>
      <c r="I114" s="10">
        <v>45482</v>
      </c>
    </row>
    <row r="115" spans="1:9" x14ac:dyDescent="0.15">
      <c r="A115" s="9">
        <v>114</v>
      </c>
      <c r="B115" s="9" t="s">
        <v>9</v>
      </c>
      <c r="C115" s="9">
        <v>1916</v>
      </c>
      <c r="D115" s="10">
        <v>45646</v>
      </c>
      <c r="E115" s="13" t="str">
        <f>+HYPERLINK("http://trademark.i-assist.jp/data/china/image_1916th/79704190.pdf","79704190")</f>
        <v>79704190</v>
      </c>
      <c r="F115" s="9" t="s">
        <v>384</v>
      </c>
      <c r="G115" s="9" t="s">
        <v>385</v>
      </c>
      <c r="H115" s="9" t="s">
        <v>386</v>
      </c>
      <c r="I115" s="10">
        <v>45482</v>
      </c>
    </row>
    <row r="116" spans="1:9" x14ac:dyDescent="0.15">
      <c r="A116" s="9">
        <v>115</v>
      </c>
      <c r="B116" s="9" t="s">
        <v>9</v>
      </c>
      <c r="C116" s="9">
        <v>1916</v>
      </c>
      <c r="D116" s="10">
        <v>45646</v>
      </c>
      <c r="E116" s="13" t="str">
        <f>+HYPERLINK("http://trademark.i-assist.jp/data/china/image_1916th/79721516.pdf","79721516")</f>
        <v>79721516</v>
      </c>
      <c r="F116" s="9" t="s">
        <v>387</v>
      </c>
      <c r="G116" s="12" t="s">
        <v>388</v>
      </c>
      <c r="H116" s="9" t="s">
        <v>389</v>
      </c>
      <c r="I116" s="10">
        <v>45483</v>
      </c>
    </row>
    <row r="117" spans="1:9" x14ac:dyDescent="0.15">
      <c r="A117" s="9">
        <v>116</v>
      </c>
      <c r="B117" s="9" t="s">
        <v>9</v>
      </c>
      <c r="C117" s="9">
        <v>1916</v>
      </c>
      <c r="D117" s="10">
        <v>45646</v>
      </c>
      <c r="E117" s="13" t="str">
        <f>+HYPERLINK("http://trademark.i-assist.jp/data/china/image_1916th/79775215.pdf","79775215")</f>
        <v>79775215</v>
      </c>
      <c r="F117" s="9" t="s">
        <v>390</v>
      </c>
      <c r="G117" s="9" t="s">
        <v>390</v>
      </c>
      <c r="H117" s="9" t="s">
        <v>391</v>
      </c>
      <c r="I117" s="10">
        <v>45485</v>
      </c>
    </row>
    <row r="118" spans="1:9" x14ac:dyDescent="0.15">
      <c r="A118" s="9">
        <v>117</v>
      </c>
      <c r="B118" s="9" t="s">
        <v>9</v>
      </c>
      <c r="C118" s="9">
        <v>1916</v>
      </c>
      <c r="D118" s="10">
        <v>45646</v>
      </c>
      <c r="E118" s="13" t="str">
        <f>+HYPERLINK("http://trademark.i-assist.jp/data/china/image_1916th/79788785.pdf","79788785")</f>
        <v>79788785</v>
      </c>
      <c r="F118" s="9" t="s">
        <v>392</v>
      </c>
      <c r="G118" s="12" t="s">
        <v>393</v>
      </c>
      <c r="H118" s="9" t="s">
        <v>394</v>
      </c>
      <c r="I118" s="10">
        <v>45488</v>
      </c>
    </row>
    <row r="119" spans="1:9" x14ac:dyDescent="0.15">
      <c r="A119" s="9">
        <v>118</v>
      </c>
      <c r="B119" s="9" t="s">
        <v>9</v>
      </c>
      <c r="C119" s="9">
        <v>1916</v>
      </c>
      <c r="D119" s="10">
        <v>45646</v>
      </c>
      <c r="E119" s="13" t="str">
        <f>+HYPERLINK("http://trademark.i-assist.jp/data/china/image_1916th/79790883.pdf","79790883")</f>
        <v>79790883</v>
      </c>
      <c r="F119" s="9" t="s">
        <v>395</v>
      </c>
      <c r="G119" s="9" t="s">
        <v>396</v>
      </c>
      <c r="H119" s="9" t="s">
        <v>397</v>
      </c>
      <c r="I119" s="10">
        <v>45488</v>
      </c>
    </row>
    <row r="120" spans="1:9" x14ac:dyDescent="0.15">
      <c r="A120" s="9">
        <v>119</v>
      </c>
      <c r="B120" s="9" t="s">
        <v>9</v>
      </c>
      <c r="C120" s="9">
        <v>1916</v>
      </c>
      <c r="D120" s="10">
        <v>45646</v>
      </c>
      <c r="E120" s="13" t="str">
        <f>+HYPERLINK("http://trademark.i-assist.jp/data/china/image_1916th/79792714.pdf","79792714")</f>
        <v>79792714</v>
      </c>
      <c r="F120" s="9" t="s">
        <v>398</v>
      </c>
      <c r="G120" s="9" t="s">
        <v>399</v>
      </c>
      <c r="H120" s="9" t="s">
        <v>400</v>
      </c>
      <c r="I120" s="10">
        <v>45488</v>
      </c>
    </row>
    <row r="121" spans="1:9" x14ac:dyDescent="0.15">
      <c r="A121" s="9">
        <v>120</v>
      </c>
      <c r="B121" s="9" t="s">
        <v>9</v>
      </c>
      <c r="C121" s="9">
        <v>1916</v>
      </c>
      <c r="D121" s="10">
        <v>45646</v>
      </c>
      <c r="E121" s="13" t="str">
        <f>+HYPERLINK("http://trademark.i-assist.jp/data/china/image_1916th/79843033.pdf","79843033")</f>
        <v>79843033</v>
      </c>
      <c r="F121" s="9" t="s">
        <v>401</v>
      </c>
      <c r="G121" s="12" t="s">
        <v>402</v>
      </c>
      <c r="H121" s="12" t="s">
        <v>403</v>
      </c>
      <c r="I121" s="10">
        <v>45490</v>
      </c>
    </row>
    <row r="122" spans="1:9" x14ac:dyDescent="0.15">
      <c r="A122" s="9">
        <v>121</v>
      </c>
      <c r="B122" s="9" t="s">
        <v>9</v>
      </c>
      <c r="C122" s="9">
        <v>1916</v>
      </c>
      <c r="D122" s="10">
        <v>45646</v>
      </c>
      <c r="E122" s="13" t="str">
        <f>+HYPERLINK("http://trademark.i-assist.jp/data/china/image_1916th/79865865.pdf","79865865")</f>
        <v>79865865</v>
      </c>
      <c r="F122" s="9" t="s">
        <v>404</v>
      </c>
      <c r="G122" s="12" t="s">
        <v>405</v>
      </c>
      <c r="H122" s="9" t="s">
        <v>406</v>
      </c>
      <c r="I122" s="10">
        <v>45491</v>
      </c>
    </row>
    <row r="123" spans="1:9" x14ac:dyDescent="0.15">
      <c r="A123" s="9">
        <v>122</v>
      </c>
      <c r="B123" s="9" t="s">
        <v>9</v>
      </c>
      <c r="C123" s="9">
        <v>1916</v>
      </c>
      <c r="D123" s="10">
        <v>45646</v>
      </c>
      <c r="E123" s="13" t="str">
        <f>+HYPERLINK("http://trademark.i-assist.jp/data/china/image_1916th/79866127.pdf","79866127")</f>
        <v>79866127</v>
      </c>
      <c r="F123" s="12" t="s">
        <v>407</v>
      </c>
      <c r="G123" s="9" t="s">
        <v>408</v>
      </c>
      <c r="H123" s="9" t="s">
        <v>409</v>
      </c>
      <c r="I123" s="10">
        <v>45491</v>
      </c>
    </row>
    <row r="124" spans="1:9" x14ac:dyDescent="0.15">
      <c r="A124" s="9">
        <v>123</v>
      </c>
      <c r="B124" s="9" t="s">
        <v>9</v>
      </c>
      <c r="C124" s="9">
        <v>1916</v>
      </c>
      <c r="D124" s="10">
        <v>45646</v>
      </c>
      <c r="E124" s="13" t="str">
        <f>+HYPERLINK("http://trademark.i-assist.jp/data/china/image_1916th/79870672.pdf","79870672")</f>
        <v>79870672</v>
      </c>
      <c r="F124" s="9" t="s">
        <v>410</v>
      </c>
      <c r="G124" s="9" t="s">
        <v>408</v>
      </c>
      <c r="H124" s="9" t="s">
        <v>411</v>
      </c>
      <c r="I124" s="10">
        <v>45491</v>
      </c>
    </row>
    <row r="125" spans="1:9" x14ac:dyDescent="0.15">
      <c r="A125" s="9">
        <v>124</v>
      </c>
      <c r="B125" s="9" t="s">
        <v>9</v>
      </c>
      <c r="C125" s="9">
        <v>1916</v>
      </c>
      <c r="D125" s="10">
        <v>45646</v>
      </c>
      <c r="E125" s="13" t="str">
        <f>+HYPERLINK("http://trademark.i-assist.jp/data/china/image_1916th/79875857.pdf","79875857")</f>
        <v>79875857</v>
      </c>
      <c r="F125" s="9" t="s">
        <v>412</v>
      </c>
      <c r="G125" s="12" t="s">
        <v>405</v>
      </c>
      <c r="H125" s="9" t="s">
        <v>413</v>
      </c>
      <c r="I125" s="10">
        <v>45491</v>
      </c>
    </row>
    <row r="126" spans="1:9" x14ac:dyDescent="0.15">
      <c r="A126" s="9">
        <v>125</v>
      </c>
      <c r="B126" s="9" t="s">
        <v>9</v>
      </c>
      <c r="C126" s="9">
        <v>1916</v>
      </c>
      <c r="D126" s="10">
        <v>45646</v>
      </c>
      <c r="E126" s="13" t="str">
        <f>+HYPERLINK("http://trademark.i-assist.jp/data/china/image_1916th/79900821.pdf","79900821")</f>
        <v>79900821</v>
      </c>
      <c r="F126" s="9" t="s">
        <v>414</v>
      </c>
      <c r="G126" s="9" t="s">
        <v>415</v>
      </c>
      <c r="H126" s="9" t="s">
        <v>416</v>
      </c>
      <c r="I126" s="10">
        <v>45492</v>
      </c>
    </row>
    <row r="127" spans="1:9" x14ac:dyDescent="0.15">
      <c r="A127" s="9">
        <v>126</v>
      </c>
      <c r="B127" s="9" t="s">
        <v>9</v>
      </c>
      <c r="C127" s="9">
        <v>1916</v>
      </c>
      <c r="D127" s="10">
        <v>45646</v>
      </c>
      <c r="E127" s="13" t="str">
        <f>+HYPERLINK("http://trademark.i-assist.jp/data/china/image_1916th/79902941.pdf","79902941")</f>
        <v>79902941</v>
      </c>
      <c r="F127" s="9" t="s">
        <v>417</v>
      </c>
      <c r="G127" s="12" t="s">
        <v>418</v>
      </c>
      <c r="H127" s="9" t="s">
        <v>419</v>
      </c>
      <c r="I127" s="10">
        <v>45492</v>
      </c>
    </row>
    <row r="128" spans="1:9" x14ac:dyDescent="0.15">
      <c r="A128" s="9">
        <v>127</v>
      </c>
      <c r="B128" s="9" t="s">
        <v>9</v>
      </c>
      <c r="C128" s="9">
        <v>1916</v>
      </c>
      <c r="D128" s="10">
        <v>45646</v>
      </c>
      <c r="E128" s="13" t="str">
        <f>+HYPERLINK("http://trademark.i-assist.jp/data/china/image_1916th/79919179.pdf","79919179")</f>
        <v>79919179</v>
      </c>
      <c r="F128" s="9" t="s">
        <v>420</v>
      </c>
      <c r="G128" s="12" t="s">
        <v>421</v>
      </c>
      <c r="H128" s="9" t="s">
        <v>422</v>
      </c>
      <c r="I128" s="10">
        <v>45495</v>
      </c>
    </row>
    <row r="129" spans="1:9" x14ac:dyDescent="0.15">
      <c r="A129" s="9">
        <v>128</v>
      </c>
      <c r="B129" s="9" t="s">
        <v>9</v>
      </c>
      <c r="C129" s="9">
        <v>1916</v>
      </c>
      <c r="D129" s="10">
        <v>45646</v>
      </c>
      <c r="E129" s="13" t="str">
        <f>+HYPERLINK("http://trademark.i-assist.jp/data/china/image_1916th/79957199.pdf","79957199")</f>
        <v>79957199</v>
      </c>
      <c r="F129" s="12" t="s">
        <v>423</v>
      </c>
      <c r="G129" s="9" t="s">
        <v>424</v>
      </c>
      <c r="H129" s="12" t="s">
        <v>425</v>
      </c>
      <c r="I129" s="10">
        <v>45496</v>
      </c>
    </row>
    <row r="130" spans="1:9" x14ac:dyDescent="0.15">
      <c r="A130" s="9">
        <v>129</v>
      </c>
      <c r="B130" s="9" t="s">
        <v>9</v>
      </c>
      <c r="C130" s="9">
        <v>1916</v>
      </c>
      <c r="D130" s="10">
        <v>45646</v>
      </c>
      <c r="E130" s="13" t="str">
        <f>+HYPERLINK("http://trademark.i-assist.jp/data/china/image_1916th/79967842.pdf","79967842")</f>
        <v>79967842</v>
      </c>
      <c r="F130" s="9" t="s">
        <v>426</v>
      </c>
      <c r="G130" s="9" t="s">
        <v>427</v>
      </c>
      <c r="H130" s="9" t="s">
        <v>428</v>
      </c>
      <c r="I130" s="10">
        <v>45497</v>
      </c>
    </row>
    <row r="131" spans="1:9" x14ac:dyDescent="0.15">
      <c r="A131" s="9">
        <v>130</v>
      </c>
      <c r="B131" s="9" t="s">
        <v>9</v>
      </c>
      <c r="C131" s="9">
        <v>1916</v>
      </c>
      <c r="D131" s="10">
        <v>45646</v>
      </c>
      <c r="E131" s="13" t="str">
        <f>+HYPERLINK("http://trademark.i-assist.jp/data/china/image_1916th/80029938.pdf","80029938")</f>
        <v>80029938</v>
      </c>
      <c r="F131" s="9" t="s">
        <v>429</v>
      </c>
      <c r="G131" s="12" t="s">
        <v>430</v>
      </c>
      <c r="H131" s="9" t="s">
        <v>431</v>
      </c>
      <c r="I131" s="10">
        <v>45499</v>
      </c>
    </row>
    <row r="132" spans="1:9" x14ac:dyDescent="0.15">
      <c r="A132" s="9">
        <v>131</v>
      </c>
      <c r="B132" s="9" t="s">
        <v>9</v>
      </c>
      <c r="C132" s="9">
        <v>1916</v>
      </c>
      <c r="D132" s="10">
        <v>45646</v>
      </c>
      <c r="E132" s="13" t="str">
        <f>+HYPERLINK("http://trademark.i-assist.jp/data/china/image_1916th/80039600.pdf","80039600")</f>
        <v>80039600</v>
      </c>
      <c r="F132" s="12" t="s">
        <v>432</v>
      </c>
      <c r="G132" s="9" t="s">
        <v>433</v>
      </c>
      <c r="H132" s="9" t="s">
        <v>434</v>
      </c>
      <c r="I132" s="10">
        <v>45500</v>
      </c>
    </row>
    <row r="133" spans="1:9" x14ac:dyDescent="0.15">
      <c r="A133" s="9">
        <v>132</v>
      </c>
      <c r="B133" s="9" t="s">
        <v>9</v>
      </c>
      <c r="C133" s="9">
        <v>1916</v>
      </c>
      <c r="D133" s="10">
        <v>45646</v>
      </c>
      <c r="E133" s="13" t="str">
        <f>+HYPERLINK("http://trademark.i-assist.jp/data/china/image_1916th/80123219.pdf","80123219")</f>
        <v>80123219</v>
      </c>
      <c r="F133" s="9" t="s">
        <v>435</v>
      </c>
      <c r="G133" s="9" t="s">
        <v>436</v>
      </c>
      <c r="H133" s="9" t="s">
        <v>437</v>
      </c>
      <c r="I133" s="10">
        <v>45505</v>
      </c>
    </row>
    <row r="134" spans="1:9" x14ac:dyDescent="0.15">
      <c r="A134" s="9">
        <v>133</v>
      </c>
      <c r="B134" s="9" t="s">
        <v>9</v>
      </c>
      <c r="C134" s="9">
        <v>1916</v>
      </c>
      <c r="D134" s="10">
        <v>45646</v>
      </c>
      <c r="E134" s="13" t="str">
        <f>+HYPERLINK("http://trademark.i-assist.jp/data/china/image_1916th/80126048.pdf","80126048")</f>
        <v>80126048</v>
      </c>
      <c r="F134" s="9" t="s">
        <v>438</v>
      </c>
      <c r="G134" s="12" t="s">
        <v>439</v>
      </c>
      <c r="H134" s="9" t="s">
        <v>440</v>
      </c>
      <c r="I134" s="10">
        <v>45505</v>
      </c>
    </row>
    <row r="135" spans="1:9" x14ac:dyDescent="0.15">
      <c r="A135" s="9">
        <v>134</v>
      </c>
      <c r="B135" s="9" t="s">
        <v>9</v>
      </c>
      <c r="C135" s="9">
        <v>1916</v>
      </c>
      <c r="D135" s="10">
        <v>45646</v>
      </c>
      <c r="E135" s="13" t="str">
        <f>+HYPERLINK("http://trademark.i-assist.jp/data/china/image_1916th/80127254.pdf","80127254")</f>
        <v>80127254</v>
      </c>
      <c r="F135" s="12" t="s">
        <v>441</v>
      </c>
      <c r="G135" s="12" t="s">
        <v>442</v>
      </c>
      <c r="H135" s="9" t="s">
        <v>443</v>
      </c>
      <c r="I135" s="10">
        <v>45505</v>
      </c>
    </row>
    <row r="136" spans="1:9" x14ac:dyDescent="0.15">
      <c r="A136" s="9">
        <v>135</v>
      </c>
      <c r="B136" s="9" t="s">
        <v>9</v>
      </c>
      <c r="C136" s="9">
        <v>1916</v>
      </c>
      <c r="D136" s="10">
        <v>45646</v>
      </c>
      <c r="E136" s="13" t="str">
        <f>+HYPERLINK("http://trademark.i-assist.jp/data/china/image_1916th/80179488.pdf","80179488")</f>
        <v>80179488</v>
      </c>
      <c r="F136" s="9" t="s">
        <v>444</v>
      </c>
      <c r="G136" s="9" t="s">
        <v>445</v>
      </c>
      <c r="H136" s="9" t="s">
        <v>446</v>
      </c>
      <c r="I136" s="10">
        <v>45509</v>
      </c>
    </row>
    <row r="137" spans="1:9" x14ac:dyDescent="0.15">
      <c r="A137" s="9">
        <v>136</v>
      </c>
      <c r="B137" s="9" t="s">
        <v>9</v>
      </c>
      <c r="C137" s="9">
        <v>1916</v>
      </c>
      <c r="D137" s="10">
        <v>45646</v>
      </c>
      <c r="E137" s="13" t="str">
        <f>+HYPERLINK("http://trademark.i-assist.jp/data/china/image_1916th/80179527.pdf","80179527")</f>
        <v>80179527</v>
      </c>
      <c r="F137" s="12" t="s">
        <v>447</v>
      </c>
      <c r="G137" s="9" t="s">
        <v>448</v>
      </c>
      <c r="H137" s="9" t="s">
        <v>449</v>
      </c>
      <c r="I137" s="10">
        <v>45509</v>
      </c>
    </row>
    <row r="138" spans="1:9" x14ac:dyDescent="0.15">
      <c r="A138" s="9">
        <v>137</v>
      </c>
      <c r="B138" s="9" t="s">
        <v>9</v>
      </c>
      <c r="C138" s="9">
        <v>1916</v>
      </c>
      <c r="D138" s="10">
        <v>45646</v>
      </c>
      <c r="E138" s="13" t="str">
        <f>+HYPERLINK("http://trademark.i-assist.jp/data/china/image_1916th/80183026.pdf","80183026")</f>
        <v>80183026</v>
      </c>
      <c r="F138" s="9" t="s">
        <v>450</v>
      </c>
      <c r="G138" s="9" t="s">
        <v>448</v>
      </c>
      <c r="H138" s="9" t="s">
        <v>451</v>
      </c>
      <c r="I138" s="10">
        <v>45509</v>
      </c>
    </row>
    <row r="139" spans="1:9" x14ac:dyDescent="0.15">
      <c r="A139" s="9">
        <v>138</v>
      </c>
      <c r="B139" s="9" t="s">
        <v>9</v>
      </c>
      <c r="C139" s="9">
        <v>1916</v>
      </c>
      <c r="D139" s="10">
        <v>45646</v>
      </c>
      <c r="E139" s="13" t="str">
        <f>+HYPERLINK("http://trademark.i-assist.jp/data/china/image_1916th/80190635.pdf","80190635")</f>
        <v>80190635</v>
      </c>
      <c r="F139" s="12" t="s">
        <v>452</v>
      </c>
      <c r="G139" s="9" t="s">
        <v>453</v>
      </c>
      <c r="H139" s="9" t="s">
        <v>454</v>
      </c>
      <c r="I139" s="10">
        <v>45509</v>
      </c>
    </row>
    <row r="140" spans="1:9" x14ac:dyDescent="0.15">
      <c r="A140" s="9">
        <v>139</v>
      </c>
      <c r="B140" s="9" t="s">
        <v>9</v>
      </c>
      <c r="C140" s="9">
        <v>1916</v>
      </c>
      <c r="D140" s="10">
        <v>45646</v>
      </c>
      <c r="E140" s="13" t="str">
        <f>+HYPERLINK("http://trademark.i-assist.jp/data/china/image_1916th/80198990.pdf","80198990")</f>
        <v>80198990</v>
      </c>
      <c r="F140" s="9" t="s">
        <v>455</v>
      </c>
      <c r="G140" s="12" t="s">
        <v>456</v>
      </c>
      <c r="H140" s="9" t="s">
        <v>457</v>
      </c>
      <c r="I140" s="10">
        <v>45510</v>
      </c>
    </row>
    <row r="141" spans="1:9" x14ac:dyDescent="0.15">
      <c r="A141" s="9">
        <v>140</v>
      </c>
      <c r="B141" s="9" t="s">
        <v>9</v>
      </c>
      <c r="C141" s="9">
        <v>1916</v>
      </c>
      <c r="D141" s="10">
        <v>45646</v>
      </c>
      <c r="E141" s="13" t="str">
        <f>+HYPERLINK("http://trademark.i-assist.jp/data/china/image_1916th/80215760.pdf","80215760")</f>
        <v>80215760</v>
      </c>
      <c r="F141" s="9" t="s">
        <v>458</v>
      </c>
      <c r="G141" s="12" t="s">
        <v>459</v>
      </c>
      <c r="H141" s="9" t="s">
        <v>460</v>
      </c>
      <c r="I141" s="10">
        <v>45510</v>
      </c>
    </row>
    <row r="142" spans="1:9" x14ac:dyDescent="0.15">
      <c r="A142" s="9">
        <v>141</v>
      </c>
      <c r="B142" s="9" t="s">
        <v>9</v>
      </c>
      <c r="C142" s="9">
        <v>1916</v>
      </c>
      <c r="D142" s="10">
        <v>45646</v>
      </c>
      <c r="E142" s="13" t="str">
        <f>+HYPERLINK("http://trademark.i-assist.jp/data/china/image_1916th/80236565.pdf","80236565")</f>
        <v>80236565</v>
      </c>
      <c r="F142" s="9" t="s">
        <v>461</v>
      </c>
      <c r="G142" s="9" t="s">
        <v>462</v>
      </c>
      <c r="H142" s="9" t="s">
        <v>463</v>
      </c>
      <c r="I142" s="10">
        <v>45511</v>
      </c>
    </row>
    <row r="143" spans="1:9" x14ac:dyDescent="0.15">
      <c r="A143" s="9">
        <v>142</v>
      </c>
      <c r="B143" s="9" t="s">
        <v>9</v>
      </c>
      <c r="C143" s="9">
        <v>1916</v>
      </c>
      <c r="D143" s="10">
        <v>45646</v>
      </c>
      <c r="E143" s="13" t="str">
        <f>+HYPERLINK("http://trademark.i-assist.jp/data/china/image_1916th/80244110.pdf","80244110")</f>
        <v>80244110</v>
      </c>
      <c r="F143" s="9" t="s">
        <v>464</v>
      </c>
      <c r="G143" s="9" t="s">
        <v>465</v>
      </c>
      <c r="H143" s="9" t="s">
        <v>466</v>
      </c>
      <c r="I143" s="10">
        <v>45512</v>
      </c>
    </row>
    <row r="144" spans="1:9" x14ac:dyDescent="0.15">
      <c r="A144" s="9">
        <v>143</v>
      </c>
      <c r="B144" s="9" t="s">
        <v>9</v>
      </c>
      <c r="C144" s="9">
        <v>1916</v>
      </c>
      <c r="D144" s="10">
        <v>45646</v>
      </c>
      <c r="E144" s="13" t="str">
        <f>+HYPERLINK("http://trademark.i-assist.jp/data/china/image_1916th/80268600.pdf","80268600")</f>
        <v>80268600</v>
      </c>
      <c r="F144" s="9" t="s">
        <v>467</v>
      </c>
      <c r="G144" s="9" t="s">
        <v>468</v>
      </c>
      <c r="H144" s="12" t="s">
        <v>469</v>
      </c>
      <c r="I144" s="10">
        <v>45513</v>
      </c>
    </row>
    <row r="145" spans="1:9" x14ac:dyDescent="0.15">
      <c r="A145" s="9">
        <v>144</v>
      </c>
      <c r="B145" s="9" t="s">
        <v>9</v>
      </c>
      <c r="C145" s="9">
        <v>1916</v>
      </c>
      <c r="D145" s="10">
        <v>45646</v>
      </c>
      <c r="E145" s="13" t="str">
        <f>+HYPERLINK("http://trademark.i-assist.jp/data/china/image_1916th/80273628.pdf","80273628")</f>
        <v>80273628</v>
      </c>
      <c r="F145" s="9" t="s">
        <v>464</v>
      </c>
      <c r="G145" s="9" t="s">
        <v>465</v>
      </c>
      <c r="H145" s="9" t="s">
        <v>470</v>
      </c>
      <c r="I145" s="10">
        <v>45513</v>
      </c>
    </row>
    <row r="146" spans="1:9" x14ac:dyDescent="0.15">
      <c r="A146" s="9">
        <v>145</v>
      </c>
      <c r="B146" s="9" t="s">
        <v>9</v>
      </c>
      <c r="C146" s="9">
        <v>1916</v>
      </c>
      <c r="D146" s="10">
        <v>45646</v>
      </c>
      <c r="E146" s="13" t="str">
        <f>+HYPERLINK("http://trademark.i-assist.jp/data/china/image_1916th/80301235.pdf","80301235")</f>
        <v>80301235</v>
      </c>
      <c r="F146" s="12" t="s">
        <v>13</v>
      </c>
      <c r="G146" s="11" t="s">
        <v>471</v>
      </c>
      <c r="H146" s="9" t="s">
        <v>472</v>
      </c>
      <c r="I146" s="10">
        <v>45516</v>
      </c>
    </row>
    <row r="147" spans="1:9" x14ac:dyDescent="0.15">
      <c r="A147" s="9">
        <v>146</v>
      </c>
      <c r="B147" s="9" t="s">
        <v>9</v>
      </c>
      <c r="C147" s="9">
        <v>1916</v>
      </c>
      <c r="D147" s="10">
        <v>45646</v>
      </c>
      <c r="E147" s="13" t="str">
        <f>+HYPERLINK("http://trademark.i-assist.jp/data/china/image_1916th/80306454.pdf","80306454")</f>
        <v>80306454</v>
      </c>
      <c r="F147" s="9" t="s">
        <v>473</v>
      </c>
      <c r="G147" s="9" t="s">
        <v>474</v>
      </c>
      <c r="H147" s="9" t="s">
        <v>475</v>
      </c>
      <c r="I147" s="10">
        <v>45516</v>
      </c>
    </row>
    <row r="148" spans="1:9" x14ac:dyDescent="0.15">
      <c r="A148" s="9">
        <v>147</v>
      </c>
      <c r="B148" s="9" t="s">
        <v>9</v>
      </c>
      <c r="C148" s="9">
        <v>1916</v>
      </c>
      <c r="D148" s="10">
        <v>45646</v>
      </c>
      <c r="E148" s="13" t="str">
        <f>+HYPERLINK("http://trademark.i-assist.jp/data/china/image_1916th/80316185.pdf","80316185")</f>
        <v>80316185</v>
      </c>
      <c r="F148" s="9" t="s">
        <v>476</v>
      </c>
      <c r="G148" s="9" t="s">
        <v>477</v>
      </c>
      <c r="H148" s="9" t="s">
        <v>478</v>
      </c>
      <c r="I148" s="10">
        <v>45516</v>
      </c>
    </row>
    <row r="149" spans="1:9" x14ac:dyDescent="0.15">
      <c r="A149" s="9">
        <v>148</v>
      </c>
      <c r="B149" s="9" t="s">
        <v>9</v>
      </c>
      <c r="C149" s="9">
        <v>1916</v>
      </c>
      <c r="D149" s="10">
        <v>45646</v>
      </c>
      <c r="E149" s="13" t="str">
        <f>+HYPERLINK("http://trademark.i-assist.jp/data/china/image_1916th/80319222.pdf","80319222")</f>
        <v>80319222</v>
      </c>
      <c r="F149" s="9" t="s">
        <v>479</v>
      </c>
      <c r="G149" s="9" t="s">
        <v>480</v>
      </c>
      <c r="H149" s="9" t="s">
        <v>481</v>
      </c>
      <c r="I149" s="10">
        <v>45516</v>
      </c>
    </row>
    <row r="150" spans="1:9" x14ac:dyDescent="0.15">
      <c r="A150" s="9">
        <v>149</v>
      </c>
      <c r="B150" s="9" t="s">
        <v>9</v>
      </c>
      <c r="C150" s="9">
        <v>1916</v>
      </c>
      <c r="D150" s="10">
        <v>45646</v>
      </c>
      <c r="E150" s="13" t="str">
        <f>+HYPERLINK("http://trademark.i-assist.jp/data/china/image_1916th/80325047.pdf","80325047")</f>
        <v>80325047</v>
      </c>
      <c r="F150" s="12" t="s">
        <v>13</v>
      </c>
      <c r="G150" s="9" t="s">
        <v>482</v>
      </c>
      <c r="H150" s="9" t="s">
        <v>483</v>
      </c>
      <c r="I150" s="10">
        <v>45517</v>
      </c>
    </row>
    <row r="151" spans="1:9" x14ac:dyDescent="0.15">
      <c r="A151" s="9">
        <v>150</v>
      </c>
      <c r="B151" s="9" t="s">
        <v>9</v>
      </c>
      <c r="C151" s="9">
        <v>1916</v>
      </c>
      <c r="D151" s="10">
        <v>45646</v>
      </c>
      <c r="E151" s="13" t="str">
        <f>+HYPERLINK("http://trademark.i-assist.jp/data/china/image_1916th/80334249.pdf","80334249")</f>
        <v>80334249</v>
      </c>
      <c r="F151" s="9" t="s">
        <v>484</v>
      </c>
      <c r="G151" s="9" t="s">
        <v>485</v>
      </c>
      <c r="H151" s="12" t="s">
        <v>486</v>
      </c>
      <c r="I151" s="10">
        <v>45517</v>
      </c>
    </row>
    <row r="152" spans="1:9" x14ac:dyDescent="0.15">
      <c r="A152" s="9">
        <v>151</v>
      </c>
      <c r="B152" s="9" t="s">
        <v>9</v>
      </c>
      <c r="C152" s="9">
        <v>1916</v>
      </c>
      <c r="D152" s="10">
        <v>45646</v>
      </c>
      <c r="E152" s="13" t="str">
        <f>+HYPERLINK("http://trademark.i-assist.jp/data/china/image_1916th/80337158.pdf","80337158")</f>
        <v>80337158</v>
      </c>
      <c r="F152" s="9" t="s">
        <v>487</v>
      </c>
      <c r="G152" s="12" t="s">
        <v>488</v>
      </c>
      <c r="H152" s="9" t="s">
        <v>489</v>
      </c>
      <c r="I152" s="10">
        <v>45517</v>
      </c>
    </row>
    <row r="153" spans="1:9" x14ac:dyDescent="0.15">
      <c r="A153" s="9">
        <v>152</v>
      </c>
      <c r="B153" s="9" t="s">
        <v>9</v>
      </c>
      <c r="C153" s="9">
        <v>1916</v>
      </c>
      <c r="D153" s="10">
        <v>45646</v>
      </c>
      <c r="E153" s="13" t="str">
        <f>+HYPERLINK("http://trademark.i-assist.jp/data/china/image_1916th/80346512.pdf","80346512")</f>
        <v>80346512</v>
      </c>
      <c r="F153" s="9" t="s">
        <v>490</v>
      </c>
      <c r="G153" s="12" t="s">
        <v>491</v>
      </c>
      <c r="H153" s="9" t="s">
        <v>492</v>
      </c>
      <c r="I153" s="10">
        <v>45517</v>
      </c>
    </row>
    <row r="154" spans="1:9" x14ac:dyDescent="0.15">
      <c r="A154" s="9">
        <v>153</v>
      </c>
      <c r="B154" s="9" t="s">
        <v>9</v>
      </c>
      <c r="C154" s="9">
        <v>1916</v>
      </c>
      <c r="D154" s="10">
        <v>45646</v>
      </c>
      <c r="E154" s="13" t="str">
        <f>+HYPERLINK("http://trademark.i-assist.jp/data/china/image_1916th/80346932.pdf","80346932")</f>
        <v>80346932</v>
      </c>
      <c r="F154" s="9" t="s">
        <v>493</v>
      </c>
      <c r="G154" s="9" t="s">
        <v>494</v>
      </c>
      <c r="H154" s="9" t="s">
        <v>495</v>
      </c>
      <c r="I154" s="10">
        <v>45517</v>
      </c>
    </row>
    <row r="155" spans="1:9" x14ac:dyDescent="0.15">
      <c r="A155" s="9">
        <v>154</v>
      </c>
      <c r="B155" s="9" t="s">
        <v>9</v>
      </c>
      <c r="C155" s="9">
        <v>1916</v>
      </c>
      <c r="D155" s="10">
        <v>45646</v>
      </c>
      <c r="E155" s="13" t="str">
        <f>+HYPERLINK("http://trademark.i-assist.jp/data/china/image_1916th/80358730.pdf","80358730")</f>
        <v>80358730</v>
      </c>
      <c r="F155" s="9" t="s">
        <v>496</v>
      </c>
      <c r="G155" s="9" t="s">
        <v>497</v>
      </c>
      <c r="H155" s="9" t="s">
        <v>498</v>
      </c>
      <c r="I155" s="10">
        <v>45518</v>
      </c>
    </row>
    <row r="156" spans="1:9" x14ac:dyDescent="0.15">
      <c r="A156" s="9">
        <v>155</v>
      </c>
      <c r="B156" s="9" t="s">
        <v>9</v>
      </c>
      <c r="C156" s="9">
        <v>1916</v>
      </c>
      <c r="D156" s="10">
        <v>45646</v>
      </c>
      <c r="E156" s="13" t="str">
        <f>+HYPERLINK("http://trademark.i-assist.jp/data/china/image_1916th/80366497.pdf","80366497")</f>
        <v>80366497</v>
      </c>
      <c r="F156" s="12" t="s">
        <v>499</v>
      </c>
      <c r="G156" s="9" t="s">
        <v>500</v>
      </c>
      <c r="H156" s="12" t="s">
        <v>501</v>
      </c>
      <c r="I156" s="10">
        <v>45518</v>
      </c>
    </row>
    <row r="157" spans="1:9" x14ac:dyDescent="0.15">
      <c r="A157" s="9">
        <v>156</v>
      </c>
      <c r="B157" s="9" t="s">
        <v>9</v>
      </c>
      <c r="C157" s="9">
        <v>1916</v>
      </c>
      <c r="D157" s="10">
        <v>45646</v>
      </c>
      <c r="E157" s="13" t="str">
        <f>+HYPERLINK("http://trademark.i-assist.jp/data/china/image_1916th/80371949.pdf","80371949")</f>
        <v>80371949</v>
      </c>
      <c r="F157" s="12" t="s">
        <v>13</v>
      </c>
      <c r="G157" s="9" t="s">
        <v>502</v>
      </c>
      <c r="H157" s="9" t="s">
        <v>503</v>
      </c>
      <c r="I157" s="10">
        <v>45519</v>
      </c>
    </row>
    <row r="158" spans="1:9" x14ac:dyDescent="0.15">
      <c r="A158" s="9">
        <v>157</v>
      </c>
      <c r="B158" s="9" t="s">
        <v>9</v>
      </c>
      <c r="C158" s="9">
        <v>1916</v>
      </c>
      <c r="D158" s="10">
        <v>45646</v>
      </c>
      <c r="E158" s="13" t="str">
        <f>+HYPERLINK("http://trademark.i-assist.jp/data/china/image_1916th/80374251.pdf","80374251")</f>
        <v>80374251</v>
      </c>
      <c r="F158" s="9" t="s">
        <v>504</v>
      </c>
      <c r="G158" s="9" t="s">
        <v>505</v>
      </c>
      <c r="H158" s="9" t="s">
        <v>506</v>
      </c>
      <c r="I158" s="10">
        <v>45519</v>
      </c>
    </row>
    <row r="159" spans="1:9" x14ac:dyDescent="0.15">
      <c r="A159" s="9">
        <v>158</v>
      </c>
      <c r="B159" s="9" t="s">
        <v>9</v>
      </c>
      <c r="C159" s="9">
        <v>1916</v>
      </c>
      <c r="D159" s="10">
        <v>45646</v>
      </c>
      <c r="E159" s="13" t="str">
        <f>+HYPERLINK("http://trademark.i-assist.jp/data/china/image_1916th/80389294.pdf","80389294")</f>
        <v>80389294</v>
      </c>
      <c r="F159" s="9" t="s">
        <v>507</v>
      </c>
      <c r="G159" s="12" t="s">
        <v>508</v>
      </c>
      <c r="H159" s="9" t="s">
        <v>509</v>
      </c>
      <c r="I159" s="10">
        <v>45519</v>
      </c>
    </row>
    <row r="160" spans="1:9" x14ac:dyDescent="0.15">
      <c r="A160" s="9">
        <v>159</v>
      </c>
      <c r="B160" s="9" t="s">
        <v>9</v>
      </c>
      <c r="C160" s="9">
        <v>1916</v>
      </c>
      <c r="D160" s="10">
        <v>45646</v>
      </c>
      <c r="E160" s="13" t="str">
        <f>+HYPERLINK("http://trademark.i-assist.jp/data/china/image_1916th/80392394.pdf","80392394")</f>
        <v>80392394</v>
      </c>
      <c r="F160" s="9" t="s">
        <v>510</v>
      </c>
      <c r="G160" s="12" t="s">
        <v>511</v>
      </c>
      <c r="H160" s="9" t="s">
        <v>512</v>
      </c>
      <c r="I160" s="10">
        <v>45519</v>
      </c>
    </row>
    <row r="161" spans="1:9" x14ac:dyDescent="0.15">
      <c r="A161" s="9">
        <v>160</v>
      </c>
      <c r="B161" s="9" t="s">
        <v>9</v>
      </c>
      <c r="C161" s="9">
        <v>1916</v>
      </c>
      <c r="D161" s="10">
        <v>45646</v>
      </c>
      <c r="E161" s="13" t="str">
        <f>+HYPERLINK("http://trademark.i-assist.jp/data/china/image_1916th/80392966.pdf","80392966")</f>
        <v>80392966</v>
      </c>
      <c r="F161" s="9" t="s">
        <v>513</v>
      </c>
      <c r="G161" s="9" t="s">
        <v>514</v>
      </c>
      <c r="H161" s="9" t="s">
        <v>515</v>
      </c>
      <c r="I161" s="10">
        <v>45519</v>
      </c>
    </row>
    <row r="162" spans="1:9" x14ac:dyDescent="0.15">
      <c r="A162" s="9">
        <v>161</v>
      </c>
      <c r="B162" s="9" t="s">
        <v>9</v>
      </c>
      <c r="C162" s="9">
        <v>1916</v>
      </c>
      <c r="D162" s="10">
        <v>45646</v>
      </c>
      <c r="E162" s="13" t="str">
        <f>+HYPERLINK("http://trademark.i-assist.jp/data/china/image_1916th/80396181.pdf","80396181")</f>
        <v>80396181</v>
      </c>
      <c r="F162" s="12" t="s">
        <v>516</v>
      </c>
      <c r="G162" s="12" t="s">
        <v>38</v>
      </c>
      <c r="H162" s="9" t="s">
        <v>517</v>
      </c>
      <c r="I162" s="10">
        <v>45520</v>
      </c>
    </row>
    <row r="163" spans="1:9" x14ac:dyDescent="0.15">
      <c r="A163" s="9">
        <v>162</v>
      </c>
      <c r="B163" s="9" t="s">
        <v>9</v>
      </c>
      <c r="C163" s="9">
        <v>1916</v>
      </c>
      <c r="D163" s="10">
        <v>45646</v>
      </c>
      <c r="E163" s="13" t="str">
        <f>+HYPERLINK("http://trademark.i-assist.jp/data/china/image_1916th/80402204.pdf","80402204")</f>
        <v>80402204</v>
      </c>
      <c r="F163" s="12" t="s">
        <v>518</v>
      </c>
      <c r="G163" s="12" t="s">
        <v>38</v>
      </c>
      <c r="H163" s="9" t="s">
        <v>519</v>
      </c>
      <c r="I163" s="10">
        <v>45520</v>
      </c>
    </row>
    <row r="164" spans="1:9" x14ac:dyDescent="0.15">
      <c r="A164" s="9">
        <v>163</v>
      </c>
      <c r="B164" s="9" t="s">
        <v>9</v>
      </c>
      <c r="C164" s="9">
        <v>1916</v>
      </c>
      <c r="D164" s="10">
        <v>45646</v>
      </c>
      <c r="E164" s="13" t="str">
        <f>+HYPERLINK("http://trademark.i-assist.jp/data/china/image_1916th/80403787.pdf","80403787")</f>
        <v>80403787</v>
      </c>
      <c r="F164" s="9" t="s">
        <v>520</v>
      </c>
      <c r="G164" s="9" t="s">
        <v>521</v>
      </c>
      <c r="H164" s="9" t="s">
        <v>522</v>
      </c>
      <c r="I164" s="10">
        <v>45520</v>
      </c>
    </row>
    <row r="165" spans="1:9" x14ac:dyDescent="0.15">
      <c r="A165" s="9">
        <v>164</v>
      </c>
      <c r="B165" s="9" t="s">
        <v>9</v>
      </c>
      <c r="C165" s="9">
        <v>1916</v>
      </c>
      <c r="D165" s="10">
        <v>45646</v>
      </c>
      <c r="E165" s="13" t="str">
        <f>+HYPERLINK("http://trademark.i-assist.jp/data/china/image_1916th/80405805.pdf","80405805")</f>
        <v>80405805</v>
      </c>
      <c r="F165" s="12" t="s">
        <v>523</v>
      </c>
      <c r="G165" s="12" t="s">
        <v>38</v>
      </c>
      <c r="H165" s="9" t="s">
        <v>524</v>
      </c>
      <c r="I165" s="10">
        <v>45520</v>
      </c>
    </row>
    <row r="166" spans="1:9" x14ac:dyDescent="0.15">
      <c r="A166" s="9">
        <v>165</v>
      </c>
      <c r="B166" s="9" t="s">
        <v>9</v>
      </c>
      <c r="C166" s="9">
        <v>1916</v>
      </c>
      <c r="D166" s="10">
        <v>45646</v>
      </c>
      <c r="E166" s="13" t="str">
        <f>+HYPERLINK("http://trademark.i-assist.jp/data/china/image_1916th/80412139.pdf","80412139")</f>
        <v>80412139</v>
      </c>
      <c r="F166" s="12" t="s">
        <v>525</v>
      </c>
      <c r="G166" s="12" t="s">
        <v>38</v>
      </c>
      <c r="H166" s="9" t="s">
        <v>526</v>
      </c>
      <c r="I166" s="10">
        <v>45520</v>
      </c>
    </row>
    <row r="167" spans="1:9" x14ac:dyDescent="0.15">
      <c r="A167" s="9">
        <v>166</v>
      </c>
      <c r="B167" s="9" t="s">
        <v>9</v>
      </c>
      <c r="C167" s="9">
        <v>1916</v>
      </c>
      <c r="D167" s="10">
        <v>45646</v>
      </c>
      <c r="E167" s="13" t="str">
        <f>+HYPERLINK("http://trademark.i-assist.jp/data/china/image_1916th/80417605.pdf","80417605")</f>
        <v>80417605</v>
      </c>
      <c r="F167" s="12" t="s">
        <v>527</v>
      </c>
      <c r="G167" s="12" t="s">
        <v>38</v>
      </c>
      <c r="H167" s="9" t="s">
        <v>528</v>
      </c>
      <c r="I167" s="10">
        <v>45520</v>
      </c>
    </row>
    <row r="168" spans="1:9" x14ac:dyDescent="0.15">
      <c r="A168" s="9">
        <v>167</v>
      </c>
      <c r="B168" s="9" t="s">
        <v>9</v>
      </c>
      <c r="C168" s="9">
        <v>1916</v>
      </c>
      <c r="D168" s="10">
        <v>45646</v>
      </c>
      <c r="E168" s="13" t="str">
        <f>+HYPERLINK("http://trademark.i-assist.jp/data/china/image_1916th/80418709.pdf","80418709")</f>
        <v>80418709</v>
      </c>
      <c r="F168" s="9" t="s">
        <v>529</v>
      </c>
      <c r="G168" s="12" t="s">
        <v>530</v>
      </c>
      <c r="H168" s="9" t="s">
        <v>531</v>
      </c>
      <c r="I168" s="10">
        <v>45521</v>
      </c>
    </row>
    <row r="169" spans="1:9" x14ac:dyDescent="0.15">
      <c r="A169" s="9">
        <v>168</v>
      </c>
      <c r="B169" s="9" t="s">
        <v>9</v>
      </c>
      <c r="C169" s="9">
        <v>1916</v>
      </c>
      <c r="D169" s="10">
        <v>45646</v>
      </c>
      <c r="E169" s="13" t="str">
        <f>+HYPERLINK("http://trademark.i-assist.jp/data/china/image_1916th/80419353.pdf","80419353")</f>
        <v>80419353</v>
      </c>
      <c r="F169" s="9" t="s">
        <v>532</v>
      </c>
      <c r="G169" s="12" t="s">
        <v>533</v>
      </c>
      <c r="H169" s="9" t="s">
        <v>534</v>
      </c>
      <c r="I169" s="10">
        <v>45521</v>
      </c>
    </row>
    <row r="170" spans="1:9" x14ac:dyDescent="0.15">
      <c r="A170" s="9">
        <v>169</v>
      </c>
      <c r="B170" s="9" t="s">
        <v>9</v>
      </c>
      <c r="C170" s="9">
        <v>1916</v>
      </c>
      <c r="D170" s="10">
        <v>45646</v>
      </c>
      <c r="E170" s="13" t="str">
        <f>+HYPERLINK("http://trademark.i-assist.jp/data/china/image_1916th/80419649.pdf","80419649")</f>
        <v>80419649</v>
      </c>
      <c r="F170" s="9" t="s">
        <v>535</v>
      </c>
      <c r="G170" s="9" t="s">
        <v>536</v>
      </c>
      <c r="H170" s="9" t="s">
        <v>537</v>
      </c>
      <c r="I170" s="10">
        <v>45521</v>
      </c>
    </row>
    <row r="171" spans="1:9" x14ac:dyDescent="0.15">
      <c r="A171" s="9">
        <v>170</v>
      </c>
      <c r="B171" s="9" t="s">
        <v>9</v>
      </c>
      <c r="C171" s="9">
        <v>1916</v>
      </c>
      <c r="D171" s="10">
        <v>45646</v>
      </c>
      <c r="E171" s="13" t="str">
        <f>+HYPERLINK("http://trademark.i-assist.jp/data/china/image_1916th/80424670.pdf","80424670")</f>
        <v>80424670</v>
      </c>
      <c r="F171" s="9" t="s">
        <v>538</v>
      </c>
      <c r="G171" s="9" t="s">
        <v>539</v>
      </c>
      <c r="H171" s="9" t="s">
        <v>540</v>
      </c>
      <c r="I171" s="10">
        <v>45522</v>
      </c>
    </row>
    <row r="172" spans="1:9" x14ac:dyDescent="0.15">
      <c r="A172" s="9">
        <v>171</v>
      </c>
      <c r="B172" s="9" t="s">
        <v>9</v>
      </c>
      <c r="C172" s="9">
        <v>1916</v>
      </c>
      <c r="D172" s="10">
        <v>45646</v>
      </c>
      <c r="E172" s="13" t="str">
        <f>+HYPERLINK("http://trademark.i-assist.jp/data/china/image_1916th/80424671.pdf","80424671")</f>
        <v>80424671</v>
      </c>
      <c r="F172" s="9" t="s">
        <v>541</v>
      </c>
      <c r="G172" s="9" t="s">
        <v>539</v>
      </c>
      <c r="H172" s="9" t="s">
        <v>542</v>
      </c>
      <c r="I172" s="10">
        <v>45522</v>
      </c>
    </row>
    <row r="173" spans="1:9" x14ac:dyDescent="0.15">
      <c r="A173" s="9">
        <v>172</v>
      </c>
      <c r="B173" s="9" t="s">
        <v>9</v>
      </c>
      <c r="C173" s="9">
        <v>1916</v>
      </c>
      <c r="D173" s="10">
        <v>45646</v>
      </c>
      <c r="E173" s="13" t="str">
        <f>+HYPERLINK("http://trademark.i-assist.jp/data/china/image_1916th/80425409.pdf","80425409")</f>
        <v>80425409</v>
      </c>
      <c r="F173" s="9" t="s">
        <v>543</v>
      </c>
      <c r="G173" s="9" t="s">
        <v>544</v>
      </c>
      <c r="H173" s="9" t="s">
        <v>545</v>
      </c>
      <c r="I173" s="10">
        <v>45522</v>
      </c>
    </row>
    <row r="174" spans="1:9" x14ac:dyDescent="0.15">
      <c r="A174" s="9">
        <v>173</v>
      </c>
      <c r="B174" s="9" t="s">
        <v>9</v>
      </c>
      <c r="C174" s="9">
        <v>1916</v>
      </c>
      <c r="D174" s="10">
        <v>45646</v>
      </c>
      <c r="E174" s="13" t="str">
        <f>+HYPERLINK("http://trademark.i-assist.jp/data/china/image_1916th/80425542.pdf","80425542")</f>
        <v>80425542</v>
      </c>
      <c r="F174" s="9" t="s">
        <v>546</v>
      </c>
      <c r="G174" s="9" t="s">
        <v>547</v>
      </c>
      <c r="H174" s="9" t="s">
        <v>548</v>
      </c>
      <c r="I174" s="10">
        <v>45522</v>
      </c>
    </row>
    <row r="175" spans="1:9" x14ac:dyDescent="0.15">
      <c r="A175" s="9">
        <v>174</v>
      </c>
      <c r="B175" s="9" t="s">
        <v>9</v>
      </c>
      <c r="C175" s="9">
        <v>1916</v>
      </c>
      <c r="D175" s="10">
        <v>45646</v>
      </c>
      <c r="E175" s="13" t="str">
        <f>+HYPERLINK("http://trademark.i-assist.jp/data/china/image_1916th/80425729.pdf","80425729")</f>
        <v>80425729</v>
      </c>
      <c r="F175" s="12" t="s">
        <v>549</v>
      </c>
      <c r="G175" s="12" t="s">
        <v>550</v>
      </c>
      <c r="H175" s="9" t="s">
        <v>551</v>
      </c>
      <c r="I175" s="10">
        <v>45522</v>
      </c>
    </row>
    <row r="176" spans="1:9" x14ac:dyDescent="0.15">
      <c r="A176" s="9">
        <v>175</v>
      </c>
      <c r="B176" s="9" t="s">
        <v>9</v>
      </c>
      <c r="C176" s="9">
        <v>1916</v>
      </c>
      <c r="D176" s="10">
        <v>45646</v>
      </c>
      <c r="E176" s="13" t="str">
        <f>+HYPERLINK("http://trademark.i-assist.jp/data/china/image_1916th/80426291.pdf","80426291")</f>
        <v>80426291</v>
      </c>
      <c r="F176" s="9" t="s">
        <v>552</v>
      </c>
      <c r="G176" s="9" t="s">
        <v>552</v>
      </c>
      <c r="H176" s="9" t="s">
        <v>553</v>
      </c>
      <c r="I176" s="10">
        <v>45522</v>
      </c>
    </row>
    <row r="177" spans="1:9" x14ac:dyDescent="0.15">
      <c r="A177" s="9">
        <v>176</v>
      </c>
      <c r="B177" s="9" t="s">
        <v>9</v>
      </c>
      <c r="C177" s="9">
        <v>1916</v>
      </c>
      <c r="D177" s="10">
        <v>45646</v>
      </c>
      <c r="E177" s="13" t="str">
        <f>+HYPERLINK("http://trademark.i-assist.jp/data/china/image_1916th/80431776.pdf","80431776")</f>
        <v>80431776</v>
      </c>
      <c r="F177" s="12" t="s">
        <v>13</v>
      </c>
      <c r="G177" s="9" t="s">
        <v>554</v>
      </c>
      <c r="H177" s="9" t="s">
        <v>555</v>
      </c>
      <c r="I177" s="10">
        <v>45523</v>
      </c>
    </row>
    <row r="178" spans="1:9" x14ac:dyDescent="0.15">
      <c r="A178" s="9">
        <v>177</v>
      </c>
      <c r="B178" s="9" t="s">
        <v>9</v>
      </c>
      <c r="C178" s="9">
        <v>1916</v>
      </c>
      <c r="D178" s="10">
        <v>45646</v>
      </c>
      <c r="E178" s="13" t="str">
        <f>+HYPERLINK("http://trademark.i-assist.jp/data/china/image_1916th/80436012.pdf","80436012")</f>
        <v>80436012</v>
      </c>
      <c r="F178" s="9" t="s">
        <v>556</v>
      </c>
      <c r="G178" s="9" t="s">
        <v>557</v>
      </c>
      <c r="H178" s="9" t="s">
        <v>558</v>
      </c>
      <c r="I178" s="10">
        <v>45523</v>
      </c>
    </row>
    <row r="179" spans="1:9" x14ac:dyDescent="0.15">
      <c r="A179" s="9">
        <v>178</v>
      </c>
      <c r="B179" s="9" t="s">
        <v>9</v>
      </c>
      <c r="C179" s="9">
        <v>1916</v>
      </c>
      <c r="D179" s="10">
        <v>45646</v>
      </c>
      <c r="E179" s="13" t="str">
        <f>+HYPERLINK("http://trademark.i-assist.jp/data/china/image_1916th/80439870.pdf","80439870")</f>
        <v>80439870</v>
      </c>
      <c r="F179" s="9" t="s">
        <v>559</v>
      </c>
      <c r="G179" s="9" t="s">
        <v>560</v>
      </c>
      <c r="H179" s="9" t="s">
        <v>561</v>
      </c>
      <c r="I179" s="10">
        <v>45523</v>
      </c>
    </row>
    <row r="180" spans="1:9" x14ac:dyDescent="0.15">
      <c r="A180" s="9">
        <v>179</v>
      </c>
      <c r="B180" s="9" t="s">
        <v>9</v>
      </c>
      <c r="C180" s="9">
        <v>1916</v>
      </c>
      <c r="D180" s="10">
        <v>45646</v>
      </c>
      <c r="E180" s="13" t="str">
        <f>+HYPERLINK("http://trademark.i-assist.jp/data/china/image_1916th/80448345.pdf","80448345")</f>
        <v>80448345</v>
      </c>
      <c r="F180" s="9" t="s">
        <v>562</v>
      </c>
      <c r="G180" s="9" t="s">
        <v>563</v>
      </c>
      <c r="H180" s="9" t="s">
        <v>564</v>
      </c>
      <c r="I180" s="10">
        <v>45523</v>
      </c>
    </row>
    <row r="181" spans="1:9" x14ac:dyDescent="0.15">
      <c r="A181" s="9">
        <v>180</v>
      </c>
      <c r="B181" s="9" t="s">
        <v>9</v>
      </c>
      <c r="C181" s="9">
        <v>1916</v>
      </c>
      <c r="D181" s="10">
        <v>45646</v>
      </c>
      <c r="E181" s="13" t="str">
        <f>+HYPERLINK("http://trademark.i-assist.jp/data/china/image_1916th/80451861.pdf","80451861")</f>
        <v>80451861</v>
      </c>
      <c r="F181" s="9" t="s">
        <v>565</v>
      </c>
      <c r="G181" s="9" t="s">
        <v>566</v>
      </c>
      <c r="H181" s="12" t="s">
        <v>567</v>
      </c>
      <c r="I181" s="10">
        <v>45524</v>
      </c>
    </row>
    <row r="182" spans="1:9" x14ac:dyDescent="0.15">
      <c r="A182" s="9">
        <v>181</v>
      </c>
      <c r="B182" s="9" t="s">
        <v>9</v>
      </c>
      <c r="C182" s="9">
        <v>1916</v>
      </c>
      <c r="D182" s="10">
        <v>45646</v>
      </c>
      <c r="E182" s="13" t="str">
        <f>+HYPERLINK("http://trademark.i-assist.jp/data/china/image_1916th/80461353.pdf","80461353")</f>
        <v>80461353</v>
      </c>
      <c r="F182" s="9" t="s">
        <v>568</v>
      </c>
      <c r="G182" s="9" t="s">
        <v>569</v>
      </c>
      <c r="H182" s="9" t="s">
        <v>570</v>
      </c>
      <c r="I182" s="10">
        <v>45524</v>
      </c>
    </row>
    <row r="183" spans="1:9" x14ac:dyDescent="0.15">
      <c r="A183" s="9">
        <v>182</v>
      </c>
      <c r="B183" s="9" t="s">
        <v>9</v>
      </c>
      <c r="C183" s="9">
        <v>1916</v>
      </c>
      <c r="D183" s="10">
        <v>45646</v>
      </c>
      <c r="E183" s="13" t="str">
        <f>+HYPERLINK("http://trademark.i-assist.jp/data/china/image_1916th/80461958.pdf","80461958")</f>
        <v>80461958</v>
      </c>
      <c r="F183" s="9" t="s">
        <v>571</v>
      </c>
      <c r="G183" s="9" t="s">
        <v>572</v>
      </c>
      <c r="H183" s="9" t="s">
        <v>573</v>
      </c>
      <c r="I183" s="10">
        <v>45524</v>
      </c>
    </row>
    <row r="184" spans="1:9" x14ac:dyDescent="0.15">
      <c r="A184" s="9">
        <v>183</v>
      </c>
      <c r="B184" s="9" t="s">
        <v>9</v>
      </c>
      <c r="C184" s="9">
        <v>1916</v>
      </c>
      <c r="D184" s="10">
        <v>45646</v>
      </c>
      <c r="E184" s="13" t="str">
        <f>+HYPERLINK("http://trademark.i-assist.jp/data/china/image_1916th/80468653.pdf","80468653")</f>
        <v>80468653</v>
      </c>
      <c r="F184" s="12" t="s">
        <v>13</v>
      </c>
      <c r="G184" s="9" t="s">
        <v>574</v>
      </c>
      <c r="H184" s="9" t="s">
        <v>575</v>
      </c>
      <c r="I184" s="10">
        <v>45524</v>
      </c>
    </row>
    <row r="185" spans="1:9" x14ac:dyDescent="0.15">
      <c r="A185" s="9">
        <v>184</v>
      </c>
      <c r="B185" s="9" t="s">
        <v>9</v>
      </c>
      <c r="C185" s="9">
        <v>1916</v>
      </c>
      <c r="D185" s="10">
        <v>45646</v>
      </c>
      <c r="E185" s="13" t="str">
        <f>+HYPERLINK("http://trademark.i-assist.jp/data/china/image_1916th/80474626.pdf","80474626")</f>
        <v>80474626</v>
      </c>
      <c r="F185" s="9" t="s">
        <v>576</v>
      </c>
      <c r="G185" s="12" t="s">
        <v>577</v>
      </c>
      <c r="H185" s="9" t="s">
        <v>578</v>
      </c>
      <c r="I185" s="10">
        <v>45525</v>
      </c>
    </row>
    <row r="186" spans="1:9" x14ac:dyDescent="0.15">
      <c r="A186" s="9">
        <v>185</v>
      </c>
      <c r="B186" s="9" t="s">
        <v>9</v>
      </c>
      <c r="C186" s="9">
        <v>1916</v>
      </c>
      <c r="D186" s="10">
        <v>45646</v>
      </c>
      <c r="E186" s="13" t="str">
        <f>+HYPERLINK("http://trademark.i-assist.jp/data/china/image_1916th/80483480.pdf","80483480")</f>
        <v>80483480</v>
      </c>
      <c r="F186" s="9" t="s">
        <v>579</v>
      </c>
      <c r="G186" s="9" t="s">
        <v>580</v>
      </c>
      <c r="H186" s="12" t="s">
        <v>581</v>
      </c>
      <c r="I186" s="10">
        <v>45525</v>
      </c>
    </row>
    <row r="187" spans="1:9" x14ac:dyDescent="0.15">
      <c r="A187" s="9">
        <v>186</v>
      </c>
      <c r="B187" s="9" t="s">
        <v>9</v>
      </c>
      <c r="C187" s="9">
        <v>1916</v>
      </c>
      <c r="D187" s="10">
        <v>45646</v>
      </c>
      <c r="E187" s="13" t="str">
        <f>+HYPERLINK("http://trademark.i-assist.jp/data/china/image_1916th/80485629.pdf","80485629")</f>
        <v>80485629</v>
      </c>
      <c r="F187" s="9" t="s">
        <v>582</v>
      </c>
      <c r="G187" s="9" t="s">
        <v>583</v>
      </c>
      <c r="H187" s="9" t="s">
        <v>584</v>
      </c>
      <c r="I187" s="10">
        <v>45525</v>
      </c>
    </row>
    <row r="188" spans="1:9" x14ac:dyDescent="0.15">
      <c r="A188" s="9">
        <v>187</v>
      </c>
      <c r="B188" s="9" t="s">
        <v>9</v>
      </c>
      <c r="C188" s="9">
        <v>1916</v>
      </c>
      <c r="D188" s="10">
        <v>45646</v>
      </c>
      <c r="E188" s="13" t="str">
        <f>+HYPERLINK("http://trademark.i-assist.jp/data/china/image_1916th/80490631.pdf","80490631")</f>
        <v>80490631</v>
      </c>
      <c r="F188" s="9" t="s">
        <v>585</v>
      </c>
      <c r="G188" s="9" t="s">
        <v>586</v>
      </c>
      <c r="H188" s="9" t="s">
        <v>587</v>
      </c>
      <c r="I188" s="10">
        <v>45525</v>
      </c>
    </row>
    <row r="189" spans="1:9" x14ac:dyDescent="0.15">
      <c r="A189" s="9">
        <v>188</v>
      </c>
      <c r="B189" s="9" t="s">
        <v>9</v>
      </c>
      <c r="C189" s="9">
        <v>1916</v>
      </c>
      <c r="D189" s="10">
        <v>45646</v>
      </c>
      <c r="E189" s="13" t="str">
        <f>+HYPERLINK("http://trademark.i-assist.jp/data/china/image_1916th/80497283.pdf","80497283")</f>
        <v>80497283</v>
      </c>
      <c r="F189" s="9" t="s">
        <v>588</v>
      </c>
      <c r="G189" s="9" t="s">
        <v>589</v>
      </c>
      <c r="H189" s="9" t="s">
        <v>590</v>
      </c>
      <c r="I189" s="10">
        <v>45525</v>
      </c>
    </row>
    <row r="190" spans="1:9" x14ac:dyDescent="0.15">
      <c r="A190" s="9">
        <v>189</v>
      </c>
      <c r="B190" s="9" t="s">
        <v>9</v>
      </c>
      <c r="C190" s="9">
        <v>1916</v>
      </c>
      <c r="D190" s="10">
        <v>45646</v>
      </c>
      <c r="E190" s="13" t="str">
        <f>+HYPERLINK("http://trademark.i-assist.jp/data/china/image_1916th/80498705.pdf","80498705")</f>
        <v>80498705</v>
      </c>
      <c r="F190" s="9" t="s">
        <v>591</v>
      </c>
      <c r="G190" s="12" t="s">
        <v>592</v>
      </c>
      <c r="H190" s="9" t="s">
        <v>593</v>
      </c>
      <c r="I190" s="10">
        <v>45526</v>
      </c>
    </row>
    <row r="191" spans="1:9" x14ac:dyDescent="0.15">
      <c r="A191" s="9">
        <v>190</v>
      </c>
      <c r="B191" s="9" t="s">
        <v>9</v>
      </c>
      <c r="C191" s="9">
        <v>1916</v>
      </c>
      <c r="D191" s="10">
        <v>45646</v>
      </c>
      <c r="E191" s="13" t="str">
        <f>+HYPERLINK("http://trademark.i-assist.jp/data/china/image_1916th/80502810.pdf","80502810")</f>
        <v>80502810</v>
      </c>
      <c r="F191" s="12" t="s">
        <v>594</v>
      </c>
      <c r="G191" s="12" t="s">
        <v>34</v>
      </c>
      <c r="H191" s="9" t="s">
        <v>595</v>
      </c>
      <c r="I191" s="10">
        <v>45526</v>
      </c>
    </row>
    <row r="192" spans="1:9" x14ac:dyDescent="0.15">
      <c r="A192" s="9">
        <v>191</v>
      </c>
      <c r="B192" s="9" t="s">
        <v>9</v>
      </c>
      <c r="C192" s="9">
        <v>1916</v>
      </c>
      <c r="D192" s="10">
        <v>45646</v>
      </c>
      <c r="E192" s="13" t="str">
        <f>+HYPERLINK("http://trademark.i-assist.jp/data/china/image_1916th/80509096.pdf","80509096")</f>
        <v>80509096</v>
      </c>
      <c r="F192" s="9" t="s">
        <v>596</v>
      </c>
      <c r="G192" s="9" t="s">
        <v>596</v>
      </c>
      <c r="H192" s="9" t="s">
        <v>597</v>
      </c>
      <c r="I192" s="10">
        <v>45526</v>
      </c>
    </row>
    <row r="193" spans="1:9" x14ac:dyDescent="0.15">
      <c r="A193" s="9">
        <v>192</v>
      </c>
      <c r="B193" s="9" t="s">
        <v>9</v>
      </c>
      <c r="C193" s="9">
        <v>1916</v>
      </c>
      <c r="D193" s="10">
        <v>45646</v>
      </c>
      <c r="E193" s="13" t="str">
        <f>+HYPERLINK("http://trademark.i-assist.jp/data/china/image_1916th/80510901.pdf","80510901")</f>
        <v>80510901</v>
      </c>
      <c r="F193" s="12" t="s">
        <v>598</v>
      </c>
      <c r="G193" s="9" t="s">
        <v>599</v>
      </c>
      <c r="H193" s="9" t="s">
        <v>600</v>
      </c>
      <c r="I193" s="10">
        <v>45526</v>
      </c>
    </row>
    <row r="194" spans="1:9" x14ac:dyDescent="0.15">
      <c r="A194" s="9">
        <v>193</v>
      </c>
      <c r="B194" s="9" t="s">
        <v>9</v>
      </c>
      <c r="C194" s="9">
        <v>1916</v>
      </c>
      <c r="D194" s="10">
        <v>45646</v>
      </c>
      <c r="E194" s="13" t="str">
        <f>+HYPERLINK("http://trademark.i-assist.jp/data/china/image_1916th/80520038.pdf","80520038")</f>
        <v>80520038</v>
      </c>
      <c r="F194" s="9" t="s">
        <v>601</v>
      </c>
      <c r="G194" s="9" t="s">
        <v>602</v>
      </c>
      <c r="H194" s="9" t="s">
        <v>603</v>
      </c>
      <c r="I194" s="10">
        <v>45526</v>
      </c>
    </row>
    <row r="195" spans="1:9" x14ac:dyDescent="0.15">
      <c r="A195" s="9">
        <v>194</v>
      </c>
      <c r="B195" s="9" t="s">
        <v>9</v>
      </c>
      <c r="C195" s="9">
        <v>1916</v>
      </c>
      <c r="D195" s="10">
        <v>45646</v>
      </c>
      <c r="E195" s="13" t="str">
        <f>+HYPERLINK("http://trademark.i-assist.jp/data/china/image_1916th/80532718.pdf","80532718")</f>
        <v>80532718</v>
      </c>
      <c r="F195" s="9" t="s">
        <v>604</v>
      </c>
      <c r="G195" s="9" t="s">
        <v>605</v>
      </c>
      <c r="H195" s="9" t="s">
        <v>606</v>
      </c>
      <c r="I195" s="10">
        <v>45527</v>
      </c>
    </row>
    <row r="196" spans="1:9" x14ac:dyDescent="0.15">
      <c r="A196" s="9">
        <v>195</v>
      </c>
      <c r="B196" s="9" t="s">
        <v>9</v>
      </c>
      <c r="C196" s="9">
        <v>1916</v>
      </c>
      <c r="D196" s="10">
        <v>45646</v>
      </c>
      <c r="E196" s="13" t="str">
        <f>+HYPERLINK("http://trademark.i-assist.jp/data/china/image_1916th/80533258.pdf","80533258")</f>
        <v>80533258</v>
      </c>
      <c r="F196" s="9" t="s">
        <v>607</v>
      </c>
      <c r="G196" s="9" t="s">
        <v>608</v>
      </c>
      <c r="H196" s="12" t="s">
        <v>609</v>
      </c>
      <c r="I196" s="10">
        <v>45527</v>
      </c>
    </row>
    <row r="197" spans="1:9" x14ac:dyDescent="0.15">
      <c r="A197" s="9">
        <v>196</v>
      </c>
      <c r="B197" s="9" t="s">
        <v>9</v>
      </c>
      <c r="C197" s="9">
        <v>1916</v>
      </c>
      <c r="D197" s="10">
        <v>45646</v>
      </c>
      <c r="E197" s="13" t="str">
        <f>+HYPERLINK("http://trademark.i-assist.jp/data/china/image_1916th/80537317.pdf","80537317")</f>
        <v>80537317</v>
      </c>
      <c r="F197" s="12" t="s">
        <v>13</v>
      </c>
      <c r="G197" s="9" t="s">
        <v>608</v>
      </c>
      <c r="H197" s="9" t="s">
        <v>610</v>
      </c>
      <c r="I197" s="10">
        <v>45527</v>
      </c>
    </row>
    <row r="198" spans="1:9" x14ac:dyDescent="0.15">
      <c r="A198" s="9">
        <v>197</v>
      </c>
      <c r="B198" s="9" t="s">
        <v>9</v>
      </c>
      <c r="C198" s="9">
        <v>1916</v>
      </c>
      <c r="D198" s="10">
        <v>45646</v>
      </c>
      <c r="E198" s="13" t="str">
        <f>+HYPERLINK("http://trademark.i-assist.jp/data/china/image_1916th/80539598.pdf","80539598")</f>
        <v>80539598</v>
      </c>
      <c r="F198" s="9" t="s">
        <v>611</v>
      </c>
      <c r="G198" s="12" t="s">
        <v>612</v>
      </c>
      <c r="H198" s="9" t="s">
        <v>613</v>
      </c>
      <c r="I198" s="10">
        <v>45527</v>
      </c>
    </row>
    <row r="199" spans="1:9" x14ac:dyDescent="0.15">
      <c r="A199" s="9">
        <v>198</v>
      </c>
      <c r="B199" s="9" t="s">
        <v>9</v>
      </c>
      <c r="C199" s="9">
        <v>1916</v>
      </c>
      <c r="D199" s="10">
        <v>45646</v>
      </c>
      <c r="E199" s="13" t="str">
        <f>+HYPERLINK("http://trademark.i-assist.jp/data/china/image_1916th/80544519.pdf","80544519")</f>
        <v>80544519</v>
      </c>
      <c r="F199" s="9" t="s">
        <v>607</v>
      </c>
      <c r="G199" s="9" t="s">
        <v>608</v>
      </c>
      <c r="H199" s="9" t="s">
        <v>614</v>
      </c>
      <c r="I199" s="10">
        <v>45527</v>
      </c>
    </row>
    <row r="200" spans="1:9" x14ac:dyDescent="0.15">
      <c r="A200" s="9">
        <v>199</v>
      </c>
      <c r="B200" s="9" t="s">
        <v>9</v>
      </c>
      <c r="C200" s="9">
        <v>1916</v>
      </c>
      <c r="D200" s="10">
        <v>45646</v>
      </c>
      <c r="E200" s="13" t="str">
        <f>+HYPERLINK("http://trademark.i-assist.jp/data/china/image_1916th/80545293.pdf","80545293")</f>
        <v>80545293</v>
      </c>
      <c r="F200" s="9" t="s">
        <v>615</v>
      </c>
      <c r="G200" s="9" t="s">
        <v>616</v>
      </c>
      <c r="H200" s="12" t="s">
        <v>617</v>
      </c>
      <c r="I200" s="10">
        <v>45527</v>
      </c>
    </row>
    <row r="201" spans="1:9" x14ac:dyDescent="0.15">
      <c r="A201" s="9">
        <v>200</v>
      </c>
      <c r="B201" s="9" t="s">
        <v>9</v>
      </c>
      <c r="C201" s="9">
        <v>1916</v>
      </c>
      <c r="D201" s="10">
        <v>45646</v>
      </c>
      <c r="E201" s="13" t="str">
        <f>+HYPERLINK("http://trademark.i-assist.jp/data/china/image_1916th/80554118.pdf","80554118")</f>
        <v>80554118</v>
      </c>
      <c r="F201" s="9" t="s">
        <v>618</v>
      </c>
      <c r="G201" s="9" t="s">
        <v>619</v>
      </c>
      <c r="H201" s="12" t="s">
        <v>620</v>
      </c>
      <c r="I201" s="10">
        <v>45529</v>
      </c>
    </row>
    <row r="202" spans="1:9" x14ac:dyDescent="0.15">
      <c r="A202" s="9">
        <v>201</v>
      </c>
      <c r="B202" s="9" t="s">
        <v>9</v>
      </c>
      <c r="C202" s="9">
        <v>1916</v>
      </c>
      <c r="D202" s="10">
        <v>45646</v>
      </c>
      <c r="E202" s="13" t="str">
        <f>+HYPERLINK("http://trademark.i-assist.jp/data/china/image_1916th/80554494.pdf","80554494")</f>
        <v>80554494</v>
      </c>
      <c r="F202" s="9" t="s">
        <v>621</v>
      </c>
      <c r="G202" s="9" t="s">
        <v>622</v>
      </c>
      <c r="H202" s="9" t="s">
        <v>623</v>
      </c>
      <c r="I202" s="10">
        <v>45530</v>
      </c>
    </row>
    <row r="203" spans="1:9" x14ac:dyDescent="0.15">
      <c r="A203" s="9">
        <v>202</v>
      </c>
      <c r="B203" s="9" t="s">
        <v>9</v>
      </c>
      <c r="C203" s="9">
        <v>1916</v>
      </c>
      <c r="D203" s="10">
        <v>45646</v>
      </c>
      <c r="E203" s="13" t="str">
        <f>+HYPERLINK("http://trademark.i-assist.jp/data/china/image_1916th/80555158.pdf","80555158")</f>
        <v>80555158</v>
      </c>
      <c r="F203" s="9" t="s">
        <v>624</v>
      </c>
      <c r="G203" s="9" t="s">
        <v>625</v>
      </c>
      <c r="H203" s="12" t="s">
        <v>626</v>
      </c>
      <c r="I203" s="10">
        <v>45530</v>
      </c>
    </row>
    <row r="204" spans="1:9" x14ac:dyDescent="0.15">
      <c r="A204" s="9">
        <v>203</v>
      </c>
      <c r="B204" s="9" t="s">
        <v>9</v>
      </c>
      <c r="C204" s="9">
        <v>1916</v>
      </c>
      <c r="D204" s="10">
        <v>45646</v>
      </c>
      <c r="E204" s="13" t="str">
        <f>+HYPERLINK("http://trademark.i-assist.jp/data/china/image_1916th/80556111.pdf","80556111")</f>
        <v>80556111</v>
      </c>
      <c r="F204" s="12" t="s">
        <v>13</v>
      </c>
      <c r="G204" s="9" t="s">
        <v>627</v>
      </c>
      <c r="H204" s="9" t="s">
        <v>628</v>
      </c>
      <c r="I204" s="10">
        <v>45530</v>
      </c>
    </row>
    <row r="205" spans="1:9" x14ac:dyDescent="0.15">
      <c r="A205" s="9">
        <v>204</v>
      </c>
      <c r="B205" s="9" t="s">
        <v>9</v>
      </c>
      <c r="C205" s="9">
        <v>1916</v>
      </c>
      <c r="D205" s="10">
        <v>45646</v>
      </c>
      <c r="E205" s="13" t="str">
        <f>+HYPERLINK("http://trademark.i-assist.jp/data/china/image_1916th/80556416.pdf","80556416")</f>
        <v>80556416</v>
      </c>
      <c r="F205" s="9" t="s">
        <v>629</v>
      </c>
      <c r="G205" s="9" t="s">
        <v>630</v>
      </c>
      <c r="H205" s="9" t="s">
        <v>631</v>
      </c>
      <c r="I205" s="10">
        <v>45530</v>
      </c>
    </row>
    <row r="206" spans="1:9" x14ac:dyDescent="0.15">
      <c r="A206" s="9">
        <v>205</v>
      </c>
      <c r="B206" s="9" t="s">
        <v>9</v>
      </c>
      <c r="C206" s="9">
        <v>1916</v>
      </c>
      <c r="D206" s="10">
        <v>45646</v>
      </c>
      <c r="E206" s="13" t="str">
        <f>+HYPERLINK("http://trademark.i-assist.jp/data/china/image_1916th/80565375.pdf","80565375")</f>
        <v>80565375</v>
      </c>
      <c r="F206" s="9" t="s">
        <v>632</v>
      </c>
      <c r="G206" s="9" t="s">
        <v>633</v>
      </c>
      <c r="H206" s="9" t="s">
        <v>634</v>
      </c>
      <c r="I206" s="10">
        <v>45530</v>
      </c>
    </row>
    <row r="207" spans="1:9" x14ac:dyDescent="0.15">
      <c r="A207" s="9">
        <v>206</v>
      </c>
      <c r="B207" s="9" t="s">
        <v>9</v>
      </c>
      <c r="C207" s="9">
        <v>1916</v>
      </c>
      <c r="D207" s="10">
        <v>45646</v>
      </c>
      <c r="E207" s="13" t="str">
        <f>+HYPERLINK("http://trademark.i-assist.jp/data/china/image_1916th/80572278.pdf","80572278")</f>
        <v>80572278</v>
      </c>
      <c r="F207" s="9" t="s">
        <v>635</v>
      </c>
      <c r="G207" s="12" t="s">
        <v>636</v>
      </c>
      <c r="H207" s="9" t="s">
        <v>637</v>
      </c>
      <c r="I207" s="10">
        <v>45530</v>
      </c>
    </row>
    <row r="208" spans="1:9" x14ac:dyDescent="0.15">
      <c r="A208" s="9">
        <v>207</v>
      </c>
      <c r="B208" s="9" t="s">
        <v>9</v>
      </c>
      <c r="C208" s="9">
        <v>1916</v>
      </c>
      <c r="D208" s="10">
        <v>45646</v>
      </c>
      <c r="E208" s="13" t="str">
        <f>+HYPERLINK("http://trademark.i-assist.jp/data/china/image_1916th/80579719.pdf","80579719")</f>
        <v>80579719</v>
      </c>
      <c r="F208" s="9" t="s">
        <v>638</v>
      </c>
      <c r="G208" s="9" t="s">
        <v>639</v>
      </c>
      <c r="H208" s="9" t="s">
        <v>640</v>
      </c>
      <c r="I208" s="10">
        <v>45531</v>
      </c>
    </row>
    <row r="209" spans="1:9" x14ac:dyDescent="0.15">
      <c r="A209" s="9">
        <v>208</v>
      </c>
      <c r="B209" s="9" t="s">
        <v>9</v>
      </c>
      <c r="C209" s="9">
        <v>1916</v>
      </c>
      <c r="D209" s="10">
        <v>45646</v>
      </c>
      <c r="E209" s="13" t="str">
        <f>+HYPERLINK("http://trademark.i-assist.jp/data/china/image_1916th/80588757.pdf","80588757")</f>
        <v>80588757</v>
      </c>
      <c r="F209" s="9" t="s">
        <v>641</v>
      </c>
      <c r="G209" s="9" t="s">
        <v>642</v>
      </c>
      <c r="H209" s="9" t="s">
        <v>643</v>
      </c>
      <c r="I209" s="10">
        <v>45531</v>
      </c>
    </row>
    <row r="210" spans="1:9" x14ac:dyDescent="0.15">
      <c r="A210" s="9">
        <v>209</v>
      </c>
      <c r="B210" s="9" t="s">
        <v>9</v>
      </c>
      <c r="C210" s="9">
        <v>1916</v>
      </c>
      <c r="D210" s="10">
        <v>45646</v>
      </c>
      <c r="E210" s="13" t="str">
        <f>+HYPERLINK("http://trademark.i-assist.jp/data/china/image_1916th/80593658.pdf","80593658")</f>
        <v>80593658</v>
      </c>
      <c r="F210" s="12" t="s">
        <v>644</v>
      </c>
      <c r="G210" s="12" t="s">
        <v>645</v>
      </c>
      <c r="H210" s="9" t="s">
        <v>646</v>
      </c>
      <c r="I210" s="10">
        <v>45531</v>
      </c>
    </row>
    <row r="211" spans="1:9" x14ac:dyDescent="0.15">
      <c r="A211" s="9">
        <v>210</v>
      </c>
      <c r="B211" s="9" t="s">
        <v>9</v>
      </c>
      <c r="C211" s="9">
        <v>1916</v>
      </c>
      <c r="D211" s="10">
        <v>45646</v>
      </c>
      <c r="E211" s="13" t="str">
        <f>+HYPERLINK("http://trademark.i-assist.jp/data/china/image_1916th/80595398.pdf","80595398")</f>
        <v>80595398</v>
      </c>
      <c r="F211" s="12" t="s">
        <v>647</v>
      </c>
      <c r="G211" s="9" t="s">
        <v>648</v>
      </c>
      <c r="H211" s="9" t="s">
        <v>649</v>
      </c>
      <c r="I211" s="10">
        <v>45531</v>
      </c>
    </row>
    <row r="212" spans="1:9" x14ac:dyDescent="0.15">
      <c r="A212" s="9">
        <v>211</v>
      </c>
      <c r="B212" s="9" t="s">
        <v>9</v>
      </c>
      <c r="C212" s="9">
        <v>1916</v>
      </c>
      <c r="D212" s="10">
        <v>45646</v>
      </c>
      <c r="E212" s="13" t="str">
        <f>+HYPERLINK("http://trademark.i-assist.jp/data/china/image_1916th/80603770.pdf","80603770")</f>
        <v>80603770</v>
      </c>
      <c r="F212" s="9" t="s">
        <v>650</v>
      </c>
      <c r="G212" s="9" t="s">
        <v>651</v>
      </c>
      <c r="H212" s="12" t="s">
        <v>652</v>
      </c>
      <c r="I212" s="10">
        <v>45532</v>
      </c>
    </row>
    <row r="213" spans="1:9" x14ac:dyDescent="0.15">
      <c r="A213" s="9">
        <v>212</v>
      </c>
      <c r="B213" s="9" t="s">
        <v>9</v>
      </c>
      <c r="C213" s="9">
        <v>1916</v>
      </c>
      <c r="D213" s="10">
        <v>45646</v>
      </c>
      <c r="E213" s="13" t="str">
        <f>+HYPERLINK("http://trademark.i-assist.jp/data/china/image_1916th/80605880.pdf","80605880")</f>
        <v>80605880</v>
      </c>
      <c r="F213" s="9" t="s">
        <v>653</v>
      </c>
      <c r="G213" s="9" t="s">
        <v>654</v>
      </c>
      <c r="H213" s="9" t="s">
        <v>655</v>
      </c>
      <c r="I213" s="10">
        <v>45532</v>
      </c>
    </row>
    <row r="214" spans="1:9" x14ac:dyDescent="0.15">
      <c r="A214" s="9">
        <v>213</v>
      </c>
      <c r="B214" s="9" t="s">
        <v>9</v>
      </c>
      <c r="C214" s="9">
        <v>1916</v>
      </c>
      <c r="D214" s="10">
        <v>45646</v>
      </c>
      <c r="E214" s="13" t="str">
        <f>+HYPERLINK("http://trademark.i-assist.jp/data/china/image_1916th/80605884.pdf","80605884")</f>
        <v>80605884</v>
      </c>
      <c r="F214" s="9" t="s">
        <v>656</v>
      </c>
      <c r="G214" s="12" t="s">
        <v>657</v>
      </c>
      <c r="H214" s="9" t="s">
        <v>658</v>
      </c>
      <c r="I214" s="10">
        <v>45532</v>
      </c>
    </row>
    <row r="215" spans="1:9" x14ac:dyDescent="0.15">
      <c r="A215" s="9">
        <v>214</v>
      </c>
      <c r="B215" s="9" t="s">
        <v>9</v>
      </c>
      <c r="C215" s="9">
        <v>1916</v>
      </c>
      <c r="D215" s="10">
        <v>45646</v>
      </c>
      <c r="E215" s="13" t="str">
        <f>+HYPERLINK("http://trademark.i-assist.jp/data/china/image_1916th/80608851.pdf","80608851")</f>
        <v>80608851</v>
      </c>
      <c r="F215" s="9" t="s">
        <v>659</v>
      </c>
      <c r="G215" s="12" t="s">
        <v>31</v>
      </c>
      <c r="H215" s="9" t="s">
        <v>660</v>
      </c>
      <c r="I215" s="10">
        <v>45532</v>
      </c>
    </row>
    <row r="216" spans="1:9" x14ac:dyDescent="0.15">
      <c r="A216" s="9">
        <v>215</v>
      </c>
      <c r="B216" s="9" t="s">
        <v>9</v>
      </c>
      <c r="C216" s="9">
        <v>1916</v>
      </c>
      <c r="D216" s="10">
        <v>45646</v>
      </c>
      <c r="E216" s="13" t="str">
        <f>+HYPERLINK("http://trademark.i-assist.jp/data/china/image_1916th/80609888.pdf","80609888")</f>
        <v>80609888</v>
      </c>
      <c r="F216" s="9" t="s">
        <v>661</v>
      </c>
      <c r="G216" s="9" t="s">
        <v>662</v>
      </c>
      <c r="H216" s="12" t="s">
        <v>663</v>
      </c>
      <c r="I216" s="10">
        <v>45532</v>
      </c>
    </row>
    <row r="217" spans="1:9" x14ac:dyDescent="0.15">
      <c r="A217" s="9">
        <v>216</v>
      </c>
      <c r="B217" s="9" t="s">
        <v>9</v>
      </c>
      <c r="C217" s="9">
        <v>1916</v>
      </c>
      <c r="D217" s="10">
        <v>45646</v>
      </c>
      <c r="E217" s="13" t="str">
        <f>+HYPERLINK("http://trademark.i-assist.jp/data/china/image_1916th/80615376.pdf","80615376")</f>
        <v>80615376</v>
      </c>
      <c r="F217" s="9" t="s">
        <v>664</v>
      </c>
      <c r="G217" s="12" t="s">
        <v>665</v>
      </c>
      <c r="H217" s="9" t="s">
        <v>666</v>
      </c>
      <c r="I217" s="10">
        <v>45532</v>
      </c>
    </row>
    <row r="218" spans="1:9" x14ac:dyDescent="0.15">
      <c r="A218" s="9">
        <v>217</v>
      </c>
      <c r="B218" s="9" t="s">
        <v>9</v>
      </c>
      <c r="C218" s="9">
        <v>1916</v>
      </c>
      <c r="D218" s="10">
        <v>45646</v>
      </c>
      <c r="E218" s="13" t="str">
        <f>+HYPERLINK("http://trademark.i-assist.jp/data/china/image_1916th/80620961.pdf","80620961")</f>
        <v>80620961</v>
      </c>
      <c r="F218" s="12" t="s">
        <v>13</v>
      </c>
      <c r="G218" s="9" t="s">
        <v>667</v>
      </c>
      <c r="H218" s="9" t="s">
        <v>668</v>
      </c>
      <c r="I218" s="10">
        <v>45532</v>
      </c>
    </row>
    <row r="219" spans="1:9" x14ac:dyDescent="0.15">
      <c r="A219" s="9">
        <v>218</v>
      </c>
      <c r="B219" s="9" t="s">
        <v>9</v>
      </c>
      <c r="C219" s="9">
        <v>1916</v>
      </c>
      <c r="D219" s="10">
        <v>45646</v>
      </c>
      <c r="E219" s="13" t="str">
        <f>+HYPERLINK("http://trademark.i-assist.jp/data/china/image_1916th/80621955.pdf","80621955")</f>
        <v>80621955</v>
      </c>
      <c r="F219" s="9" t="s">
        <v>669</v>
      </c>
      <c r="G219" s="12" t="s">
        <v>670</v>
      </c>
      <c r="H219" s="9" t="s">
        <v>671</v>
      </c>
      <c r="I219" s="10">
        <v>45532</v>
      </c>
    </row>
    <row r="220" spans="1:9" x14ac:dyDescent="0.15">
      <c r="A220" s="9">
        <v>219</v>
      </c>
      <c r="B220" s="9" t="s">
        <v>9</v>
      </c>
      <c r="C220" s="9">
        <v>1916</v>
      </c>
      <c r="D220" s="10">
        <v>45646</v>
      </c>
      <c r="E220" s="13" t="str">
        <f>+HYPERLINK("http://trademark.i-assist.jp/data/china/image_1916th/80625908.pdf","80625908")</f>
        <v>80625908</v>
      </c>
      <c r="F220" s="9" t="s">
        <v>672</v>
      </c>
      <c r="G220" s="9" t="s">
        <v>56</v>
      </c>
      <c r="H220" s="9" t="s">
        <v>673</v>
      </c>
      <c r="I220" s="10">
        <v>45533</v>
      </c>
    </row>
    <row r="221" spans="1:9" x14ac:dyDescent="0.15">
      <c r="A221" s="9">
        <v>220</v>
      </c>
      <c r="B221" s="9" t="s">
        <v>9</v>
      </c>
      <c r="C221" s="9">
        <v>1916</v>
      </c>
      <c r="D221" s="10">
        <v>45646</v>
      </c>
      <c r="E221" s="13" t="str">
        <f>+HYPERLINK("http://trademark.i-assist.jp/data/china/image_1916th/80626557.pdf","80626557")</f>
        <v>80626557</v>
      </c>
      <c r="F221" s="9" t="s">
        <v>674</v>
      </c>
      <c r="G221" s="9" t="s">
        <v>675</v>
      </c>
      <c r="H221" s="9" t="s">
        <v>676</v>
      </c>
      <c r="I221" s="10">
        <v>45533</v>
      </c>
    </row>
    <row r="222" spans="1:9" x14ac:dyDescent="0.15">
      <c r="A222" s="9">
        <v>221</v>
      </c>
      <c r="B222" s="9" t="s">
        <v>9</v>
      </c>
      <c r="C222" s="9">
        <v>1916</v>
      </c>
      <c r="D222" s="10">
        <v>45646</v>
      </c>
      <c r="E222" s="13" t="str">
        <f>+HYPERLINK("http://trademark.i-assist.jp/data/china/image_1916th/80627829.pdf","80627829")</f>
        <v>80627829</v>
      </c>
      <c r="F222" s="9" t="s">
        <v>677</v>
      </c>
      <c r="G222" s="9" t="s">
        <v>59</v>
      </c>
      <c r="H222" s="9" t="s">
        <v>678</v>
      </c>
      <c r="I222" s="10">
        <v>45533</v>
      </c>
    </row>
    <row r="223" spans="1:9" x14ac:dyDescent="0.15">
      <c r="A223" s="9">
        <v>222</v>
      </c>
      <c r="B223" s="9" t="s">
        <v>9</v>
      </c>
      <c r="C223" s="9">
        <v>1916</v>
      </c>
      <c r="D223" s="10">
        <v>45646</v>
      </c>
      <c r="E223" s="13" t="str">
        <f>+HYPERLINK("http://trademark.i-assist.jp/data/china/image_1916th/80631130.pdf","80631130")</f>
        <v>80631130</v>
      </c>
      <c r="F223" s="9" t="s">
        <v>679</v>
      </c>
      <c r="G223" s="9" t="s">
        <v>680</v>
      </c>
      <c r="H223" s="9" t="s">
        <v>681</v>
      </c>
      <c r="I223" s="10">
        <v>45533</v>
      </c>
    </row>
    <row r="224" spans="1:9" x14ac:dyDescent="0.15">
      <c r="A224" s="9">
        <v>223</v>
      </c>
      <c r="B224" s="9" t="s">
        <v>9</v>
      </c>
      <c r="C224" s="9">
        <v>1916</v>
      </c>
      <c r="D224" s="10">
        <v>45646</v>
      </c>
      <c r="E224" s="13" t="str">
        <f>+HYPERLINK("http://trademark.i-assist.jp/data/china/image_1916th/80634706.pdf","80634706")</f>
        <v>80634706</v>
      </c>
      <c r="F224" s="9" t="s">
        <v>674</v>
      </c>
      <c r="G224" s="9" t="s">
        <v>675</v>
      </c>
      <c r="H224" s="12" t="s">
        <v>682</v>
      </c>
      <c r="I224" s="10">
        <v>45533</v>
      </c>
    </row>
    <row r="225" spans="1:9" x14ac:dyDescent="0.15">
      <c r="A225" s="9">
        <v>224</v>
      </c>
      <c r="B225" s="9" t="s">
        <v>9</v>
      </c>
      <c r="C225" s="9">
        <v>1916</v>
      </c>
      <c r="D225" s="10">
        <v>45646</v>
      </c>
      <c r="E225" s="13" t="str">
        <f>+HYPERLINK("http://trademark.i-assist.jp/data/china/image_1916th/80640419.pdf","80640419")</f>
        <v>80640419</v>
      </c>
      <c r="F225" s="12" t="s">
        <v>13</v>
      </c>
      <c r="G225" s="12" t="s">
        <v>683</v>
      </c>
      <c r="H225" s="9" t="s">
        <v>684</v>
      </c>
      <c r="I225" s="10">
        <v>45533</v>
      </c>
    </row>
    <row r="226" spans="1:9" x14ac:dyDescent="0.15">
      <c r="A226" s="9">
        <v>225</v>
      </c>
      <c r="B226" s="9" t="s">
        <v>9</v>
      </c>
      <c r="C226" s="9">
        <v>1916</v>
      </c>
      <c r="D226" s="10">
        <v>45646</v>
      </c>
      <c r="E226" s="13" t="str">
        <f>+HYPERLINK("http://trademark.i-assist.jp/data/china/image_1916th/80646616.pdf","80646616")</f>
        <v>80646616</v>
      </c>
      <c r="F226" s="9" t="s">
        <v>685</v>
      </c>
      <c r="G226" s="9" t="s">
        <v>686</v>
      </c>
      <c r="H226" s="9" t="s">
        <v>687</v>
      </c>
      <c r="I226" s="10">
        <v>45533</v>
      </c>
    </row>
    <row r="227" spans="1:9" x14ac:dyDescent="0.15">
      <c r="A227" s="9">
        <v>226</v>
      </c>
      <c r="B227" s="9" t="s">
        <v>9</v>
      </c>
      <c r="C227" s="9">
        <v>1916</v>
      </c>
      <c r="D227" s="10">
        <v>45646</v>
      </c>
      <c r="E227" s="13" t="str">
        <f>+HYPERLINK("http://trademark.i-assist.jp/data/china/image_1916th/80647793.pdf","80647793")</f>
        <v>80647793</v>
      </c>
      <c r="F227" s="9" t="s">
        <v>688</v>
      </c>
      <c r="G227" s="9" t="s">
        <v>689</v>
      </c>
      <c r="H227" s="9" t="s">
        <v>690</v>
      </c>
      <c r="I227" s="10">
        <v>45533</v>
      </c>
    </row>
    <row r="228" spans="1:9" x14ac:dyDescent="0.15">
      <c r="A228" s="9">
        <v>227</v>
      </c>
      <c r="B228" s="9" t="s">
        <v>9</v>
      </c>
      <c r="C228" s="9">
        <v>1916</v>
      </c>
      <c r="D228" s="10">
        <v>45646</v>
      </c>
      <c r="E228" s="13" t="str">
        <f>+HYPERLINK("http://trademark.i-assist.jp/data/china/image_1916th/80648303.pdf","80648303")</f>
        <v>80648303</v>
      </c>
      <c r="F228" s="9" t="s">
        <v>691</v>
      </c>
      <c r="G228" s="9" t="s">
        <v>60</v>
      </c>
      <c r="H228" s="12" t="s">
        <v>692</v>
      </c>
      <c r="I228" s="10">
        <v>45533</v>
      </c>
    </row>
    <row r="229" spans="1:9" x14ac:dyDescent="0.15">
      <c r="A229" s="9">
        <v>228</v>
      </c>
      <c r="B229" s="9" t="s">
        <v>9</v>
      </c>
      <c r="C229" s="9">
        <v>1916</v>
      </c>
      <c r="D229" s="10">
        <v>45646</v>
      </c>
      <c r="E229" s="13" t="str">
        <f>+HYPERLINK("http://trademark.i-assist.jp/data/china/image_1916th/80651433.pdf","80651433")</f>
        <v>80651433</v>
      </c>
      <c r="F229" s="9" t="s">
        <v>693</v>
      </c>
      <c r="G229" s="12" t="s">
        <v>694</v>
      </c>
      <c r="H229" s="9" t="s">
        <v>695</v>
      </c>
      <c r="I229" s="10">
        <v>45534</v>
      </c>
    </row>
    <row r="230" spans="1:9" x14ac:dyDescent="0.15">
      <c r="A230" s="9">
        <v>229</v>
      </c>
      <c r="B230" s="9" t="s">
        <v>9</v>
      </c>
      <c r="C230" s="9">
        <v>1916</v>
      </c>
      <c r="D230" s="10">
        <v>45646</v>
      </c>
      <c r="E230" s="13" t="str">
        <f>+HYPERLINK("http://trademark.i-assist.jp/data/china/image_1916th/80656656.pdf","80656656")</f>
        <v>80656656</v>
      </c>
      <c r="F230" s="9" t="s">
        <v>696</v>
      </c>
      <c r="G230" s="9" t="s">
        <v>697</v>
      </c>
      <c r="H230" s="12" t="s">
        <v>698</v>
      </c>
      <c r="I230" s="10">
        <v>45534</v>
      </c>
    </row>
    <row r="231" spans="1:9" x14ac:dyDescent="0.15">
      <c r="A231" s="9">
        <v>230</v>
      </c>
      <c r="B231" s="9" t="s">
        <v>9</v>
      </c>
      <c r="C231" s="9">
        <v>1916</v>
      </c>
      <c r="D231" s="10">
        <v>45646</v>
      </c>
      <c r="E231" s="13" t="str">
        <f>+HYPERLINK("http://trademark.i-assist.jp/data/china/image_1916th/80661612.pdf","80661612")</f>
        <v>80661612</v>
      </c>
      <c r="F231" s="9" t="s">
        <v>699</v>
      </c>
      <c r="G231" s="12" t="s">
        <v>700</v>
      </c>
      <c r="H231" s="9" t="s">
        <v>701</v>
      </c>
      <c r="I231" s="10">
        <v>45534</v>
      </c>
    </row>
    <row r="232" spans="1:9" x14ac:dyDescent="0.15">
      <c r="A232" s="9">
        <v>231</v>
      </c>
      <c r="B232" s="9" t="s">
        <v>9</v>
      </c>
      <c r="C232" s="9">
        <v>1916</v>
      </c>
      <c r="D232" s="10">
        <v>45646</v>
      </c>
      <c r="E232" s="13" t="str">
        <f>+HYPERLINK("http://trademark.i-assist.jp/data/china/image_1916th/80662211.pdf","80662211")</f>
        <v>80662211</v>
      </c>
      <c r="F232" s="9" t="s">
        <v>702</v>
      </c>
      <c r="G232" s="12" t="s">
        <v>703</v>
      </c>
      <c r="H232" s="12" t="s">
        <v>704</v>
      </c>
      <c r="I232" s="10">
        <v>45534</v>
      </c>
    </row>
    <row r="233" spans="1:9" x14ac:dyDescent="0.15">
      <c r="A233" s="9">
        <v>232</v>
      </c>
      <c r="B233" s="9" t="s">
        <v>9</v>
      </c>
      <c r="C233" s="9">
        <v>1916</v>
      </c>
      <c r="D233" s="10">
        <v>45646</v>
      </c>
      <c r="E233" s="13" t="str">
        <f>+HYPERLINK("http://trademark.i-assist.jp/data/china/image_1916th/80665374.pdf","80665374")</f>
        <v>80665374</v>
      </c>
      <c r="F233" s="9" t="s">
        <v>705</v>
      </c>
      <c r="G233" s="9" t="s">
        <v>706</v>
      </c>
      <c r="H233" s="9" t="s">
        <v>707</v>
      </c>
      <c r="I233" s="10">
        <v>45534</v>
      </c>
    </row>
    <row r="234" spans="1:9" x14ac:dyDescent="0.15">
      <c r="A234" s="9">
        <v>233</v>
      </c>
      <c r="B234" s="9" t="s">
        <v>9</v>
      </c>
      <c r="C234" s="9">
        <v>1916</v>
      </c>
      <c r="D234" s="10">
        <v>45646</v>
      </c>
      <c r="E234" s="13" t="str">
        <f>+HYPERLINK("http://trademark.i-assist.jp/data/china/image_1916th/80667627.pdf","80667627")</f>
        <v>80667627</v>
      </c>
      <c r="F234" s="12" t="s">
        <v>708</v>
      </c>
      <c r="G234" s="9" t="s">
        <v>709</v>
      </c>
      <c r="H234" s="9" t="s">
        <v>710</v>
      </c>
      <c r="I234" s="10">
        <v>45534</v>
      </c>
    </row>
    <row r="235" spans="1:9" x14ac:dyDescent="0.15">
      <c r="A235" s="9">
        <v>234</v>
      </c>
      <c r="B235" s="9" t="s">
        <v>9</v>
      </c>
      <c r="C235" s="9">
        <v>1916</v>
      </c>
      <c r="D235" s="10">
        <v>45646</v>
      </c>
      <c r="E235" s="13" t="str">
        <f>+HYPERLINK("http://trademark.i-assist.jp/data/china/image_1916th/80667764.pdf","80667764")</f>
        <v>80667764</v>
      </c>
      <c r="F235" s="9" t="s">
        <v>711</v>
      </c>
      <c r="G235" s="12" t="s">
        <v>700</v>
      </c>
      <c r="H235" s="9" t="s">
        <v>712</v>
      </c>
      <c r="I235" s="10">
        <v>45534</v>
      </c>
    </row>
    <row r="236" spans="1:9" x14ac:dyDescent="0.15">
      <c r="A236" s="9">
        <v>235</v>
      </c>
      <c r="B236" s="9" t="s">
        <v>9</v>
      </c>
      <c r="C236" s="9">
        <v>1916</v>
      </c>
      <c r="D236" s="10">
        <v>45646</v>
      </c>
      <c r="E236" s="13" t="str">
        <f>+HYPERLINK("http://trademark.i-assist.jp/data/china/image_1916th/80671326.pdf","80671326")</f>
        <v>80671326</v>
      </c>
      <c r="F236" s="9" t="s">
        <v>713</v>
      </c>
      <c r="G236" s="9" t="s">
        <v>714</v>
      </c>
      <c r="H236" s="9" t="s">
        <v>715</v>
      </c>
      <c r="I236" s="10">
        <v>45534</v>
      </c>
    </row>
    <row r="237" spans="1:9" x14ac:dyDescent="0.15">
      <c r="A237" s="9">
        <v>236</v>
      </c>
      <c r="B237" s="9" t="s">
        <v>9</v>
      </c>
      <c r="C237" s="9">
        <v>1916</v>
      </c>
      <c r="D237" s="10">
        <v>45646</v>
      </c>
      <c r="E237" s="13" t="str">
        <f>+HYPERLINK("http://trademark.i-assist.jp/data/china/image_1916th/80671408.pdf","80671408")</f>
        <v>80671408</v>
      </c>
      <c r="F237" s="9" t="s">
        <v>716</v>
      </c>
      <c r="G237" s="9" t="s">
        <v>706</v>
      </c>
      <c r="H237" s="9" t="s">
        <v>717</v>
      </c>
      <c r="I237" s="10">
        <v>45534</v>
      </c>
    </row>
    <row r="238" spans="1:9" x14ac:dyDescent="0.15">
      <c r="A238" s="9">
        <v>237</v>
      </c>
      <c r="B238" s="9" t="s">
        <v>9</v>
      </c>
      <c r="C238" s="9">
        <v>1916</v>
      </c>
      <c r="D238" s="10">
        <v>45646</v>
      </c>
      <c r="E238" s="13" t="str">
        <f>+HYPERLINK("http://trademark.i-assist.jp/data/china/image_1916th/80672932.pdf","80672932")</f>
        <v>80672932</v>
      </c>
      <c r="F238" s="9" t="s">
        <v>718</v>
      </c>
      <c r="G238" s="9" t="s">
        <v>719</v>
      </c>
      <c r="H238" s="9" t="s">
        <v>720</v>
      </c>
      <c r="I238" s="10">
        <v>45534</v>
      </c>
    </row>
    <row r="239" spans="1:9" x14ac:dyDescent="0.15">
      <c r="A239" s="9">
        <v>238</v>
      </c>
      <c r="B239" s="9" t="s">
        <v>9</v>
      </c>
      <c r="C239" s="9">
        <v>1916</v>
      </c>
      <c r="D239" s="10">
        <v>45646</v>
      </c>
      <c r="E239" s="13" t="str">
        <f>+HYPERLINK("http://trademark.i-assist.jp/data/china/image_1916th/80676108.pdf","80676108")</f>
        <v>80676108</v>
      </c>
      <c r="F239" s="9" t="s">
        <v>721</v>
      </c>
      <c r="G239" s="12" t="s">
        <v>722</v>
      </c>
      <c r="H239" s="9" t="s">
        <v>723</v>
      </c>
      <c r="I239" s="10">
        <v>45535</v>
      </c>
    </row>
    <row r="240" spans="1:9" x14ac:dyDescent="0.15">
      <c r="A240" s="9">
        <v>239</v>
      </c>
      <c r="B240" s="9" t="s">
        <v>9</v>
      </c>
      <c r="C240" s="9">
        <v>1916</v>
      </c>
      <c r="D240" s="10">
        <v>45646</v>
      </c>
      <c r="E240" s="13" t="str">
        <f>+HYPERLINK("http://trademark.i-assist.jp/data/china/image_1916th/80677461.pdf","80677461")</f>
        <v>80677461</v>
      </c>
      <c r="F240" s="9" t="s">
        <v>724</v>
      </c>
      <c r="G240" s="12" t="s">
        <v>725</v>
      </c>
      <c r="H240" s="9" t="s">
        <v>726</v>
      </c>
      <c r="I240" s="10">
        <v>45535</v>
      </c>
    </row>
    <row r="241" spans="1:9" x14ac:dyDescent="0.15">
      <c r="A241" s="9">
        <v>240</v>
      </c>
      <c r="B241" s="9" t="s">
        <v>9</v>
      </c>
      <c r="C241" s="9">
        <v>1916</v>
      </c>
      <c r="D241" s="10">
        <v>45646</v>
      </c>
      <c r="E241" s="13" t="str">
        <f>+HYPERLINK("http://trademark.i-assist.jp/data/china/image_1916th/80677708.pdf","80677708")</f>
        <v>80677708</v>
      </c>
      <c r="F241" s="9" t="s">
        <v>727</v>
      </c>
      <c r="G241" s="9" t="s">
        <v>728</v>
      </c>
      <c r="H241" s="9" t="s">
        <v>729</v>
      </c>
      <c r="I241" s="10">
        <v>45535</v>
      </c>
    </row>
    <row r="242" spans="1:9" x14ac:dyDescent="0.15">
      <c r="A242" s="9">
        <v>241</v>
      </c>
      <c r="B242" s="9" t="s">
        <v>9</v>
      </c>
      <c r="C242" s="9">
        <v>1916</v>
      </c>
      <c r="D242" s="10">
        <v>45646</v>
      </c>
      <c r="E242" s="13" t="str">
        <f>+HYPERLINK("http://trademark.i-assist.jp/data/china/image_1916th/80677770.pdf","80677770")</f>
        <v>80677770</v>
      </c>
      <c r="F242" s="9" t="s">
        <v>730</v>
      </c>
      <c r="G242" s="9" t="s">
        <v>731</v>
      </c>
      <c r="H242" s="9" t="s">
        <v>732</v>
      </c>
      <c r="I242" s="10">
        <v>45535</v>
      </c>
    </row>
    <row r="243" spans="1:9" x14ac:dyDescent="0.15">
      <c r="A243" s="9">
        <v>242</v>
      </c>
      <c r="B243" s="9" t="s">
        <v>9</v>
      </c>
      <c r="C243" s="9">
        <v>1916</v>
      </c>
      <c r="D243" s="10">
        <v>45646</v>
      </c>
      <c r="E243" s="13" t="str">
        <f>+HYPERLINK("http://trademark.i-assist.jp/data/china/image_1916th/80684698.pdf","80684698")</f>
        <v>80684698</v>
      </c>
      <c r="F243" s="12" t="s">
        <v>733</v>
      </c>
      <c r="G243" s="12" t="s">
        <v>17</v>
      </c>
      <c r="H243" s="9" t="s">
        <v>734</v>
      </c>
      <c r="I243" s="10">
        <v>45537</v>
      </c>
    </row>
    <row r="244" spans="1:9" x14ac:dyDescent="0.15">
      <c r="A244" s="9">
        <v>243</v>
      </c>
      <c r="B244" s="9" t="s">
        <v>9</v>
      </c>
      <c r="C244" s="9">
        <v>1916</v>
      </c>
      <c r="D244" s="10">
        <v>45646</v>
      </c>
      <c r="E244" s="13" t="str">
        <f>+HYPERLINK("http://trademark.i-assist.jp/data/china/image_1916th/80685900.pdf","80685900")</f>
        <v>80685900</v>
      </c>
      <c r="F244" s="9" t="s">
        <v>735</v>
      </c>
      <c r="G244" s="9" t="s">
        <v>736</v>
      </c>
      <c r="H244" s="12" t="s">
        <v>737</v>
      </c>
      <c r="I244" s="10">
        <v>45537</v>
      </c>
    </row>
    <row r="245" spans="1:9" x14ac:dyDescent="0.15">
      <c r="A245" s="9">
        <v>244</v>
      </c>
      <c r="B245" s="9" t="s">
        <v>9</v>
      </c>
      <c r="C245" s="9">
        <v>1916</v>
      </c>
      <c r="D245" s="10">
        <v>45646</v>
      </c>
      <c r="E245" s="13" t="str">
        <f>+HYPERLINK("http://trademark.i-assist.jp/data/china/image_1916th/80686092.pdf","80686092")</f>
        <v>80686092</v>
      </c>
      <c r="F245" s="9" t="s">
        <v>738</v>
      </c>
      <c r="G245" s="12" t="s">
        <v>739</v>
      </c>
      <c r="H245" s="9" t="s">
        <v>740</v>
      </c>
      <c r="I245" s="10">
        <v>45537</v>
      </c>
    </row>
    <row r="246" spans="1:9" x14ac:dyDescent="0.15">
      <c r="A246" s="9">
        <v>245</v>
      </c>
      <c r="B246" s="9" t="s">
        <v>9</v>
      </c>
      <c r="C246" s="9">
        <v>1916</v>
      </c>
      <c r="D246" s="10">
        <v>45646</v>
      </c>
      <c r="E246" s="13" t="str">
        <f>+HYPERLINK("http://trademark.i-assist.jp/data/china/image_1916th/80687688.pdf","80687688")</f>
        <v>80687688</v>
      </c>
      <c r="F246" s="12" t="s">
        <v>13</v>
      </c>
      <c r="G246" s="9" t="s">
        <v>54</v>
      </c>
      <c r="H246" s="9" t="s">
        <v>741</v>
      </c>
      <c r="I246" s="10">
        <v>45537</v>
      </c>
    </row>
    <row r="247" spans="1:9" x14ac:dyDescent="0.15">
      <c r="A247" s="9">
        <v>246</v>
      </c>
      <c r="B247" s="9" t="s">
        <v>9</v>
      </c>
      <c r="C247" s="9">
        <v>1916</v>
      </c>
      <c r="D247" s="10">
        <v>45646</v>
      </c>
      <c r="E247" s="13" t="str">
        <f>+HYPERLINK("http://trademark.i-assist.jp/data/china/image_1916th/80692599.pdf","80692599")</f>
        <v>80692599</v>
      </c>
      <c r="F247" s="9" t="s">
        <v>742</v>
      </c>
      <c r="G247" s="9" t="s">
        <v>64</v>
      </c>
      <c r="H247" s="9" t="s">
        <v>743</v>
      </c>
      <c r="I247" s="10">
        <v>45537</v>
      </c>
    </row>
    <row r="248" spans="1:9" x14ac:dyDescent="0.15">
      <c r="A248" s="9">
        <v>247</v>
      </c>
      <c r="B248" s="9" t="s">
        <v>9</v>
      </c>
      <c r="C248" s="9">
        <v>1916</v>
      </c>
      <c r="D248" s="10">
        <v>45646</v>
      </c>
      <c r="E248" s="13" t="str">
        <f>+HYPERLINK("http://trademark.i-assist.jp/data/china/image_1916th/80692988.pdf","80692988")</f>
        <v>80692988</v>
      </c>
      <c r="F248" s="9" t="s">
        <v>744</v>
      </c>
      <c r="G248" s="9" t="s">
        <v>745</v>
      </c>
      <c r="H248" s="9" t="s">
        <v>746</v>
      </c>
      <c r="I248" s="10">
        <v>45537</v>
      </c>
    </row>
    <row r="249" spans="1:9" x14ac:dyDescent="0.15">
      <c r="A249" s="9">
        <v>248</v>
      </c>
      <c r="B249" s="9" t="s">
        <v>9</v>
      </c>
      <c r="C249" s="9">
        <v>1916</v>
      </c>
      <c r="D249" s="10">
        <v>45646</v>
      </c>
      <c r="E249" s="13" t="str">
        <f>+HYPERLINK("http://trademark.i-assist.jp/data/china/image_1916th/80692989A.pdf","80692989A")</f>
        <v>80692989A</v>
      </c>
      <c r="F249" s="9" t="s">
        <v>747</v>
      </c>
      <c r="G249" s="9" t="s">
        <v>748</v>
      </c>
      <c r="H249" s="9" t="s">
        <v>749</v>
      </c>
      <c r="I249" s="10">
        <v>45537</v>
      </c>
    </row>
    <row r="250" spans="1:9" x14ac:dyDescent="0.15">
      <c r="A250" s="9">
        <v>249</v>
      </c>
      <c r="B250" s="9" t="s">
        <v>9</v>
      </c>
      <c r="C250" s="9">
        <v>1916</v>
      </c>
      <c r="D250" s="10">
        <v>45646</v>
      </c>
      <c r="E250" s="13" t="str">
        <f>+HYPERLINK("http://trademark.i-assist.jp/data/china/image_1916th/80692996.pdf","80692996")</f>
        <v>80692996</v>
      </c>
      <c r="F250" s="12" t="s">
        <v>750</v>
      </c>
      <c r="G250" s="9" t="s">
        <v>751</v>
      </c>
      <c r="H250" s="9" t="s">
        <v>752</v>
      </c>
      <c r="I250" s="10">
        <v>45537</v>
      </c>
    </row>
    <row r="251" spans="1:9" x14ac:dyDescent="0.15">
      <c r="A251" s="9">
        <v>250</v>
      </c>
      <c r="B251" s="9" t="s">
        <v>9</v>
      </c>
      <c r="C251" s="9">
        <v>1916</v>
      </c>
      <c r="D251" s="10">
        <v>45646</v>
      </c>
      <c r="E251" s="13" t="str">
        <f>+HYPERLINK("http://trademark.i-assist.jp/data/china/image_1916th/80694177.pdf","80694177")</f>
        <v>80694177</v>
      </c>
      <c r="F251" s="12" t="s">
        <v>13</v>
      </c>
      <c r="G251" s="12" t="s">
        <v>700</v>
      </c>
      <c r="H251" s="9" t="s">
        <v>753</v>
      </c>
      <c r="I251" s="10">
        <v>45537</v>
      </c>
    </row>
    <row r="252" spans="1:9" x14ac:dyDescent="0.15">
      <c r="A252" s="9">
        <v>251</v>
      </c>
      <c r="B252" s="9" t="s">
        <v>9</v>
      </c>
      <c r="C252" s="9">
        <v>1916</v>
      </c>
      <c r="D252" s="10">
        <v>45646</v>
      </c>
      <c r="E252" s="13" t="str">
        <f>+HYPERLINK("http://trademark.i-assist.jp/data/china/image_1916th/80694986.pdf","80694986")</f>
        <v>80694986</v>
      </c>
      <c r="F252" s="12" t="s">
        <v>754</v>
      </c>
      <c r="G252" s="12" t="s">
        <v>17</v>
      </c>
      <c r="H252" s="9" t="s">
        <v>755</v>
      </c>
      <c r="I252" s="10">
        <v>45537</v>
      </c>
    </row>
    <row r="253" spans="1:9" x14ac:dyDescent="0.15">
      <c r="A253" s="9">
        <v>252</v>
      </c>
      <c r="B253" s="9" t="s">
        <v>9</v>
      </c>
      <c r="C253" s="9">
        <v>1916</v>
      </c>
      <c r="D253" s="10">
        <v>45646</v>
      </c>
      <c r="E253" s="13" t="str">
        <f>+HYPERLINK("http://trademark.i-assist.jp/data/china/image_1916th/80696890A.pdf","80696890A")</f>
        <v>80696890A</v>
      </c>
      <c r="F253" s="12" t="s">
        <v>756</v>
      </c>
      <c r="G253" s="9" t="s">
        <v>748</v>
      </c>
      <c r="H253" s="9" t="s">
        <v>757</v>
      </c>
      <c r="I253" s="10">
        <v>45537</v>
      </c>
    </row>
    <row r="254" spans="1:9" x14ac:dyDescent="0.15">
      <c r="A254" s="9">
        <v>253</v>
      </c>
      <c r="B254" s="9" t="s">
        <v>9</v>
      </c>
      <c r="C254" s="9">
        <v>1916</v>
      </c>
      <c r="D254" s="10">
        <v>45646</v>
      </c>
      <c r="E254" s="13" t="str">
        <f>+HYPERLINK("http://trademark.i-assist.jp/data/china/image_1916th/80697231.pdf","80697231")</f>
        <v>80697231</v>
      </c>
      <c r="F254" s="9" t="s">
        <v>758</v>
      </c>
      <c r="G254" s="9" t="s">
        <v>759</v>
      </c>
      <c r="H254" s="9" t="s">
        <v>760</v>
      </c>
      <c r="I254" s="10">
        <v>45537</v>
      </c>
    </row>
    <row r="255" spans="1:9" x14ac:dyDescent="0.15">
      <c r="A255" s="9">
        <v>254</v>
      </c>
      <c r="B255" s="9" t="s">
        <v>9</v>
      </c>
      <c r="C255" s="9">
        <v>1916</v>
      </c>
      <c r="D255" s="10">
        <v>45646</v>
      </c>
      <c r="E255" s="13" t="str">
        <f>+HYPERLINK("http://trademark.i-assist.jp/data/china/image_1916th/80697633.pdf","80697633")</f>
        <v>80697633</v>
      </c>
      <c r="F255" s="9" t="s">
        <v>761</v>
      </c>
      <c r="G255" s="9" t="s">
        <v>762</v>
      </c>
      <c r="H255" s="9" t="s">
        <v>763</v>
      </c>
      <c r="I255" s="10">
        <v>45537</v>
      </c>
    </row>
    <row r="256" spans="1:9" x14ac:dyDescent="0.15">
      <c r="A256" s="9">
        <v>255</v>
      </c>
      <c r="B256" s="9" t="s">
        <v>9</v>
      </c>
      <c r="C256" s="9">
        <v>1916</v>
      </c>
      <c r="D256" s="10">
        <v>45646</v>
      </c>
      <c r="E256" s="13" t="str">
        <f>+HYPERLINK("http://trademark.i-assist.jp/data/china/image_1916th/80699649.pdf","80699649")</f>
        <v>80699649</v>
      </c>
      <c r="F256" s="9" t="s">
        <v>764</v>
      </c>
      <c r="G256" s="9" t="s">
        <v>745</v>
      </c>
      <c r="H256" s="9" t="s">
        <v>765</v>
      </c>
      <c r="I256" s="10">
        <v>45537</v>
      </c>
    </row>
    <row r="257" spans="1:9" x14ac:dyDescent="0.15">
      <c r="A257" s="9">
        <v>256</v>
      </c>
      <c r="B257" s="9" t="s">
        <v>9</v>
      </c>
      <c r="C257" s="9">
        <v>1916</v>
      </c>
      <c r="D257" s="10">
        <v>45646</v>
      </c>
      <c r="E257" s="13" t="str">
        <f>+HYPERLINK("http://trademark.i-assist.jp/data/china/image_1916th/80700307.pdf","80700307")</f>
        <v>80700307</v>
      </c>
      <c r="F257" s="9" t="s">
        <v>766</v>
      </c>
      <c r="G257" s="12" t="s">
        <v>52</v>
      </c>
      <c r="H257" s="9" t="s">
        <v>767</v>
      </c>
      <c r="I257" s="10">
        <v>45537</v>
      </c>
    </row>
    <row r="258" spans="1:9" x14ac:dyDescent="0.15">
      <c r="A258" s="9">
        <v>257</v>
      </c>
      <c r="B258" s="9" t="s">
        <v>9</v>
      </c>
      <c r="C258" s="9">
        <v>1916</v>
      </c>
      <c r="D258" s="10">
        <v>45646</v>
      </c>
      <c r="E258" s="13" t="str">
        <f>+HYPERLINK("http://trademark.i-assist.jp/data/china/image_1916th/80701361.pdf","80701361")</f>
        <v>80701361</v>
      </c>
      <c r="F258" s="9" t="s">
        <v>768</v>
      </c>
      <c r="G258" s="9" t="s">
        <v>769</v>
      </c>
      <c r="H258" s="9" t="s">
        <v>770</v>
      </c>
      <c r="I258" s="10">
        <v>45537</v>
      </c>
    </row>
    <row r="259" spans="1:9" x14ac:dyDescent="0.15">
      <c r="A259" s="9">
        <v>258</v>
      </c>
      <c r="B259" s="9" t="s">
        <v>9</v>
      </c>
      <c r="C259" s="9">
        <v>1916</v>
      </c>
      <c r="D259" s="10">
        <v>45646</v>
      </c>
      <c r="E259" s="13" t="str">
        <f>+HYPERLINK("http://trademark.i-assist.jp/data/china/image_1916th/80705060.pdf","80705060")</f>
        <v>80705060</v>
      </c>
      <c r="F259" s="9" t="s">
        <v>771</v>
      </c>
      <c r="G259" s="9" t="s">
        <v>772</v>
      </c>
      <c r="H259" s="12" t="s">
        <v>773</v>
      </c>
      <c r="I259" s="10">
        <v>45537</v>
      </c>
    </row>
    <row r="260" spans="1:9" x14ac:dyDescent="0.15">
      <c r="A260" s="9">
        <v>259</v>
      </c>
      <c r="B260" s="9" t="s">
        <v>9</v>
      </c>
      <c r="C260" s="9">
        <v>1916</v>
      </c>
      <c r="D260" s="10">
        <v>45646</v>
      </c>
      <c r="E260" s="13" t="str">
        <f>+HYPERLINK("http://trademark.i-assist.jp/data/china/image_1916th/80705254.pdf","80705254")</f>
        <v>80705254</v>
      </c>
      <c r="F260" s="9" t="s">
        <v>774</v>
      </c>
      <c r="G260" s="9" t="s">
        <v>775</v>
      </c>
      <c r="H260" s="9" t="s">
        <v>776</v>
      </c>
      <c r="I260" s="10">
        <v>45537</v>
      </c>
    </row>
    <row r="261" spans="1:9" x14ac:dyDescent="0.15">
      <c r="A261" s="9">
        <v>260</v>
      </c>
      <c r="B261" s="9" t="s">
        <v>9</v>
      </c>
      <c r="C261" s="9">
        <v>1916</v>
      </c>
      <c r="D261" s="10">
        <v>45646</v>
      </c>
      <c r="E261" s="13" t="str">
        <f>+HYPERLINK("http://trademark.i-assist.jp/data/china/image_1916th/80705454.pdf","80705454")</f>
        <v>80705454</v>
      </c>
      <c r="F261" s="9" t="s">
        <v>777</v>
      </c>
      <c r="G261" s="12" t="s">
        <v>17</v>
      </c>
      <c r="H261" s="9" t="s">
        <v>778</v>
      </c>
      <c r="I261" s="10">
        <v>45537</v>
      </c>
    </row>
    <row r="262" spans="1:9" x14ac:dyDescent="0.15">
      <c r="A262" s="9">
        <v>261</v>
      </c>
      <c r="B262" s="9" t="s">
        <v>9</v>
      </c>
      <c r="C262" s="9">
        <v>1916</v>
      </c>
      <c r="D262" s="10">
        <v>45646</v>
      </c>
      <c r="E262" s="13" t="str">
        <f>+HYPERLINK("http://trademark.i-assist.jp/data/china/image_1916th/80708052.pdf","80708052")</f>
        <v>80708052</v>
      </c>
      <c r="F262" s="9" t="s">
        <v>779</v>
      </c>
      <c r="G262" s="9" t="s">
        <v>780</v>
      </c>
      <c r="H262" s="9" t="s">
        <v>781</v>
      </c>
      <c r="I262" s="10">
        <v>45538</v>
      </c>
    </row>
    <row r="263" spans="1:9" x14ac:dyDescent="0.15">
      <c r="A263" s="9">
        <v>262</v>
      </c>
      <c r="B263" s="9" t="s">
        <v>9</v>
      </c>
      <c r="C263" s="9">
        <v>1916</v>
      </c>
      <c r="D263" s="10">
        <v>45646</v>
      </c>
      <c r="E263" s="13" t="str">
        <f>+HYPERLINK("http://trademark.i-assist.jp/data/china/image_1916th/80710597.pdf","80710597")</f>
        <v>80710597</v>
      </c>
      <c r="F263" s="12" t="s">
        <v>13</v>
      </c>
      <c r="G263" s="9" t="s">
        <v>782</v>
      </c>
      <c r="H263" s="9" t="s">
        <v>783</v>
      </c>
      <c r="I263" s="10">
        <v>45538</v>
      </c>
    </row>
    <row r="264" spans="1:9" x14ac:dyDescent="0.15">
      <c r="A264" s="9">
        <v>263</v>
      </c>
      <c r="B264" s="9" t="s">
        <v>9</v>
      </c>
      <c r="C264" s="9">
        <v>1916</v>
      </c>
      <c r="D264" s="10">
        <v>45646</v>
      </c>
      <c r="E264" s="13" t="str">
        <f>+HYPERLINK("http://trademark.i-assist.jp/data/china/image_1916th/80713207.pdf","80713207")</f>
        <v>80713207</v>
      </c>
      <c r="F264" s="12" t="s">
        <v>13</v>
      </c>
      <c r="G264" s="9" t="s">
        <v>784</v>
      </c>
      <c r="H264" s="9" t="s">
        <v>785</v>
      </c>
      <c r="I264" s="10">
        <v>45538</v>
      </c>
    </row>
    <row r="265" spans="1:9" x14ac:dyDescent="0.15">
      <c r="A265" s="9">
        <v>264</v>
      </c>
      <c r="B265" s="9" t="s">
        <v>9</v>
      </c>
      <c r="C265" s="9">
        <v>1916</v>
      </c>
      <c r="D265" s="10">
        <v>45646</v>
      </c>
      <c r="E265" s="13" t="str">
        <f>+HYPERLINK("http://trademark.i-assist.jp/data/china/image_1916th/80713576.pdf","80713576")</f>
        <v>80713576</v>
      </c>
      <c r="F265" s="12" t="s">
        <v>786</v>
      </c>
      <c r="G265" s="9" t="s">
        <v>787</v>
      </c>
      <c r="H265" s="9" t="s">
        <v>788</v>
      </c>
      <c r="I265" s="10">
        <v>45538</v>
      </c>
    </row>
    <row r="266" spans="1:9" x14ac:dyDescent="0.15">
      <c r="A266" s="9">
        <v>265</v>
      </c>
      <c r="B266" s="9" t="s">
        <v>9</v>
      </c>
      <c r="C266" s="9">
        <v>1916</v>
      </c>
      <c r="D266" s="10">
        <v>45646</v>
      </c>
      <c r="E266" s="13" t="str">
        <f>+HYPERLINK("http://trademark.i-assist.jp/data/china/image_1916th/80717337.pdf","80717337")</f>
        <v>80717337</v>
      </c>
      <c r="F266" s="12" t="s">
        <v>13</v>
      </c>
      <c r="G266" s="9" t="s">
        <v>789</v>
      </c>
      <c r="H266" s="9" t="s">
        <v>790</v>
      </c>
      <c r="I266" s="10">
        <v>45538</v>
      </c>
    </row>
    <row r="267" spans="1:9" x14ac:dyDescent="0.15">
      <c r="A267" s="9">
        <v>266</v>
      </c>
      <c r="B267" s="9" t="s">
        <v>9</v>
      </c>
      <c r="C267" s="9">
        <v>1916</v>
      </c>
      <c r="D267" s="10">
        <v>45646</v>
      </c>
      <c r="E267" s="13" t="str">
        <f>+HYPERLINK("http://trademark.i-assist.jp/data/china/image_1916th/80717829.pdf","80717829")</f>
        <v>80717829</v>
      </c>
      <c r="F267" s="12" t="s">
        <v>13</v>
      </c>
      <c r="G267" s="9" t="s">
        <v>791</v>
      </c>
      <c r="H267" s="12" t="s">
        <v>792</v>
      </c>
      <c r="I267" s="10">
        <v>45538</v>
      </c>
    </row>
    <row r="268" spans="1:9" x14ac:dyDescent="0.15">
      <c r="A268" s="9">
        <v>267</v>
      </c>
      <c r="B268" s="9" t="s">
        <v>9</v>
      </c>
      <c r="C268" s="9">
        <v>1916</v>
      </c>
      <c r="D268" s="10">
        <v>45646</v>
      </c>
      <c r="E268" s="13" t="str">
        <f>+HYPERLINK("http://trademark.i-assist.jp/data/china/image_1916th/80718912.pdf","80718912")</f>
        <v>80718912</v>
      </c>
      <c r="F268" s="9" t="s">
        <v>793</v>
      </c>
      <c r="G268" s="9" t="s">
        <v>794</v>
      </c>
      <c r="H268" s="9" t="s">
        <v>795</v>
      </c>
      <c r="I268" s="10">
        <v>45538</v>
      </c>
    </row>
    <row r="269" spans="1:9" x14ac:dyDescent="0.15">
      <c r="A269" s="9">
        <v>268</v>
      </c>
      <c r="B269" s="9" t="s">
        <v>9</v>
      </c>
      <c r="C269" s="9">
        <v>1916</v>
      </c>
      <c r="D269" s="10">
        <v>45646</v>
      </c>
      <c r="E269" s="13" t="str">
        <f>+HYPERLINK("http://trademark.i-assist.jp/data/china/image_1916th/80720118.pdf","80720118")</f>
        <v>80720118</v>
      </c>
      <c r="F269" s="12" t="s">
        <v>796</v>
      </c>
      <c r="G269" s="9" t="s">
        <v>797</v>
      </c>
      <c r="H269" s="9" t="s">
        <v>798</v>
      </c>
      <c r="I269" s="10">
        <v>45538</v>
      </c>
    </row>
    <row r="270" spans="1:9" x14ac:dyDescent="0.15">
      <c r="A270" s="9">
        <v>269</v>
      </c>
      <c r="B270" s="9" t="s">
        <v>9</v>
      </c>
      <c r="C270" s="9">
        <v>1916</v>
      </c>
      <c r="D270" s="10">
        <v>45646</v>
      </c>
      <c r="E270" s="13" t="str">
        <f>+HYPERLINK("http://trademark.i-assist.jp/data/china/image_1916th/80720161.pdf","80720161")</f>
        <v>80720161</v>
      </c>
      <c r="F270" s="12" t="s">
        <v>799</v>
      </c>
      <c r="G270" s="12" t="s">
        <v>800</v>
      </c>
      <c r="H270" s="9" t="s">
        <v>801</v>
      </c>
      <c r="I270" s="10">
        <v>45538</v>
      </c>
    </row>
    <row r="271" spans="1:9" x14ac:dyDescent="0.15">
      <c r="A271" s="9">
        <v>270</v>
      </c>
      <c r="B271" s="9" t="s">
        <v>9</v>
      </c>
      <c r="C271" s="9">
        <v>1916</v>
      </c>
      <c r="D271" s="10">
        <v>45646</v>
      </c>
      <c r="E271" s="13" t="str">
        <f>+HYPERLINK("http://trademark.i-assist.jp/data/china/image_1916th/80721525.pdf","80721525")</f>
        <v>80721525</v>
      </c>
      <c r="F271" s="9" t="s">
        <v>802</v>
      </c>
      <c r="G271" s="9" t="s">
        <v>803</v>
      </c>
      <c r="H271" s="9" t="s">
        <v>804</v>
      </c>
      <c r="I271" s="10">
        <v>45538</v>
      </c>
    </row>
    <row r="272" spans="1:9" x14ac:dyDescent="0.15">
      <c r="A272" s="9">
        <v>271</v>
      </c>
      <c r="B272" s="9" t="s">
        <v>9</v>
      </c>
      <c r="C272" s="9">
        <v>1916</v>
      </c>
      <c r="D272" s="10">
        <v>45646</v>
      </c>
      <c r="E272" s="13" t="str">
        <f>+HYPERLINK("http://trademark.i-assist.jp/data/china/image_1916th/80723682.pdf","80723682")</f>
        <v>80723682</v>
      </c>
      <c r="F272" s="12" t="s">
        <v>805</v>
      </c>
      <c r="G272" s="12" t="s">
        <v>806</v>
      </c>
      <c r="H272" s="12" t="s">
        <v>807</v>
      </c>
      <c r="I272" s="10">
        <v>45538</v>
      </c>
    </row>
    <row r="273" spans="1:9" x14ac:dyDescent="0.15">
      <c r="A273" s="9">
        <v>272</v>
      </c>
      <c r="B273" s="9" t="s">
        <v>9</v>
      </c>
      <c r="C273" s="9">
        <v>1916</v>
      </c>
      <c r="D273" s="10">
        <v>45646</v>
      </c>
      <c r="E273" s="13" t="str">
        <f>+HYPERLINK("http://trademark.i-assist.jp/data/china/image_1916th/80724512.pdf","80724512")</f>
        <v>80724512</v>
      </c>
      <c r="F273" s="9" t="s">
        <v>808</v>
      </c>
      <c r="G273" s="9" t="s">
        <v>803</v>
      </c>
      <c r="H273" s="9" t="s">
        <v>809</v>
      </c>
      <c r="I273" s="10">
        <v>45538</v>
      </c>
    </row>
    <row r="274" spans="1:9" x14ac:dyDescent="0.15">
      <c r="A274" s="9">
        <v>273</v>
      </c>
      <c r="B274" s="9" t="s">
        <v>9</v>
      </c>
      <c r="C274" s="9">
        <v>1916</v>
      </c>
      <c r="D274" s="10">
        <v>45646</v>
      </c>
      <c r="E274" s="13" t="str">
        <f>+HYPERLINK("http://trademark.i-assist.jp/data/china/image_1916th/80725227.pdf","80725227")</f>
        <v>80725227</v>
      </c>
      <c r="F274" s="9" t="s">
        <v>810</v>
      </c>
      <c r="G274" s="9" t="s">
        <v>811</v>
      </c>
      <c r="H274" s="9" t="s">
        <v>812</v>
      </c>
      <c r="I274" s="10">
        <v>45538</v>
      </c>
    </row>
    <row r="275" spans="1:9" x14ac:dyDescent="0.15">
      <c r="A275" s="9">
        <v>274</v>
      </c>
      <c r="B275" s="9" t="s">
        <v>9</v>
      </c>
      <c r="C275" s="9">
        <v>1916</v>
      </c>
      <c r="D275" s="10">
        <v>45646</v>
      </c>
      <c r="E275" s="13" t="str">
        <f>+HYPERLINK("http://trademark.i-assist.jp/data/china/image_1916th/80725842.pdf","80725842")</f>
        <v>80725842</v>
      </c>
      <c r="F275" s="9" t="s">
        <v>813</v>
      </c>
      <c r="G275" s="12" t="s">
        <v>814</v>
      </c>
      <c r="H275" s="9" t="s">
        <v>815</v>
      </c>
      <c r="I275" s="10">
        <v>45538</v>
      </c>
    </row>
    <row r="276" spans="1:9" x14ac:dyDescent="0.15">
      <c r="A276" s="9">
        <v>275</v>
      </c>
      <c r="B276" s="9" t="s">
        <v>9</v>
      </c>
      <c r="C276" s="9">
        <v>1916</v>
      </c>
      <c r="D276" s="10">
        <v>45646</v>
      </c>
      <c r="E276" s="13" t="str">
        <f>+HYPERLINK("http://trademark.i-assist.jp/data/china/image_1916th/80727578.pdf","80727578")</f>
        <v>80727578</v>
      </c>
      <c r="F276" s="9" t="s">
        <v>816</v>
      </c>
      <c r="G276" s="9" t="s">
        <v>817</v>
      </c>
      <c r="H276" s="12" t="s">
        <v>818</v>
      </c>
      <c r="I276" s="10">
        <v>45538</v>
      </c>
    </row>
    <row r="277" spans="1:9" x14ac:dyDescent="0.15">
      <c r="A277" s="9">
        <v>276</v>
      </c>
      <c r="B277" s="9" t="s">
        <v>9</v>
      </c>
      <c r="C277" s="9">
        <v>1916</v>
      </c>
      <c r="D277" s="10">
        <v>45646</v>
      </c>
      <c r="E277" s="13" t="str">
        <f>+HYPERLINK("http://trademark.i-assist.jp/data/china/image_1916th/80727593.pdf","80727593")</f>
        <v>80727593</v>
      </c>
      <c r="F277" s="9" t="s">
        <v>819</v>
      </c>
      <c r="G277" s="9" t="s">
        <v>797</v>
      </c>
      <c r="H277" s="9" t="s">
        <v>820</v>
      </c>
      <c r="I277" s="10">
        <v>45538</v>
      </c>
    </row>
    <row r="278" spans="1:9" x14ac:dyDescent="0.15">
      <c r="A278" s="9">
        <v>277</v>
      </c>
      <c r="B278" s="9" t="s">
        <v>9</v>
      </c>
      <c r="C278" s="9">
        <v>1916</v>
      </c>
      <c r="D278" s="10">
        <v>45646</v>
      </c>
      <c r="E278" s="13" t="str">
        <f>+HYPERLINK("http://trademark.i-assist.jp/data/china/image_1916th/80728100.pdf","80728100")</f>
        <v>80728100</v>
      </c>
      <c r="F278" s="12" t="s">
        <v>13</v>
      </c>
      <c r="G278" s="9" t="s">
        <v>821</v>
      </c>
      <c r="H278" s="9" t="s">
        <v>822</v>
      </c>
      <c r="I278" s="10">
        <v>45538</v>
      </c>
    </row>
    <row r="279" spans="1:9" x14ac:dyDescent="0.15">
      <c r="A279" s="9">
        <v>278</v>
      </c>
      <c r="B279" s="9" t="s">
        <v>9</v>
      </c>
      <c r="C279" s="9">
        <v>1916</v>
      </c>
      <c r="D279" s="10">
        <v>45646</v>
      </c>
      <c r="E279" s="13" t="str">
        <f>+HYPERLINK("http://trademark.i-assist.jp/data/china/image_1916th/80728471.pdf","80728471")</f>
        <v>80728471</v>
      </c>
      <c r="F279" s="9" t="s">
        <v>823</v>
      </c>
      <c r="G279" s="9" t="s">
        <v>824</v>
      </c>
      <c r="H279" s="9" t="s">
        <v>825</v>
      </c>
      <c r="I279" s="10">
        <v>45538</v>
      </c>
    </row>
    <row r="280" spans="1:9" x14ac:dyDescent="0.15">
      <c r="A280" s="9">
        <v>279</v>
      </c>
      <c r="B280" s="9" t="s">
        <v>9</v>
      </c>
      <c r="C280" s="9">
        <v>1916</v>
      </c>
      <c r="D280" s="10">
        <v>45646</v>
      </c>
      <c r="E280" s="13" t="str">
        <f>+HYPERLINK("http://trademark.i-assist.jp/data/china/image_1916th/80729188.pdf","80729188")</f>
        <v>80729188</v>
      </c>
      <c r="F280" s="9" t="s">
        <v>826</v>
      </c>
      <c r="G280" s="9" t="s">
        <v>827</v>
      </c>
      <c r="H280" s="9" t="s">
        <v>828</v>
      </c>
      <c r="I280" s="10">
        <v>45538</v>
      </c>
    </row>
    <row r="281" spans="1:9" x14ac:dyDescent="0.15">
      <c r="A281" s="9">
        <v>280</v>
      </c>
      <c r="B281" s="9" t="s">
        <v>9</v>
      </c>
      <c r="C281" s="9">
        <v>1916</v>
      </c>
      <c r="D281" s="10">
        <v>45646</v>
      </c>
      <c r="E281" s="13" t="str">
        <f>+HYPERLINK("http://trademark.i-assist.jp/data/china/image_1916th/80732839.pdf","80732839")</f>
        <v>80732839</v>
      </c>
      <c r="F281" s="9" t="s">
        <v>829</v>
      </c>
      <c r="G281" s="9" t="s">
        <v>830</v>
      </c>
      <c r="H281" s="9" t="s">
        <v>831</v>
      </c>
      <c r="I281" s="10">
        <v>45539</v>
      </c>
    </row>
    <row r="282" spans="1:9" x14ac:dyDescent="0.15">
      <c r="A282" s="9">
        <v>281</v>
      </c>
      <c r="B282" s="9" t="s">
        <v>9</v>
      </c>
      <c r="C282" s="9">
        <v>1916</v>
      </c>
      <c r="D282" s="10">
        <v>45646</v>
      </c>
      <c r="E282" s="13" t="str">
        <f>+HYPERLINK("http://trademark.i-assist.jp/data/china/image_1916th/80733206.pdf","80733206")</f>
        <v>80733206</v>
      </c>
      <c r="F282" s="12" t="s">
        <v>832</v>
      </c>
      <c r="G282" s="12" t="s">
        <v>833</v>
      </c>
      <c r="H282" s="9" t="s">
        <v>834</v>
      </c>
      <c r="I282" s="10">
        <v>45539</v>
      </c>
    </row>
    <row r="283" spans="1:9" x14ac:dyDescent="0.15">
      <c r="A283" s="9">
        <v>282</v>
      </c>
      <c r="B283" s="9" t="s">
        <v>9</v>
      </c>
      <c r="C283" s="9">
        <v>1916</v>
      </c>
      <c r="D283" s="10">
        <v>45646</v>
      </c>
      <c r="E283" s="13" t="str">
        <f>+HYPERLINK("http://trademark.i-assist.jp/data/china/image_1916th/80733969.pdf","80733969")</f>
        <v>80733969</v>
      </c>
      <c r="F283" s="9" t="s">
        <v>835</v>
      </c>
      <c r="G283" s="9" t="s">
        <v>836</v>
      </c>
      <c r="H283" s="9" t="s">
        <v>837</v>
      </c>
      <c r="I283" s="10">
        <v>45539</v>
      </c>
    </row>
    <row r="284" spans="1:9" x14ac:dyDescent="0.15">
      <c r="A284" s="9">
        <v>283</v>
      </c>
      <c r="B284" s="9" t="s">
        <v>9</v>
      </c>
      <c r="C284" s="9">
        <v>1916</v>
      </c>
      <c r="D284" s="10">
        <v>45646</v>
      </c>
      <c r="E284" s="13" t="str">
        <f>+HYPERLINK("http://trademark.i-assist.jp/data/china/image_1916th/80734014.pdf","80734014")</f>
        <v>80734014</v>
      </c>
      <c r="F284" s="9" t="s">
        <v>838</v>
      </c>
      <c r="G284" s="9" t="s">
        <v>839</v>
      </c>
      <c r="H284" s="9" t="s">
        <v>840</v>
      </c>
      <c r="I284" s="10">
        <v>45539</v>
      </c>
    </row>
    <row r="285" spans="1:9" x14ac:dyDescent="0.15">
      <c r="A285" s="9">
        <v>284</v>
      </c>
      <c r="B285" s="9" t="s">
        <v>9</v>
      </c>
      <c r="C285" s="9">
        <v>1916</v>
      </c>
      <c r="D285" s="10">
        <v>45646</v>
      </c>
      <c r="E285" s="13" t="str">
        <f>+HYPERLINK("http://trademark.i-assist.jp/data/china/image_1916th/80735169.pdf","80735169")</f>
        <v>80735169</v>
      </c>
      <c r="F285" s="9" t="s">
        <v>841</v>
      </c>
      <c r="G285" s="9" t="s">
        <v>842</v>
      </c>
      <c r="H285" s="9" t="s">
        <v>843</v>
      </c>
      <c r="I285" s="10">
        <v>45539</v>
      </c>
    </row>
    <row r="286" spans="1:9" x14ac:dyDescent="0.15">
      <c r="A286" s="9">
        <v>285</v>
      </c>
      <c r="B286" s="9" t="s">
        <v>9</v>
      </c>
      <c r="C286" s="9">
        <v>1916</v>
      </c>
      <c r="D286" s="10">
        <v>45646</v>
      </c>
      <c r="E286" s="13" t="str">
        <f>+HYPERLINK("http://trademark.i-assist.jp/data/china/image_1916th/80738615.pdf","80738615")</f>
        <v>80738615</v>
      </c>
      <c r="F286" s="9" t="s">
        <v>844</v>
      </c>
      <c r="G286" s="9" t="s">
        <v>67</v>
      </c>
      <c r="H286" s="9" t="s">
        <v>845</v>
      </c>
      <c r="I286" s="10">
        <v>45539</v>
      </c>
    </row>
    <row r="287" spans="1:9" x14ac:dyDescent="0.15">
      <c r="A287" s="9">
        <v>286</v>
      </c>
      <c r="B287" s="9" t="s">
        <v>9</v>
      </c>
      <c r="C287" s="9">
        <v>1916</v>
      </c>
      <c r="D287" s="10">
        <v>45646</v>
      </c>
      <c r="E287" s="13" t="str">
        <f>+HYPERLINK("http://trademark.i-assist.jp/data/china/image_1916th/80738743.pdf","80738743")</f>
        <v>80738743</v>
      </c>
      <c r="F287" s="11" t="s">
        <v>846</v>
      </c>
      <c r="G287" s="9" t="s">
        <v>36</v>
      </c>
      <c r="H287" s="9" t="s">
        <v>847</v>
      </c>
      <c r="I287" s="10">
        <v>45539</v>
      </c>
    </row>
    <row r="288" spans="1:9" x14ac:dyDescent="0.15">
      <c r="A288" s="9">
        <v>287</v>
      </c>
      <c r="B288" s="9" t="s">
        <v>9</v>
      </c>
      <c r="C288" s="9">
        <v>1916</v>
      </c>
      <c r="D288" s="10">
        <v>45646</v>
      </c>
      <c r="E288" s="13" t="str">
        <f>+HYPERLINK("http://trademark.i-assist.jp/data/china/image_1916th/80739748.pdf","80739748")</f>
        <v>80739748</v>
      </c>
      <c r="F288" s="9" t="s">
        <v>848</v>
      </c>
      <c r="G288" s="9" t="s">
        <v>849</v>
      </c>
      <c r="H288" s="9" t="s">
        <v>850</v>
      </c>
      <c r="I288" s="10">
        <v>45539</v>
      </c>
    </row>
    <row r="289" spans="1:9" x14ac:dyDescent="0.15">
      <c r="A289" s="9">
        <v>288</v>
      </c>
      <c r="B289" s="9" t="s">
        <v>9</v>
      </c>
      <c r="C289" s="9">
        <v>1916</v>
      </c>
      <c r="D289" s="10">
        <v>45646</v>
      </c>
      <c r="E289" s="13" t="str">
        <f>+HYPERLINK("http://trademark.i-assist.jp/data/china/image_1916th/80739806.pdf","80739806")</f>
        <v>80739806</v>
      </c>
      <c r="F289" s="9" t="s">
        <v>851</v>
      </c>
      <c r="G289" s="9" t="s">
        <v>852</v>
      </c>
      <c r="H289" s="9" t="s">
        <v>853</v>
      </c>
      <c r="I289" s="10">
        <v>45539</v>
      </c>
    </row>
    <row r="290" spans="1:9" x14ac:dyDescent="0.15">
      <c r="A290" s="9">
        <v>289</v>
      </c>
      <c r="B290" s="9" t="s">
        <v>9</v>
      </c>
      <c r="C290" s="9">
        <v>1916</v>
      </c>
      <c r="D290" s="10">
        <v>45646</v>
      </c>
      <c r="E290" s="13" t="str">
        <f>+HYPERLINK("http://trademark.i-assist.jp/data/china/image_1916th/80740880.pdf","80740880")</f>
        <v>80740880</v>
      </c>
      <c r="F290" s="9" t="s">
        <v>854</v>
      </c>
      <c r="G290" s="12" t="s">
        <v>855</v>
      </c>
      <c r="H290" s="9" t="s">
        <v>856</v>
      </c>
      <c r="I290" s="10">
        <v>45539</v>
      </c>
    </row>
    <row r="291" spans="1:9" x14ac:dyDescent="0.15">
      <c r="A291" s="9">
        <v>290</v>
      </c>
      <c r="B291" s="9" t="s">
        <v>9</v>
      </c>
      <c r="C291" s="9">
        <v>1916</v>
      </c>
      <c r="D291" s="10">
        <v>45646</v>
      </c>
      <c r="E291" s="13" t="str">
        <f>+HYPERLINK("http://trademark.i-assist.jp/data/china/image_1916th/80742497.pdf","80742497")</f>
        <v>80742497</v>
      </c>
      <c r="F291" s="12" t="s">
        <v>857</v>
      </c>
      <c r="G291" s="9" t="s">
        <v>858</v>
      </c>
      <c r="H291" s="9" t="s">
        <v>859</v>
      </c>
      <c r="I291" s="10">
        <v>45539</v>
      </c>
    </row>
    <row r="292" spans="1:9" x14ac:dyDescent="0.15">
      <c r="A292" s="9">
        <v>291</v>
      </c>
      <c r="B292" s="9" t="s">
        <v>9</v>
      </c>
      <c r="C292" s="9">
        <v>1916</v>
      </c>
      <c r="D292" s="10">
        <v>45646</v>
      </c>
      <c r="E292" s="13" t="str">
        <f>+HYPERLINK("http://trademark.i-assist.jp/data/china/image_1916th/80746316.pdf","80746316")</f>
        <v>80746316</v>
      </c>
      <c r="F292" s="12" t="s">
        <v>860</v>
      </c>
      <c r="G292" s="12" t="s">
        <v>861</v>
      </c>
      <c r="H292" s="9" t="s">
        <v>862</v>
      </c>
      <c r="I292" s="10">
        <v>45539</v>
      </c>
    </row>
    <row r="293" spans="1:9" x14ac:dyDescent="0.15">
      <c r="A293" s="9">
        <v>292</v>
      </c>
      <c r="B293" s="9" t="s">
        <v>9</v>
      </c>
      <c r="C293" s="9">
        <v>1916</v>
      </c>
      <c r="D293" s="10">
        <v>45646</v>
      </c>
      <c r="E293" s="13" t="str">
        <f>+HYPERLINK("http://trademark.i-assist.jp/data/china/image_1916th/80746529.pdf","80746529")</f>
        <v>80746529</v>
      </c>
      <c r="F293" s="9" t="s">
        <v>863</v>
      </c>
      <c r="G293" s="9" t="s">
        <v>864</v>
      </c>
      <c r="H293" s="9" t="s">
        <v>865</v>
      </c>
      <c r="I293" s="10">
        <v>45539</v>
      </c>
    </row>
    <row r="294" spans="1:9" x14ac:dyDescent="0.15">
      <c r="A294" s="9">
        <v>293</v>
      </c>
      <c r="B294" s="9" t="s">
        <v>9</v>
      </c>
      <c r="C294" s="9">
        <v>1916</v>
      </c>
      <c r="D294" s="10">
        <v>45646</v>
      </c>
      <c r="E294" s="13" t="str">
        <f>+HYPERLINK("http://trademark.i-assist.jp/data/china/image_1916th/80748117.pdf","80748117")</f>
        <v>80748117</v>
      </c>
      <c r="F294" s="9" t="s">
        <v>866</v>
      </c>
      <c r="G294" s="9" t="s">
        <v>867</v>
      </c>
      <c r="H294" s="9" t="s">
        <v>868</v>
      </c>
      <c r="I294" s="10">
        <v>45539</v>
      </c>
    </row>
    <row r="295" spans="1:9" x14ac:dyDescent="0.15">
      <c r="A295" s="9">
        <v>294</v>
      </c>
      <c r="B295" s="9" t="s">
        <v>9</v>
      </c>
      <c r="C295" s="9">
        <v>1916</v>
      </c>
      <c r="D295" s="10">
        <v>45646</v>
      </c>
      <c r="E295" s="13" t="str">
        <f>+HYPERLINK("http://trademark.i-assist.jp/data/china/image_1916th/80749101.pdf","80749101")</f>
        <v>80749101</v>
      </c>
      <c r="F295" s="9" t="s">
        <v>869</v>
      </c>
      <c r="G295" s="9" t="s">
        <v>870</v>
      </c>
      <c r="H295" s="9" t="s">
        <v>871</v>
      </c>
      <c r="I295" s="10">
        <v>45539</v>
      </c>
    </row>
    <row r="296" spans="1:9" x14ac:dyDescent="0.15">
      <c r="A296" s="9">
        <v>295</v>
      </c>
      <c r="B296" s="9" t="s">
        <v>9</v>
      </c>
      <c r="C296" s="9">
        <v>1916</v>
      </c>
      <c r="D296" s="10">
        <v>45646</v>
      </c>
      <c r="E296" s="13" t="str">
        <f>+HYPERLINK("http://trademark.i-assist.jp/data/china/image_1916th/80753119.pdf","80753119")</f>
        <v>80753119</v>
      </c>
      <c r="F296" s="9" t="s">
        <v>872</v>
      </c>
      <c r="G296" s="9" t="s">
        <v>873</v>
      </c>
      <c r="H296" s="9" t="s">
        <v>874</v>
      </c>
      <c r="I296" s="10">
        <v>45539</v>
      </c>
    </row>
    <row r="297" spans="1:9" x14ac:dyDescent="0.15">
      <c r="A297" s="9">
        <v>296</v>
      </c>
      <c r="B297" s="9" t="s">
        <v>9</v>
      </c>
      <c r="C297" s="9">
        <v>1916</v>
      </c>
      <c r="D297" s="10">
        <v>45646</v>
      </c>
      <c r="E297" s="13" t="str">
        <f>+HYPERLINK("http://trademark.i-assist.jp/data/china/image_1916th/80753723.pdf","80753723")</f>
        <v>80753723</v>
      </c>
      <c r="F297" s="9" t="s">
        <v>875</v>
      </c>
      <c r="G297" s="9" t="s">
        <v>876</v>
      </c>
      <c r="H297" s="9" t="s">
        <v>877</v>
      </c>
      <c r="I297" s="10">
        <v>45539</v>
      </c>
    </row>
    <row r="298" spans="1:9" x14ac:dyDescent="0.15">
      <c r="A298" s="9">
        <v>297</v>
      </c>
      <c r="B298" s="9" t="s">
        <v>9</v>
      </c>
      <c r="C298" s="9">
        <v>1916</v>
      </c>
      <c r="D298" s="10">
        <v>45646</v>
      </c>
      <c r="E298" s="13" t="str">
        <f>+HYPERLINK("http://trademark.i-assist.jp/data/china/image_1916th/80754410.pdf","80754410")</f>
        <v>80754410</v>
      </c>
      <c r="F298" s="12" t="s">
        <v>878</v>
      </c>
      <c r="G298" s="12" t="s">
        <v>879</v>
      </c>
      <c r="H298" s="9" t="s">
        <v>880</v>
      </c>
      <c r="I298" s="10">
        <v>45540</v>
      </c>
    </row>
    <row r="299" spans="1:9" x14ac:dyDescent="0.15">
      <c r="A299" s="9">
        <v>298</v>
      </c>
      <c r="B299" s="9" t="s">
        <v>9</v>
      </c>
      <c r="C299" s="9">
        <v>1916</v>
      </c>
      <c r="D299" s="10">
        <v>45646</v>
      </c>
      <c r="E299" s="13" t="str">
        <f>+HYPERLINK("http://trademark.i-assist.jp/data/china/image_1916th/80760851.pdf","80760851")</f>
        <v>80760851</v>
      </c>
      <c r="F299" s="9" t="s">
        <v>881</v>
      </c>
      <c r="G299" s="9" t="s">
        <v>72</v>
      </c>
      <c r="H299" s="9" t="s">
        <v>882</v>
      </c>
      <c r="I299" s="10">
        <v>45540</v>
      </c>
    </row>
    <row r="300" spans="1:9" x14ac:dyDescent="0.15">
      <c r="A300" s="9">
        <v>299</v>
      </c>
      <c r="B300" s="9" t="s">
        <v>9</v>
      </c>
      <c r="C300" s="9">
        <v>1916</v>
      </c>
      <c r="D300" s="10">
        <v>45646</v>
      </c>
      <c r="E300" s="13" t="str">
        <f>+HYPERLINK("http://trademark.i-assist.jp/data/china/image_1916th/80761432.pdf","80761432")</f>
        <v>80761432</v>
      </c>
      <c r="F300" s="9" t="s">
        <v>883</v>
      </c>
      <c r="G300" s="9" t="s">
        <v>884</v>
      </c>
      <c r="H300" s="9" t="s">
        <v>885</v>
      </c>
      <c r="I300" s="10">
        <v>45540</v>
      </c>
    </row>
    <row r="301" spans="1:9" x14ac:dyDescent="0.15">
      <c r="A301" s="9">
        <v>300</v>
      </c>
      <c r="B301" s="9" t="s">
        <v>9</v>
      </c>
      <c r="C301" s="9">
        <v>1916</v>
      </c>
      <c r="D301" s="10">
        <v>45646</v>
      </c>
      <c r="E301" s="13" t="str">
        <f>+HYPERLINK("http://trademark.i-assist.jp/data/china/image_1916th/80761767.pdf","80761767")</f>
        <v>80761767</v>
      </c>
      <c r="F301" s="12" t="s">
        <v>886</v>
      </c>
      <c r="G301" s="9" t="s">
        <v>887</v>
      </c>
      <c r="H301" s="9" t="s">
        <v>888</v>
      </c>
      <c r="I301" s="10">
        <v>45540</v>
      </c>
    </row>
    <row r="302" spans="1:9" x14ac:dyDescent="0.15">
      <c r="A302" s="9">
        <v>301</v>
      </c>
      <c r="B302" s="9" t="s">
        <v>9</v>
      </c>
      <c r="C302" s="9">
        <v>1916</v>
      </c>
      <c r="D302" s="10">
        <v>45646</v>
      </c>
      <c r="E302" s="13" t="str">
        <f>+HYPERLINK("http://trademark.i-assist.jp/data/china/image_1916th/80762687.pdf","80762687")</f>
        <v>80762687</v>
      </c>
      <c r="F302" s="9" t="s">
        <v>889</v>
      </c>
      <c r="G302" s="12" t="s">
        <v>34</v>
      </c>
      <c r="H302" s="12" t="s">
        <v>890</v>
      </c>
      <c r="I302" s="10">
        <v>45540</v>
      </c>
    </row>
    <row r="303" spans="1:9" x14ac:dyDescent="0.15">
      <c r="A303" s="9">
        <v>302</v>
      </c>
      <c r="B303" s="9" t="s">
        <v>9</v>
      </c>
      <c r="C303" s="9">
        <v>1916</v>
      </c>
      <c r="D303" s="10">
        <v>45646</v>
      </c>
      <c r="E303" s="13" t="str">
        <f>+HYPERLINK("http://trademark.i-assist.jp/data/china/image_1916th/80762877.pdf","80762877")</f>
        <v>80762877</v>
      </c>
      <c r="F303" s="9" t="s">
        <v>891</v>
      </c>
      <c r="G303" s="12" t="s">
        <v>892</v>
      </c>
      <c r="H303" s="9" t="s">
        <v>893</v>
      </c>
      <c r="I303" s="10">
        <v>45540</v>
      </c>
    </row>
    <row r="304" spans="1:9" x14ac:dyDescent="0.15">
      <c r="A304" s="9">
        <v>303</v>
      </c>
      <c r="B304" s="9" t="s">
        <v>9</v>
      </c>
      <c r="C304" s="9">
        <v>1916</v>
      </c>
      <c r="D304" s="10">
        <v>45646</v>
      </c>
      <c r="E304" s="13" t="str">
        <f>+HYPERLINK("http://trademark.i-assist.jp/data/china/image_1916th/80763528.pdf","80763528")</f>
        <v>80763528</v>
      </c>
      <c r="F304" s="9" t="s">
        <v>894</v>
      </c>
      <c r="G304" s="9" t="s">
        <v>895</v>
      </c>
      <c r="H304" s="9" t="s">
        <v>896</v>
      </c>
      <c r="I304" s="10">
        <v>45540</v>
      </c>
    </row>
    <row r="305" spans="1:9" x14ac:dyDescent="0.15">
      <c r="A305" s="9">
        <v>304</v>
      </c>
      <c r="B305" s="9" t="s">
        <v>9</v>
      </c>
      <c r="C305" s="9">
        <v>1916</v>
      </c>
      <c r="D305" s="10">
        <v>45646</v>
      </c>
      <c r="E305" s="13" t="str">
        <f>+HYPERLINK("http://trademark.i-assist.jp/data/china/image_1916th/80764749.pdf","80764749")</f>
        <v>80764749</v>
      </c>
      <c r="F305" s="12" t="s">
        <v>13</v>
      </c>
      <c r="G305" s="9" t="s">
        <v>897</v>
      </c>
      <c r="H305" s="9" t="s">
        <v>898</v>
      </c>
      <c r="I305" s="10">
        <v>45540</v>
      </c>
    </row>
    <row r="306" spans="1:9" x14ac:dyDescent="0.15">
      <c r="A306" s="9">
        <v>305</v>
      </c>
      <c r="B306" s="9" t="s">
        <v>9</v>
      </c>
      <c r="C306" s="9">
        <v>1916</v>
      </c>
      <c r="D306" s="10">
        <v>45646</v>
      </c>
      <c r="E306" s="13" t="str">
        <f>+HYPERLINK("http://trademark.i-assist.jp/data/china/image_1916th/80766533.pdf","80766533")</f>
        <v>80766533</v>
      </c>
      <c r="F306" s="9" t="s">
        <v>899</v>
      </c>
      <c r="G306" s="12" t="s">
        <v>900</v>
      </c>
      <c r="H306" s="9" t="s">
        <v>901</v>
      </c>
      <c r="I306" s="10">
        <v>45540</v>
      </c>
    </row>
    <row r="307" spans="1:9" x14ac:dyDescent="0.15">
      <c r="A307" s="9">
        <v>306</v>
      </c>
      <c r="B307" s="9" t="s">
        <v>9</v>
      </c>
      <c r="C307" s="9">
        <v>1916</v>
      </c>
      <c r="D307" s="10">
        <v>45646</v>
      </c>
      <c r="E307" s="13" t="str">
        <f>+HYPERLINK("http://trademark.i-assist.jp/data/china/image_1916th/80768476.pdf","80768476")</f>
        <v>80768476</v>
      </c>
      <c r="F307" s="9" t="s">
        <v>902</v>
      </c>
      <c r="G307" s="9" t="s">
        <v>903</v>
      </c>
      <c r="H307" s="9" t="s">
        <v>904</v>
      </c>
      <c r="I307" s="10">
        <v>45540</v>
      </c>
    </row>
    <row r="308" spans="1:9" x14ac:dyDescent="0.15">
      <c r="A308" s="9">
        <v>307</v>
      </c>
      <c r="B308" s="9" t="s">
        <v>9</v>
      </c>
      <c r="C308" s="9">
        <v>1916</v>
      </c>
      <c r="D308" s="10">
        <v>45646</v>
      </c>
      <c r="E308" s="13" t="str">
        <f>+HYPERLINK("http://trademark.i-assist.jp/data/china/image_1916th/80769106.pdf","80769106")</f>
        <v>80769106</v>
      </c>
      <c r="F308" s="9" t="s">
        <v>905</v>
      </c>
      <c r="G308" s="12" t="s">
        <v>906</v>
      </c>
      <c r="H308" s="12" t="s">
        <v>907</v>
      </c>
      <c r="I308" s="10">
        <v>45540</v>
      </c>
    </row>
    <row r="309" spans="1:9" x14ac:dyDescent="0.15">
      <c r="A309" s="9">
        <v>308</v>
      </c>
      <c r="B309" s="9" t="s">
        <v>9</v>
      </c>
      <c r="C309" s="9">
        <v>1916</v>
      </c>
      <c r="D309" s="10">
        <v>45646</v>
      </c>
      <c r="E309" s="13" t="str">
        <f>+HYPERLINK("http://trademark.i-assist.jp/data/china/image_1916th/80769233.pdf","80769233")</f>
        <v>80769233</v>
      </c>
      <c r="F309" s="9" t="s">
        <v>908</v>
      </c>
      <c r="G309" s="9" t="s">
        <v>909</v>
      </c>
      <c r="H309" s="12" t="s">
        <v>910</v>
      </c>
      <c r="I309" s="10">
        <v>45540</v>
      </c>
    </row>
    <row r="310" spans="1:9" x14ac:dyDescent="0.15">
      <c r="A310" s="9">
        <v>309</v>
      </c>
      <c r="B310" s="9" t="s">
        <v>9</v>
      </c>
      <c r="C310" s="9">
        <v>1916</v>
      </c>
      <c r="D310" s="10">
        <v>45646</v>
      </c>
      <c r="E310" s="13" t="str">
        <f>+HYPERLINK("http://trademark.i-assist.jp/data/china/image_1916th/80769683.pdf","80769683")</f>
        <v>80769683</v>
      </c>
      <c r="F310" s="9" t="s">
        <v>911</v>
      </c>
      <c r="G310" s="9" t="s">
        <v>912</v>
      </c>
      <c r="H310" s="9" t="s">
        <v>913</v>
      </c>
      <c r="I310" s="10">
        <v>45540</v>
      </c>
    </row>
    <row r="311" spans="1:9" x14ac:dyDescent="0.15">
      <c r="A311" s="9">
        <v>310</v>
      </c>
      <c r="B311" s="9" t="s">
        <v>9</v>
      </c>
      <c r="C311" s="9">
        <v>1916</v>
      </c>
      <c r="D311" s="10">
        <v>45646</v>
      </c>
      <c r="E311" s="13" t="str">
        <f>+HYPERLINK("http://trademark.i-assist.jp/data/china/image_1916th/80772955.pdf","80772955")</f>
        <v>80772955</v>
      </c>
      <c r="F311" s="9" t="s">
        <v>905</v>
      </c>
      <c r="G311" s="12" t="s">
        <v>906</v>
      </c>
      <c r="H311" s="9" t="s">
        <v>914</v>
      </c>
      <c r="I311" s="10">
        <v>45540</v>
      </c>
    </row>
    <row r="312" spans="1:9" x14ac:dyDescent="0.15">
      <c r="A312" s="9">
        <v>311</v>
      </c>
      <c r="B312" s="9" t="s">
        <v>9</v>
      </c>
      <c r="C312" s="9">
        <v>1916</v>
      </c>
      <c r="D312" s="10">
        <v>45646</v>
      </c>
      <c r="E312" s="13" t="str">
        <f>+HYPERLINK("http://trademark.i-assist.jp/data/china/image_1916th/80774431.pdf","80774431")</f>
        <v>80774431</v>
      </c>
      <c r="F312" s="9" t="s">
        <v>915</v>
      </c>
      <c r="G312" s="12" t="s">
        <v>906</v>
      </c>
      <c r="H312" s="9" t="s">
        <v>916</v>
      </c>
      <c r="I312" s="10">
        <v>45540</v>
      </c>
    </row>
    <row r="313" spans="1:9" x14ac:dyDescent="0.15">
      <c r="A313" s="9">
        <v>312</v>
      </c>
      <c r="B313" s="9" t="s">
        <v>9</v>
      </c>
      <c r="C313" s="9">
        <v>1916</v>
      </c>
      <c r="D313" s="10">
        <v>45646</v>
      </c>
      <c r="E313" s="13" t="str">
        <f>+HYPERLINK("http://trademark.i-assist.jp/data/china/image_1916th/80775848.pdf","80775848")</f>
        <v>80775848</v>
      </c>
      <c r="F313" s="9" t="s">
        <v>917</v>
      </c>
      <c r="G313" s="12" t="s">
        <v>918</v>
      </c>
      <c r="H313" s="9" t="s">
        <v>919</v>
      </c>
      <c r="I313" s="10">
        <v>45540</v>
      </c>
    </row>
    <row r="314" spans="1:9" x14ac:dyDescent="0.15">
      <c r="A314" s="9">
        <v>313</v>
      </c>
      <c r="B314" s="9" t="s">
        <v>9</v>
      </c>
      <c r="C314" s="9">
        <v>1916</v>
      </c>
      <c r="D314" s="10">
        <v>45646</v>
      </c>
      <c r="E314" s="13" t="str">
        <f>+HYPERLINK("http://trademark.i-assist.jp/data/china/image_1916th/80776895.pdf","80776895")</f>
        <v>80776895</v>
      </c>
      <c r="F314" s="9" t="s">
        <v>920</v>
      </c>
      <c r="G314" s="9" t="s">
        <v>921</v>
      </c>
      <c r="H314" s="9" t="s">
        <v>922</v>
      </c>
      <c r="I314" s="10">
        <v>45540</v>
      </c>
    </row>
    <row r="315" spans="1:9" x14ac:dyDescent="0.15">
      <c r="A315" s="9">
        <v>314</v>
      </c>
      <c r="B315" s="9" t="s">
        <v>9</v>
      </c>
      <c r="C315" s="9">
        <v>1916</v>
      </c>
      <c r="D315" s="10">
        <v>45646</v>
      </c>
      <c r="E315" s="13" t="str">
        <f>+HYPERLINK("http://trademark.i-assist.jp/data/china/image_1916th/80777099.pdf","80777099")</f>
        <v>80777099</v>
      </c>
      <c r="F315" s="9" t="s">
        <v>923</v>
      </c>
      <c r="G315" s="9" t="s">
        <v>903</v>
      </c>
      <c r="H315" s="9" t="s">
        <v>924</v>
      </c>
      <c r="I315" s="10">
        <v>45540</v>
      </c>
    </row>
    <row r="316" spans="1:9" x14ac:dyDescent="0.15">
      <c r="A316" s="9">
        <v>315</v>
      </c>
      <c r="B316" s="9" t="s">
        <v>9</v>
      </c>
      <c r="C316" s="9">
        <v>1916</v>
      </c>
      <c r="D316" s="10">
        <v>45646</v>
      </c>
      <c r="E316" s="13" t="str">
        <f>+HYPERLINK("http://trademark.i-assist.jp/data/china/image_1916th/80777116.pdf","80777116")</f>
        <v>80777116</v>
      </c>
      <c r="F316" s="9" t="s">
        <v>925</v>
      </c>
      <c r="G316" s="9" t="s">
        <v>903</v>
      </c>
      <c r="H316" s="12" t="s">
        <v>926</v>
      </c>
      <c r="I316" s="10">
        <v>45540</v>
      </c>
    </row>
    <row r="317" spans="1:9" x14ac:dyDescent="0.15">
      <c r="A317" s="9">
        <v>316</v>
      </c>
      <c r="B317" s="9" t="s">
        <v>9</v>
      </c>
      <c r="C317" s="9">
        <v>1916</v>
      </c>
      <c r="D317" s="10">
        <v>45646</v>
      </c>
      <c r="E317" s="13" t="str">
        <f>+HYPERLINK("http://trademark.i-assist.jp/data/china/image_1916th/80777640.pdf","80777640")</f>
        <v>80777640</v>
      </c>
      <c r="F317" s="9" t="s">
        <v>927</v>
      </c>
      <c r="G317" s="9" t="s">
        <v>14</v>
      </c>
      <c r="H317" s="9" t="s">
        <v>928</v>
      </c>
      <c r="I317" s="10">
        <v>45540</v>
      </c>
    </row>
    <row r="318" spans="1:9" x14ac:dyDescent="0.15">
      <c r="A318" s="9">
        <v>317</v>
      </c>
      <c r="B318" s="9" t="s">
        <v>9</v>
      </c>
      <c r="C318" s="9">
        <v>1916</v>
      </c>
      <c r="D318" s="10">
        <v>45646</v>
      </c>
      <c r="E318" s="13" t="str">
        <f>+HYPERLINK("http://trademark.i-assist.jp/data/china/image_1916th/80780380.pdf","80780380")</f>
        <v>80780380</v>
      </c>
      <c r="F318" s="9" t="s">
        <v>929</v>
      </c>
      <c r="G318" s="9" t="s">
        <v>930</v>
      </c>
      <c r="H318" s="12" t="s">
        <v>931</v>
      </c>
      <c r="I318" s="10">
        <v>45541</v>
      </c>
    </row>
    <row r="319" spans="1:9" x14ac:dyDescent="0.15">
      <c r="A319" s="9">
        <v>318</v>
      </c>
      <c r="B319" s="9" t="s">
        <v>9</v>
      </c>
      <c r="C319" s="9">
        <v>1916</v>
      </c>
      <c r="D319" s="10">
        <v>45646</v>
      </c>
      <c r="E319" s="13" t="str">
        <f>+HYPERLINK("http://trademark.i-assist.jp/data/china/image_1916th/80784468.pdf","80784468")</f>
        <v>80784468</v>
      </c>
      <c r="F319" s="12" t="s">
        <v>13</v>
      </c>
      <c r="G319" s="9" t="s">
        <v>932</v>
      </c>
      <c r="H319" s="9" t="s">
        <v>933</v>
      </c>
      <c r="I319" s="10">
        <v>45541</v>
      </c>
    </row>
    <row r="320" spans="1:9" x14ac:dyDescent="0.15">
      <c r="A320" s="9">
        <v>319</v>
      </c>
      <c r="B320" s="9" t="s">
        <v>9</v>
      </c>
      <c r="C320" s="9">
        <v>1916</v>
      </c>
      <c r="D320" s="10">
        <v>45646</v>
      </c>
      <c r="E320" s="13" t="str">
        <f>+HYPERLINK("http://trademark.i-assist.jp/data/china/image_1916th/80784643.pdf","80784643")</f>
        <v>80784643</v>
      </c>
      <c r="F320" s="11" t="s">
        <v>934</v>
      </c>
      <c r="G320" s="9" t="s">
        <v>935</v>
      </c>
      <c r="H320" s="9" t="s">
        <v>936</v>
      </c>
      <c r="I320" s="10">
        <v>45541</v>
      </c>
    </row>
    <row r="321" spans="1:9" x14ac:dyDescent="0.15">
      <c r="A321" s="9">
        <v>320</v>
      </c>
      <c r="B321" s="9" t="s">
        <v>9</v>
      </c>
      <c r="C321" s="9">
        <v>1916</v>
      </c>
      <c r="D321" s="10">
        <v>45646</v>
      </c>
      <c r="E321" s="13" t="str">
        <f>+HYPERLINK("http://trademark.i-assist.jp/data/china/image_1916th/80785644.pdf","80785644")</f>
        <v>80785644</v>
      </c>
      <c r="F321" s="12" t="s">
        <v>13</v>
      </c>
      <c r="G321" s="9" t="s">
        <v>121</v>
      </c>
      <c r="H321" s="12" t="s">
        <v>937</v>
      </c>
      <c r="I321" s="10">
        <v>45541</v>
      </c>
    </row>
    <row r="322" spans="1:9" x14ac:dyDescent="0.15">
      <c r="A322" s="9">
        <v>321</v>
      </c>
      <c r="B322" s="9" t="s">
        <v>9</v>
      </c>
      <c r="C322" s="9">
        <v>1916</v>
      </c>
      <c r="D322" s="10">
        <v>45646</v>
      </c>
      <c r="E322" s="13" t="str">
        <f>+HYPERLINK("http://trademark.i-assist.jp/data/china/image_1916th/80786713.pdf","80786713")</f>
        <v>80786713</v>
      </c>
      <c r="F322" s="12" t="s">
        <v>13</v>
      </c>
      <c r="G322" s="9" t="s">
        <v>938</v>
      </c>
      <c r="H322" s="9" t="s">
        <v>939</v>
      </c>
      <c r="I322" s="10">
        <v>45541</v>
      </c>
    </row>
    <row r="323" spans="1:9" x14ac:dyDescent="0.15">
      <c r="A323" s="9">
        <v>322</v>
      </c>
      <c r="B323" s="9" t="s">
        <v>9</v>
      </c>
      <c r="C323" s="9">
        <v>1916</v>
      </c>
      <c r="D323" s="10">
        <v>45646</v>
      </c>
      <c r="E323" s="13" t="str">
        <f>+HYPERLINK("http://trademark.i-assist.jp/data/china/image_1916th/80788933.pdf","80788933")</f>
        <v>80788933</v>
      </c>
      <c r="F323" s="9" t="s">
        <v>940</v>
      </c>
      <c r="G323" s="12" t="s">
        <v>16</v>
      </c>
      <c r="H323" s="9" t="s">
        <v>941</v>
      </c>
      <c r="I323" s="10">
        <v>45541</v>
      </c>
    </row>
    <row r="324" spans="1:9" x14ac:dyDescent="0.15">
      <c r="A324" s="9">
        <v>323</v>
      </c>
      <c r="B324" s="9" t="s">
        <v>9</v>
      </c>
      <c r="C324" s="9">
        <v>1916</v>
      </c>
      <c r="D324" s="10">
        <v>45646</v>
      </c>
      <c r="E324" s="13" t="str">
        <f>+HYPERLINK("http://trademark.i-assist.jp/data/china/image_1916th/80789703.pdf","80789703")</f>
        <v>80789703</v>
      </c>
      <c r="F324" s="9" t="s">
        <v>942</v>
      </c>
      <c r="G324" s="9" t="s">
        <v>943</v>
      </c>
      <c r="H324" s="9" t="s">
        <v>944</v>
      </c>
      <c r="I324" s="10">
        <v>45541</v>
      </c>
    </row>
    <row r="325" spans="1:9" x14ac:dyDescent="0.15">
      <c r="A325" s="9">
        <v>324</v>
      </c>
      <c r="B325" s="9" t="s">
        <v>9</v>
      </c>
      <c r="C325" s="9">
        <v>1916</v>
      </c>
      <c r="D325" s="10">
        <v>45646</v>
      </c>
      <c r="E325" s="13" t="str">
        <f>+HYPERLINK("http://trademark.i-assist.jp/data/china/image_1916th/80790275.pdf","80790275")</f>
        <v>80790275</v>
      </c>
      <c r="F325" s="9" t="s">
        <v>945</v>
      </c>
      <c r="G325" s="9" t="s">
        <v>946</v>
      </c>
      <c r="H325" s="9" t="s">
        <v>947</v>
      </c>
      <c r="I325" s="10">
        <v>45541</v>
      </c>
    </row>
    <row r="326" spans="1:9" x14ac:dyDescent="0.15">
      <c r="A326" s="9">
        <v>325</v>
      </c>
      <c r="B326" s="9" t="s">
        <v>9</v>
      </c>
      <c r="C326" s="9">
        <v>1916</v>
      </c>
      <c r="D326" s="10">
        <v>45646</v>
      </c>
      <c r="E326" s="13" t="str">
        <f>+HYPERLINK("http://trademark.i-assist.jp/data/china/image_1916th/80790409.pdf","80790409")</f>
        <v>80790409</v>
      </c>
      <c r="F326" s="9" t="s">
        <v>948</v>
      </c>
      <c r="G326" s="9" t="s">
        <v>949</v>
      </c>
      <c r="H326" s="12" t="s">
        <v>950</v>
      </c>
      <c r="I326" s="10">
        <v>45541</v>
      </c>
    </row>
    <row r="327" spans="1:9" x14ac:dyDescent="0.15">
      <c r="A327" s="9">
        <v>326</v>
      </c>
      <c r="B327" s="9" t="s">
        <v>9</v>
      </c>
      <c r="C327" s="9">
        <v>1916</v>
      </c>
      <c r="D327" s="10">
        <v>45646</v>
      </c>
      <c r="E327" s="13" t="str">
        <f>+HYPERLINK("http://trademark.i-assist.jp/data/china/image_1916th/80790692.pdf","80790692")</f>
        <v>80790692</v>
      </c>
      <c r="F327" s="9" t="s">
        <v>951</v>
      </c>
      <c r="G327" s="9" t="s">
        <v>952</v>
      </c>
      <c r="H327" s="9" t="s">
        <v>953</v>
      </c>
      <c r="I327" s="10">
        <v>45541</v>
      </c>
    </row>
    <row r="328" spans="1:9" x14ac:dyDescent="0.15">
      <c r="A328" s="9">
        <v>327</v>
      </c>
      <c r="B328" s="9" t="s">
        <v>9</v>
      </c>
      <c r="C328" s="9">
        <v>1916</v>
      </c>
      <c r="D328" s="10">
        <v>45646</v>
      </c>
      <c r="E328" s="13" t="str">
        <f>+HYPERLINK("http://trademark.i-assist.jp/data/china/image_1916th/80790960.pdf","80790960")</f>
        <v>80790960</v>
      </c>
      <c r="F328" s="12" t="s">
        <v>13</v>
      </c>
      <c r="G328" s="9" t="s">
        <v>954</v>
      </c>
      <c r="H328" s="9" t="s">
        <v>955</v>
      </c>
      <c r="I328" s="10">
        <v>45541</v>
      </c>
    </row>
    <row r="329" spans="1:9" x14ac:dyDescent="0.15">
      <c r="A329" s="9">
        <v>328</v>
      </c>
      <c r="B329" s="9" t="s">
        <v>9</v>
      </c>
      <c r="C329" s="9">
        <v>1916</v>
      </c>
      <c r="D329" s="10">
        <v>45646</v>
      </c>
      <c r="E329" s="13" t="str">
        <f>+HYPERLINK("http://trademark.i-assist.jp/data/china/image_1916th/80790990.pdf","80790990")</f>
        <v>80790990</v>
      </c>
      <c r="F329" s="12" t="s">
        <v>13</v>
      </c>
      <c r="G329" s="9" t="s">
        <v>954</v>
      </c>
      <c r="H329" s="9" t="s">
        <v>956</v>
      </c>
      <c r="I329" s="10">
        <v>45541</v>
      </c>
    </row>
    <row r="330" spans="1:9" x14ac:dyDescent="0.15">
      <c r="A330" s="9">
        <v>329</v>
      </c>
      <c r="B330" s="9" t="s">
        <v>9</v>
      </c>
      <c r="C330" s="9">
        <v>1916</v>
      </c>
      <c r="D330" s="10">
        <v>45646</v>
      </c>
      <c r="E330" s="13" t="str">
        <f>+HYPERLINK("http://trademark.i-assist.jp/data/china/image_1916th/80792249.pdf","80792249")</f>
        <v>80792249</v>
      </c>
      <c r="F330" s="12" t="s">
        <v>957</v>
      </c>
      <c r="G330" s="12" t="s">
        <v>958</v>
      </c>
      <c r="H330" s="9" t="s">
        <v>959</v>
      </c>
      <c r="I330" s="10">
        <v>45541</v>
      </c>
    </row>
    <row r="331" spans="1:9" x14ac:dyDescent="0.15">
      <c r="A331" s="9">
        <v>330</v>
      </c>
      <c r="B331" s="9" t="s">
        <v>9</v>
      </c>
      <c r="C331" s="9">
        <v>1916</v>
      </c>
      <c r="D331" s="10">
        <v>45646</v>
      </c>
      <c r="E331" s="13" t="str">
        <f>+HYPERLINK("http://trademark.i-assist.jp/data/china/image_1916th/80794426.pdf","80794426")</f>
        <v>80794426</v>
      </c>
      <c r="F331" s="12" t="s">
        <v>13</v>
      </c>
      <c r="G331" s="9" t="s">
        <v>954</v>
      </c>
      <c r="H331" s="9" t="s">
        <v>960</v>
      </c>
      <c r="I331" s="10">
        <v>45541</v>
      </c>
    </row>
    <row r="332" spans="1:9" x14ac:dyDescent="0.15">
      <c r="A332" s="9">
        <v>331</v>
      </c>
      <c r="B332" s="9" t="s">
        <v>9</v>
      </c>
      <c r="C332" s="9">
        <v>1916</v>
      </c>
      <c r="D332" s="10">
        <v>45646</v>
      </c>
      <c r="E332" s="13" t="str">
        <f>+HYPERLINK("http://trademark.i-assist.jp/data/china/image_1916th/80797001.pdf","80797001")</f>
        <v>80797001</v>
      </c>
      <c r="F332" s="12" t="s">
        <v>961</v>
      </c>
      <c r="G332" s="12" t="s">
        <v>16</v>
      </c>
      <c r="H332" s="9" t="s">
        <v>962</v>
      </c>
      <c r="I332" s="10">
        <v>45541</v>
      </c>
    </row>
    <row r="333" spans="1:9" x14ac:dyDescent="0.15">
      <c r="A333" s="9">
        <v>332</v>
      </c>
      <c r="B333" s="9" t="s">
        <v>9</v>
      </c>
      <c r="C333" s="9">
        <v>1916</v>
      </c>
      <c r="D333" s="10">
        <v>45646</v>
      </c>
      <c r="E333" s="13" t="str">
        <f>+HYPERLINK("http://trademark.i-assist.jp/data/china/image_1916th/80797554.pdf","80797554")</f>
        <v>80797554</v>
      </c>
      <c r="F333" s="12" t="s">
        <v>13</v>
      </c>
      <c r="G333" s="9" t="s">
        <v>954</v>
      </c>
      <c r="H333" s="9" t="s">
        <v>963</v>
      </c>
      <c r="I333" s="10">
        <v>45541</v>
      </c>
    </row>
    <row r="334" spans="1:9" x14ac:dyDescent="0.15">
      <c r="A334" s="9">
        <v>333</v>
      </c>
      <c r="B334" s="9" t="s">
        <v>9</v>
      </c>
      <c r="C334" s="9">
        <v>1916</v>
      </c>
      <c r="D334" s="10">
        <v>45646</v>
      </c>
      <c r="E334" s="13" t="str">
        <f>+HYPERLINK("http://trademark.i-assist.jp/data/china/image_1916th/80797939.pdf","80797939")</f>
        <v>80797939</v>
      </c>
      <c r="F334" s="9" t="s">
        <v>964</v>
      </c>
      <c r="G334" s="9" t="s">
        <v>965</v>
      </c>
      <c r="H334" s="9" t="s">
        <v>966</v>
      </c>
      <c r="I334" s="10">
        <v>45541</v>
      </c>
    </row>
    <row r="335" spans="1:9" x14ac:dyDescent="0.15">
      <c r="A335" s="9">
        <v>334</v>
      </c>
      <c r="B335" s="9" t="s">
        <v>9</v>
      </c>
      <c r="C335" s="9">
        <v>1916</v>
      </c>
      <c r="D335" s="10">
        <v>45646</v>
      </c>
      <c r="E335" s="13" t="str">
        <f>+HYPERLINK("http://trademark.i-assist.jp/data/china/image_1916th/80799527.pdf","80799527")</f>
        <v>80799527</v>
      </c>
      <c r="F335" s="12" t="s">
        <v>13</v>
      </c>
      <c r="G335" s="9" t="s">
        <v>954</v>
      </c>
      <c r="H335" s="9" t="s">
        <v>967</v>
      </c>
      <c r="I335" s="10">
        <v>45541</v>
      </c>
    </row>
    <row r="336" spans="1:9" x14ac:dyDescent="0.15">
      <c r="A336" s="9">
        <v>335</v>
      </c>
      <c r="B336" s="9" t="s">
        <v>9</v>
      </c>
      <c r="C336" s="9">
        <v>1916</v>
      </c>
      <c r="D336" s="10">
        <v>45646</v>
      </c>
      <c r="E336" s="13" t="str">
        <f>+HYPERLINK("http://trademark.i-assist.jp/data/china/image_1916th/80800290.pdf","80800290")</f>
        <v>80800290</v>
      </c>
      <c r="F336" s="12" t="s">
        <v>968</v>
      </c>
      <c r="G336" s="12" t="s">
        <v>969</v>
      </c>
      <c r="H336" s="9" t="s">
        <v>970</v>
      </c>
      <c r="I336" s="10">
        <v>45541</v>
      </c>
    </row>
    <row r="337" spans="1:9" x14ac:dyDescent="0.15">
      <c r="A337" s="9">
        <v>336</v>
      </c>
      <c r="B337" s="9" t="s">
        <v>9</v>
      </c>
      <c r="C337" s="9">
        <v>1916</v>
      </c>
      <c r="D337" s="10">
        <v>45646</v>
      </c>
      <c r="E337" s="13" t="str">
        <f>+HYPERLINK("http://trademark.i-assist.jp/data/china/image_1916th/80800339.pdf","80800339")</f>
        <v>80800339</v>
      </c>
      <c r="F337" s="9" t="s">
        <v>971</v>
      </c>
      <c r="G337" s="12" t="s">
        <v>48</v>
      </c>
      <c r="H337" s="9" t="s">
        <v>972</v>
      </c>
      <c r="I337" s="10">
        <v>45541</v>
      </c>
    </row>
    <row r="338" spans="1:9" x14ac:dyDescent="0.15">
      <c r="A338" s="9">
        <v>337</v>
      </c>
      <c r="B338" s="9" t="s">
        <v>9</v>
      </c>
      <c r="C338" s="9">
        <v>1916</v>
      </c>
      <c r="D338" s="10">
        <v>45646</v>
      </c>
      <c r="E338" s="13" t="str">
        <f>+HYPERLINK("http://trademark.i-assist.jp/data/china/image_1916th/80804787.pdf","80804787")</f>
        <v>80804787</v>
      </c>
      <c r="F338" s="9" t="s">
        <v>973</v>
      </c>
      <c r="G338" s="12" t="s">
        <v>974</v>
      </c>
      <c r="H338" s="9" t="s">
        <v>975</v>
      </c>
      <c r="I338" s="10">
        <v>45542</v>
      </c>
    </row>
    <row r="339" spans="1:9" x14ac:dyDescent="0.15">
      <c r="A339" s="9">
        <v>338</v>
      </c>
      <c r="B339" s="9" t="s">
        <v>9</v>
      </c>
      <c r="C339" s="9">
        <v>1916</v>
      </c>
      <c r="D339" s="10">
        <v>45646</v>
      </c>
      <c r="E339" s="13" t="str">
        <f>+HYPERLINK("http://trademark.i-assist.jp/data/china/image_1916th/80805603.pdf","80805603")</f>
        <v>80805603</v>
      </c>
      <c r="F339" s="9" t="s">
        <v>976</v>
      </c>
      <c r="G339" s="9" t="s">
        <v>977</v>
      </c>
      <c r="H339" s="9" t="s">
        <v>978</v>
      </c>
      <c r="I339" s="10">
        <v>45542</v>
      </c>
    </row>
    <row r="340" spans="1:9" x14ac:dyDescent="0.15">
      <c r="A340" s="9">
        <v>339</v>
      </c>
      <c r="B340" s="9" t="s">
        <v>9</v>
      </c>
      <c r="C340" s="9">
        <v>1916</v>
      </c>
      <c r="D340" s="10">
        <v>45646</v>
      </c>
      <c r="E340" s="13" t="str">
        <f>+HYPERLINK("http://trademark.i-assist.jp/data/china/image_1916th/80806666.pdf","80806666")</f>
        <v>80806666</v>
      </c>
      <c r="F340" s="9" t="s">
        <v>979</v>
      </c>
      <c r="G340" s="12" t="s">
        <v>980</v>
      </c>
      <c r="H340" s="9" t="s">
        <v>981</v>
      </c>
      <c r="I340" s="10">
        <v>45543</v>
      </c>
    </row>
    <row r="341" spans="1:9" x14ac:dyDescent="0.15">
      <c r="A341" s="9">
        <v>340</v>
      </c>
      <c r="B341" s="9" t="s">
        <v>9</v>
      </c>
      <c r="C341" s="9">
        <v>1916</v>
      </c>
      <c r="D341" s="10">
        <v>45646</v>
      </c>
      <c r="E341" s="13" t="str">
        <f>+HYPERLINK("http://trademark.i-assist.jp/data/china/image_1916th/80808331.pdf","80808331")</f>
        <v>80808331</v>
      </c>
      <c r="F341" s="9" t="s">
        <v>982</v>
      </c>
      <c r="G341" s="9" t="s">
        <v>983</v>
      </c>
      <c r="H341" s="12" t="s">
        <v>984</v>
      </c>
      <c r="I341" s="10">
        <v>45543</v>
      </c>
    </row>
    <row r="342" spans="1:9" x14ac:dyDescent="0.15">
      <c r="A342" s="9">
        <v>341</v>
      </c>
      <c r="B342" s="9" t="s">
        <v>9</v>
      </c>
      <c r="C342" s="9">
        <v>1916</v>
      </c>
      <c r="D342" s="10">
        <v>45646</v>
      </c>
      <c r="E342" s="13" t="str">
        <f>+HYPERLINK("http://trademark.i-assist.jp/data/china/image_1916th/80808359.pdf","80808359")</f>
        <v>80808359</v>
      </c>
      <c r="F342" s="12" t="s">
        <v>985</v>
      </c>
      <c r="G342" s="9" t="s">
        <v>986</v>
      </c>
      <c r="H342" s="9" t="s">
        <v>987</v>
      </c>
      <c r="I342" s="10">
        <v>45543</v>
      </c>
    </row>
    <row r="343" spans="1:9" x14ac:dyDescent="0.15">
      <c r="A343" s="9">
        <v>342</v>
      </c>
      <c r="B343" s="9" t="s">
        <v>9</v>
      </c>
      <c r="C343" s="9">
        <v>1916</v>
      </c>
      <c r="D343" s="10">
        <v>45646</v>
      </c>
      <c r="E343" s="13" t="str">
        <f>+HYPERLINK("http://trademark.i-assist.jp/data/china/image_1916th/80809587.pdf","80809587")</f>
        <v>80809587</v>
      </c>
      <c r="F343" s="9" t="s">
        <v>988</v>
      </c>
      <c r="G343" s="9" t="s">
        <v>989</v>
      </c>
      <c r="H343" s="9" t="s">
        <v>990</v>
      </c>
      <c r="I343" s="10">
        <v>45544</v>
      </c>
    </row>
    <row r="344" spans="1:9" x14ac:dyDescent="0.15">
      <c r="A344" s="9">
        <v>343</v>
      </c>
      <c r="B344" s="9" t="s">
        <v>9</v>
      </c>
      <c r="C344" s="9">
        <v>1916</v>
      </c>
      <c r="D344" s="10">
        <v>45646</v>
      </c>
      <c r="E344" s="13" t="str">
        <f>+HYPERLINK("http://trademark.i-assist.jp/data/china/image_1916th/80809819.pdf","80809819")</f>
        <v>80809819</v>
      </c>
      <c r="F344" s="12" t="s">
        <v>991</v>
      </c>
      <c r="G344" s="12" t="s">
        <v>992</v>
      </c>
      <c r="H344" s="12" t="s">
        <v>993</v>
      </c>
      <c r="I344" s="10">
        <v>45544</v>
      </c>
    </row>
    <row r="345" spans="1:9" x14ac:dyDescent="0.15">
      <c r="A345" s="9">
        <v>344</v>
      </c>
      <c r="B345" s="9" t="s">
        <v>9</v>
      </c>
      <c r="C345" s="9">
        <v>1916</v>
      </c>
      <c r="D345" s="10">
        <v>45646</v>
      </c>
      <c r="E345" s="13" t="str">
        <f>+HYPERLINK("http://trademark.i-assist.jp/data/china/image_1916th/80811715.pdf","80811715")</f>
        <v>80811715</v>
      </c>
      <c r="F345" s="9" t="s">
        <v>994</v>
      </c>
      <c r="G345" s="9" t="s">
        <v>995</v>
      </c>
      <c r="H345" s="9" t="s">
        <v>996</v>
      </c>
      <c r="I345" s="10">
        <v>45544</v>
      </c>
    </row>
    <row r="346" spans="1:9" x14ac:dyDescent="0.15">
      <c r="A346" s="9">
        <v>345</v>
      </c>
      <c r="B346" s="9" t="s">
        <v>9</v>
      </c>
      <c r="C346" s="9">
        <v>1916</v>
      </c>
      <c r="D346" s="10">
        <v>45646</v>
      </c>
      <c r="E346" s="13" t="str">
        <f>+HYPERLINK("http://trademark.i-assist.jp/data/china/image_1916th/80813318.pdf","80813318")</f>
        <v>80813318</v>
      </c>
      <c r="F346" s="9" t="s">
        <v>997</v>
      </c>
      <c r="G346" s="9" t="s">
        <v>998</v>
      </c>
      <c r="H346" s="12" t="s">
        <v>999</v>
      </c>
      <c r="I346" s="10">
        <v>45544</v>
      </c>
    </row>
    <row r="347" spans="1:9" x14ac:dyDescent="0.15">
      <c r="A347" s="9">
        <v>346</v>
      </c>
      <c r="B347" s="9" t="s">
        <v>9</v>
      </c>
      <c r="C347" s="9">
        <v>1916</v>
      </c>
      <c r="D347" s="10">
        <v>45646</v>
      </c>
      <c r="E347" s="13" t="str">
        <f>+HYPERLINK("http://trademark.i-assist.jp/data/china/image_1916th/80813418.pdf","80813418")</f>
        <v>80813418</v>
      </c>
      <c r="F347" s="9" t="s">
        <v>1000</v>
      </c>
      <c r="G347" s="9" t="s">
        <v>1001</v>
      </c>
      <c r="H347" s="9" t="s">
        <v>1002</v>
      </c>
      <c r="I347" s="10">
        <v>45544</v>
      </c>
    </row>
    <row r="348" spans="1:9" x14ac:dyDescent="0.15">
      <c r="A348" s="9">
        <v>347</v>
      </c>
      <c r="B348" s="9" t="s">
        <v>9</v>
      </c>
      <c r="C348" s="9">
        <v>1916</v>
      </c>
      <c r="D348" s="10">
        <v>45646</v>
      </c>
      <c r="E348" s="13" t="str">
        <f>+HYPERLINK("http://trademark.i-assist.jp/data/china/image_1916th/80813744.pdf","80813744")</f>
        <v>80813744</v>
      </c>
      <c r="F348" s="9" t="s">
        <v>1003</v>
      </c>
      <c r="G348" s="9" t="s">
        <v>1004</v>
      </c>
      <c r="H348" s="9" t="s">
        <v>1005</v>
      </c>
      <c r="I348" s="10">
        <v>45544</v>
      </c>
    </row>
    <row r="349" spans="1:9" x14ac:dyDescent="0.15">
      <c r="A349" s="9">
        <v>348</v>
      </c>
      <c r="B349" s="9" t="s">
        <v>9</v>
      </c>
      <c r="C349" s="9">
        <v>1916</v>
      </c>
      <c r="D349" s="10">
        <v>45646</v>
      </c>
      <c r="E349" s="13" t="str">
        <f>+HYPERLINK("http://trademark.i-assist.jp/data/china/image_1916th/80814620.pdf","80814620")</f>
        <v>80814620</v>
      </c>
      <c r="F349" s="9" t="s">
        <v>1006</v>
      </c>
      <c r="G349" s="12" t="s">
        <v>1007</v>
      </c>
      <c r="H349" s="9" t="s">
        <v>1008</v>
      </c>
      <c r="I349" s="10">
        <v>45544</v>
      </c>
    </row>
    <row r="350" spans="1:9" x14ac:dyDescent="0.15">
      <c r="A350" s="9">
        <v>349</v>
      </c>
      <c r="B350" s="9" t="s">
        <v>9</v>
      </c>
      <c r="C350" s="9">
        <v>1916</v>
      </c>
      <c r="D350" s="10">
        <v>45646</v>
      </c>
      <c r="E350" s="13" t="str">
        <f>+HYPERLINK("http://trademark.i-assist.jp/data/china/image_1916th/80815678.pdf","80815678")</f>
        <v>80815678</v>
      </c>
      <c r="F350" s="9" t="s">
        <v>1009</v>
      </c>
      <c r="G350" s="12" t="s">
        <v>1010</v>
      </c>
      <c r="H350" s="9" t="s">
        <v>1011</v>
      </c>
      <c r="I350" s="10">
        <v>45544</v>
      </c>
    </row>
    <row r="351" spans="1:9" x14ac:dyDescent="0.15">
      <c r="A351" s="9">
        <v>350</v>
      </c>
      <c r="B351" s="9" t="s">
        <v>9</v>
      </c>
      <c r="C351" s="9">
        <v>1916</v>
      </c>
      <c r="D351" s="10">
        <v>45646</v>
      </c>
      <c r="E351" s="13" t="str">
        <f>+HYPERLINK("http://trademark.i-assist.jp/data/china/image_1916th/80816188.pdf","80816188")</f>
        <v>80816188</v>
      </c>
      <c r="F351" s="12" t="s">
        <v>1012</v>
      </c>
      <c r="G351" s="9" t="s">
        <v>998</v>
      </c>
      <c r="H351" s="9" t="s">
        <v>1013</v>
      </c>
      <c r="I351" s="10">
        <v>45544</v>
      </c>
    </row>
    <row r="352" spans="1:9" x14ac:dyDescent="0.15">
      <c r="A352" s="9">
        <v>351</v>
      </c>
      <c r="B352" s="9" t="s">
        <v>9</v>
      </c>
      <c r="C352" s="9">
        <v>1916</v>
      </c>
      <c r="D352" s="10">
        <v>45646</v>
      </c>
      <c r="E352" s="13" t="str">
        <f>+HYPERLINK("http://trademark.i-assist.jp/data/china/image_1916th/80816919.pdf","80816919")</f>
        <v>80816919</v>
      </c>
      <c r="F352" s="9" t="s">
        <v>1014</v>
      </c>
      <c r="G352" s="12" t="s">
        <v>1015</v>
      </c>
      <c r="H352" s="9" t="s">
        <v>1016</v>
      </c>
      <c r="I352" s="10">
        <v>45544</v>
      </c>
    </row>
    <row r="353" spans="1:9" x14ac:dyDescent="0.15">
      <c r="A353" s="9">
        <v>352</v>
      </c>
      <c r="B353" s="9" t="s">
        <v>9</v>
      </c>
      <c r="C353" s="9">
        <v>1916</v>
      </c>
      <c r="D353" s="10">
        <v>45646</v>
      </c>
      <c r="E353" s="13" t="str">
        <f>+HYPERLINK("http://trademark.i-assist.jp/data/china/image_1916th/80817456.pdf","80817456")</f>
        <v>80817456</v>
      </c>
      <c r="F353" s="9" t="s">
        <v>1017</v>
      </c>
      <c r="G353" s="9" t="s">
        <v>1018</v>
      </c>
      <c r="H353" s="9" t="s">
        <v>1019</v>
      </c>
      <c r="I353" s="10">
        <v>45544</v>
      </c>
    </row>
    <row r="354" spans="1:9" x14ac:dyDescent="0.15">
      <c r="A354" s="9">
        <v>353</v>
      </c>
      <c r="B354" s="9" t="s">
        <v>9</v>
      </c>
      <c r="C354" s="9">
        <v>1916</v>
      </c>
      <c r="D354" s="10">
        <v>45646</v>
      </c>
      <c r="E354" s="13" t="str">
        <f>+HYPERLINK("http://trademark.i-assist.jp/data/china/image_1916th/80818157.pdf","80818157")</f>
        <v>80818157</v>
      </c>
      <c r="F354" s="9" t="s">
        <v>1020</v>
      </c>
      <c r="G354" s="12" t="s">
        <v>1021</v>
      </c>
      <c r="H354" s="9" t="s">
        <v>1022</v>
      </c>
      <c r="I354" s="10">
        <v>45544</v>
      </c>
    </row>
    <row r="355" spans="1:9" x14ac:dyDescent="0.15">
      <c r="A355" s="9">
        <v>354</v>
      </c>
      <c r="B355" s="9" t="s">
        <v>9</v>
      </c>
      <c r="C355" s="9">
        <v>1916</v>
      </c>
      <c r="D355" s="10">
        <v>45646</v>
      </c>
      <c r="E355" s="13" t="str">
        <f>+HYPERLINK("http://trademark.i-assist.jp/data/china/image_1916th/80818289.pdf","80818289")</f>
        <v>80818289</v>
      </c>
      <c r="F355" s="9" t="s">
        <v>1023</v>
      </c>
      <c r="G355" s="9" t="s">
        <v>1024</v>
      </c>
      <c r="H355" s="9" t="s">
        <v>1025</v>
      </c>
      <c r="I355" s="10">
        <v>45544</v>
      </c>
    </row>
    <row r="356" spans="1:9" x14ac:dyDescent="0.15">
      <c r="A356" s="9">
        <v>355</v>
      </c>
      <c r="B356" s="9" t="s">
        <v>9</v>
      </c>
      <c r="C356" s="9">
        <v>1916</v>
      </c>
      <c r="D356" s="10">
        <v>45646</v>
      </c>
      <c r="E356" s="13" t="str">
        <f>+HYPERLINK("http://trademark.i-assist.jp/data/china/image_1916th/80818740.pdf","80818740")</f>
        <v>80818740</v>
      </c>
      <c r="F356" s="9" t="s">
        <v>1026</v>
      </c>
      <c r="G356" s="9" t="s">
        <v>998</v>
      </c>
      <c r="H356" s="9" t="s">
        <v>1027</v>
      </c>
      <c r="I356" s="10">
        <v>45544</v>
      </c>
    </row>
    <row r="357" spans="1:9" x14ac:dyDescent="0.15">
      <c r="A357" s="9">
        <v>356</v>
      </c>
      <c r="B357" s="9" t="s">
        <v>9</v>
      </c>
      <c r="C357" s="9">
        <v>1916</v>
      </c>
      <c r="D357" s="10">
        <v>45646</v>
      </c>
      <c r="E357" s="13" t="str">
        <f>+HYPERLINK("http://trademark.i-assist.jp/data/china/image_1916th/80818746.pdf","80818746")</f>
        <v>80818746</v>
      </c>
      <c r="F357" s="9" t="s">
        <v>1028</v>
      </c>
      <c r="G357" s="9" t="s">
        <v>998</v>
      </c>
      <c r="H357" s="9" t="s">
        <v>1029</v>
      </c>
      <c r="I357" s="10">
        <v>45544</v>
      </c>
    </row>
    <row r="358" spans="1:9" x14ac:dyDescent="0.15">
      <c r="A358" s="9">
        <v>357</v>
      </c>
      <c r="B358" s="9" t="s">
        <v>9</v>
      </c>
      <c r="C358" s="9">
        <v>1916</v>
      </c>
      <c r="D358" s="10">
        <v>45646</v>
      </c>
      <c r="E358" s="13" t="str">
        <f>+HYPERLINK("http://trademark.i-assist.jp/data/china/image_1916th/80818755.pdf","80818755")</f>
        <v>80818755</v>
      </c>
      <c r="F358" s="12" t="s">
        <v>1030</v>
      </c>
      <c r="G358" s="9" t="s">
        <v>998</v>
      </c>
      <c r="H358" s="9" t="s">
        <v>1031</v>
      </c>
      <c r="I358" s="10">
        <v>45544</v>
      </c>
    </row>
    <row r="359" spans="1:9" x14ac:dyDescent="0.15">
      <c r="A359" s="9">
        <v>358</v>
      </c>
      <c r="B359" s="9" t="s">
        <v>9</v>
      </c>
      <c r="C359" s="9">
        <v>1916</v>
      </c>
      <c r="D359" s="10">
        <v>45646</v>
      </c>
      <c r="E359" s="13" t="str">
        <f>+HYPERLINK("http://trademark.i-assist.jp/data/china/image_1916th/80819593.pdf","80819593")</f>
        <v>80819593</v>
      </c>
      <c r="F359" s="9" t="s">
        <v>1032</v>
      </c>
      <c r="G359" s="9" t="s">
        <v>1033</v>
      </c>
      <c r="H359" s="9" t="s">
        <v>1034</v>
      </c>
      <c r="I359" s="10">
        <v>45544</v>
      </c>
    </row>
    <row r="360" spans="1:9" x14ac:dyDescent="0.15">
      <c r="A360" s="9">
        <v>359</v>
      </c>
      <c r="B360" s="9" t="s">
        <v>9</v>
      </c>
      <c r="C360" s="9">
        <v>1916</v>
      </c>
      <c r="D360" s="10">
        <v>45646</v>
      </c>
      <c r="E360" s="13" t="str">
        <f>+HYPERLINK("http://trademark.i-assist.jp/data/china/image_1916th/80819654.pdf","80819654")</f>
        <v>80819654</v>
      </c>
      <c r="F360" s="9" t="s">
        <v>1035</v>
      </c>
      <c r="G360" s="9" t="s">
        <v>998</v>
      </c>
      <c r="H360" s="9" t="s">
        <v>1036</v>
      </c>
      <c r="I360" s="10">
        <v>45544</v>
      </c>
    </row>
    <row r="361" spans="1:9" x14ac:dyDescent="0.15">
      <c r="A361" s="9">
        <v>360</v>
      </c>
      <c r="B361" s="9" t="s">
        <v>9</v>
      </c>
      <c r="C361" s="9">
        <v>1916</v>
      </c>
      <c r="D361" s="10">
        <v>45646</v>
      </c>
      <c r="E361" s="13" t="str">
        <f>+HYPERLINK("http://trademark.i-assist.jp/data/china/image_1916th/80819783.pdf","80819783")</f>
        <v>80819783</v>
      </c>
      <c r="F361" s="9" t="s">
        <v>1037</v>
      </c>
      <c r="G361" s="9" t="s">
        <v>1038</v>
      </c>
      <c r="H361" s="9" t="s">
        <v>1039</v>
      </c>
      <c r="I361" s="10">
        <v>45544</v>
      </c>
    </row>
    <row r="362" spans="1:9" x14ac:dyDescent="0.15">
      <c r="A362" s="9">
        <v>361</v>
      </c>
      <c r="B362" s="9" t="s">
        <v>9</v>
      </c>
      <c r="C362" s="9">
        <v>1916</v>
      </c>
      <c r="D362" s="10">
        <v>45646</v>
      </c>
      <c r="E362" s="13" t="str">
        <f>+HYPERLINK("http://trademark.i-assist.jp/data/china/image_1916th/80822029.pdf","80822029")</f>
        <v>80822029</v>
      </c>
      <c r="F362" s="9" t="s">
        <v>1040</v>
      </c>
      <c r="G362" s="9" t="s">
        <v>998</v>
      </c>
      <c r="H362" s="9" t="s">
        <v>1041</v>
      </c>
      <c r="I362" s="10">
        <v>45544</v>
      </c>
    </row>
    <row r="363" spans="1:9" x14ac:dyDescent="0.15">
      <c r="A363" s="9">
        <v>362</v>
      </c>
      <c r="B363" s="9" t="s">
        <v>9</v>
      </c>
      <c r="C363" s="9">
        <v>1916</v>
      </c>
      <c r="D363" s="10">
        <v>45646</v>
      </c>
      <c r="E363" s="13" t="str">
        <f>+HYPERLINK("http://trademark.i-assist.jp/data/china/image_1916th/80823208.pdf","80823208")</f>
        <v>80823208</v>
      </c>
      <c r="F363" s="12" t="s">
        <v>13</v>
      </c>
      <c r="G363" s="9" t="s">
        <v>954</v>
      </c>
      <c r="H363" s="9" t="s">
        <v>1042</v>
      </c>
      <c r="I363" s="10">
        <v>45544</v>
      </c>
    </row>
    <row r="364" spans="1:9" x14ac:dyDescent="0.15">
      <c r="A364" s="9">
        <v>363</v>
      </c>
      <c r="B364" s="9" t="s">
        <v>9</v>
      </c>
      <c r="C364" s="9">
        <v>1916</v>
      </c>
      <c r="D364" s="10">
        <v>45646</v>
      </c>
      <c r="E364" s="13" t="str">
        <f>+HYPERLINK("http://trademark.i-assist.jp/data/china/image_1916th/80823385.pdf","80823385")</f>
        <v>80823385</v>
      </c>
      <c r="F364" s="9" t="s">
        <v>1043</v>
      </c>
      <c r="G364" s="12" t="s">
        <v>1044</v>
      </c>
      <c r="H364" s="9" t="s">
        <v>1045</v>
      </c>
      <c r="I364" s="10">
        <v>45544</v>
      </c>
    </row>
    <row r="365" spans="1:9" x14ac:dyDescent="0.15">
      <c r="A365" s="9">
        <v>364</v>
      </c>
      <c r="B365" s="9" t="s">
        <v>9</v>
      </c>
      <c r="C365" s="9">
        <v>1916</v>
      </c>
      <c r="D365" s="10">
        <v>45646</v>
      </c>
      <c r="E365" s="13" t="str">
        <f>+HYPERLINK("http://trademark.i-assist.jp/data/china/image_1916th/80823899.pdf","80823899")</f>
        <v>80823899</v>
      </c>
      <c r="F365" s="9" t="s">
        <v>1046</v>
      </c>
      <c r="G365" s="9" t="s">
        <v>1047</v>
      </c>
      <c r="H365" s="9" t="s">
        <v>1048</v>
      </c>
      <c r="I365" s="10">
        <v>45544</v>
      </c>
    </row>
    <row r="366" spans="1:9" x14ac:dyDescent="0.15">
      <c r="A366" s="9">
        <v>365</v>
      </c>
      <c r="B366" s="9" t="s">
        <v>9</v>
      </c>
      <c r="C366" s="9">
        <v>1916</v>
      </c>
      <c r="D366" s="10">
        <v>45646</v>
      </c>
      <c r="E366" s="13" t="str">
        <f>+HYPERLINK("http://trademark.i-assist.jp/data/china/image_1916th/80825034.pdf","80825034")</f>
        <v>80825034</v>
      </c>
      <c r="F366" s="9" t="s">
        <v>1049</v>
      </c>
      <c r="G366" s="9" t="s">
        <v>1050</v>
      </c>
      <c r="H366" s="9" t="s">
        <v>1051</v>
      </c>
      <c r="I366" s="10">
        <v>45544</v>
      </c>
    </row>
    <row r="367" spans="1:9" x14ac:dyDescent="0.15">
      <c r="A367" s="9">
        <v>366</v>
      </c>
      <c r="B367" s="9" t="s">
        <v>9</v>
      </c>
      <c r="C367" s="9">
        <v>1916</v>
      </c>
      <c r="D367" s="10">
        <v>45646</v>
      </c>
      <c r="E367" s="13" t="str">
        <f>+HYPERLINK("http://trademark.i-assist.jp/data/china/image_1916th/80825464.pdf","80825464")</f>
        <v>80825464</v>
      </c>
      <c r="F367" s="9" t="s">
        <v>1052</v>
      </c>
      <c r="G367" s="9" t="s">
        <v>1053</v>
      </c>
      <c r="H367" s="9" t="s">
        <v>1054</v>
      </c>
      <c r="I367" s="10">
        <v>45544</v>
      </c>
    </row>
    <row r="368" spans="1:9" x14ac:dyDescent="0.15">
      <c r="A368" s="9">
        <v>367</v>
      </c>
      <c r="B368" s="9" t="s">
        <v>9</v>
      </c>
      <c r="C368" s="9">
        <v>1916</v>
      </c>
      <c r="D368" s="10">
        <v>45646</v>
      </c>
      <c r="E368" s="13" t="str">
        <f>+HYPERLINK("http://trademark.i-assist.jp/data/china/image_1916th/80826643.pdf","80826643")</f>
        <v>80826643</v>
      </c>
      <c r="F368" s="9" t="s">
        <v>1055</v>
      </c>
      <c r="G368" s="9" t="s">
        <v>1056</v>
      </c>
      <c r="H368" s="9" t="s">
        <v>1057</v>
      </c>
      <c r="I368" s="10">
        <v>45544</v>
      </c>
    </row>
    <row r="369" spans="1:9" x14ac:dyDescent="0.15">
      <c r="A369" s="9">
        <v>368</v>
      </c>
      <c r="B369" s="9" t="s">
        <v>9</v>
      </c>
      <c r="C369" s="9">
        <v>1916</v>
      </c>
      <c r="D369" s="10">
        <v>45646</v>
      </c>
      <c r="E369" s="13" t="str">
        <f>+HYPERLINK("http://trademark.i-assist.jp/data/china/image_1916th/80826977.pdf","80826977")</f>
        <v>80826977</v>
      </c>
      <c r="F369" s="9" t="s">
        <v>1058</v>
      </c>
      <c r="G369" s="9" t="s">
        <v>1053</v>
      </c>
      <c r="H369" s="9" t="s">
        <v>1059</v>
      </c>
      <c r="I369" s="10">
        <v>45544</v>
      </c>
    </row>
    <row r="370" spans="1:9" x14ac:dyDescent="0.15">
      <c r="A370" s="9">
        <v>369</v>
      </c>
      <c r="B370" s="9" t="s">
        <v>9</v>
      </c>
      <c r="C370" s="9">
        <v>1916</v>
      </c>
      <c r="D370" s="10">
        <v>45646</v>
      </c>
      <c r="E370" s="13" t="str">
        <f>+HYPERLINK("http://trademark.i-assist.jp/data/china/image_1916th/80827715.pdf","80827715")</f>
        <v>80827715</v>
      </c>
      <c r="F370" s="9" t="s">
        <v>1060</v>
      </c>
      <c r="G370" s="12" t="s">
        <v>1061</v>
      </c>
      <c r="H370" s="9" t="s">
        <v>1062</v>
      </c>
      <c r="I370" s="10">
        <v>45544</v>
      </c>
    </row>
    <row r="371" spans="1:9" x14ac:dyDescent="0.15">
      <c r="A371" s="9">
        <v>370</v>
      </c>
      <c r="B371" s="9" t="s">
        <v>9</v>
      </c>
      <c r="C371" s="9">
        <v>1916</v>
      </c>
      <c r="D371" s="10">
        <v>45646</v>
      </c>
      <c r="E371" s="13" t="str">
        <f>+HYPERLINK("http://trademark.i-assist.jp/data/china/image_1916th/80827805.pdf","80827805")</f>
        <v>80827805</v>
      </c>
      <c r="F371" s="9" t="s">
        <v>1063</v>
      </c>
      <c r="G371" s="9" t="s">
        <v>1064</v>
      </c>
      <c r="H371" s="9" t="s">
        <v>1065</v>
      </c>
      <c r="I371" s="10">
        <v>45544</v>
      </c>
    </row>
    <row r="372" spans="1:9" x14ac:dyDescent="0.15">
      <c r="A372" s="9">
        <v>371</v>
      </c>
      <c r="B372" s="9" t="s">
        <v>9</v>
      </c>
      <c r="C372" s="9">
        <v>1916</v>
      </c>
      <c r="D372" s="10">
        <v>45646</v>
      </c>
      <c r="E372" s="13" t="str">
        <f>+HYPERLINK("http://trademark.i-assist.jp/data/china/image_1916th/80827979.pdf","80827979")</f>
        <v>80827979</v>
      </c>
      <c r="F372" s="12" t="s">
        <v>1066</v>
      </c>
      <c r="G372" s="9" t="s">
        <v>1067</v>
      </c>
      <c r="H372" s="9" t="s">
        <v>1068</v>
      </c>
      <c r="I372" s="10">
        <v>45544</v>
      </c>
    </row>
    <row r="373" spans="1:9" x14ac:dyDescent="0.15">
      <c r="A373" s="9">
        <v>372</v>
      </c>
      <c r="B373" s="9" t="s">
        <v>9</v>
      </c>
      <c r="C373" s="9">
        <v>1916</v>
      </c>
      <c r="D373" s="10">
        <v>45646</v>
      </c>
      <c r="E373" s="13" t="str">
        <f>+HYPERLINK("http://trademark.i-assist.jp/data/china/image_1916th/80829924.pdf","80829924")</f>
        <v>80829924</v>
      </c>
      <c r="F373" s="9" t="s">
        <v>1069</v>
      </c>
      <c r="G373" s="12" t="s">
        <v>57</v>
      </c>
      <c r="H373" s="9" t="s">
        <v>1070</v>
      </c>
      <c r="I373" s="10">
        <v>45544</v>
      </c>
    </row>
    <row r="374" spans="1:9" x14ac:dyDescent="0.15">
      <c r="A374" s="9">
        <v>373</v>
      </c>
      <c r="B374" s="9" t="s">
        <v>9</v>
      </c>
      <c r="C374" s="9">
        <v>1916</v>
      </c>
      <c r="D374" s="10">
        <v>45646</v>
      </c>
      <c r="E374" s="13" t="str">
        <f>+HYPERLINK("http://trademark.i-assist.jp/data/china/image_1916th/80832843.pdf","80832843")</f>
        <v>80832843</v>
      </c>
      <c r="F374" s="9" t="s">
        <v>1071</v>
      </c>
      <c r="G374" s="9" t="s">
        <v>1072</v>
      </c>
      <c r="H374" s="9" t="s">
        <v>1073</v>
      </c>
      <c r="I374" s="10">
        <v>45544</v>
      </c>
    </row>
    <row r="375" spans="1:9" x14ac:dyDescent="0.15">
      <c r="A375" s="9">
        <v>374</v>
      </c>
      <c r="B375" s="9" t="s">
        <v>9</v>
      </c>
      <c r="C375" s="9">
        <v>1916</v>
      </c>
      <c r="D375" s="10">
        <v>45646</v>
      </c>
      <c r="E375" s="13" t="str">
        <f>+HYPERLINK("http://trademark.i-assist.jp/data/china/image_1916th/80833194.pdf","80833194")</f>
        <v>80833194</v>
      </c>
      <c r="F375" s="9" t="s">
        <v>1074</v>
      </c>
      <c r="G375" s="9" t="s">
        <v>1075</v>
      </c>
      <c r="H375" s="9" t="s">
        <v>1076</v>
      </c>
      <c r="I375" s="10">
        <v>45544</v>
      </c>
    </row>
    <row r="376" spans="1:9" x14ac:dyDescent="0.15">
      <c r="A376" s="9">
        <v>375</v>
      </c>
      <c r="B376" s="9" t="s">
        <v>9</v>
      </c>
      <c r="C376" s="9">
        <v>1916</v>
      </c>
      <c r="D376" s="10">
        <v>45646</v>
      </c>
      <c r="E376" s="13" t="str">
        <f>+HYPERLINK("http://trademark.i-assist.jp/data/china/image_1916th/80833277.pdf","80833277")</f>
        <v>80833277</v>
      </c>
      <c r="F376" s="9" t="s">
        <v>1077</v>
      </c>
      <c r="G376" s="9" t="s">
        <v>1078</v>
      </c>
      <c r="H376" s="9" t="s">
        <v>1079</v>
      </c>
      <c r="I376" s="10">
        <v>45544</v>
      </c>
    </row>
    <row r="377" spans="1:9" x14ac:dyDescent="0.15">
      <c r="A377" s="9">
        <v>376</v>
      </c>
      <c r="B377" s="9" t="s">
        <v>9</v>
      </c>
      <c r="C377" s="9">
        <v>1916</v>
      </c>
      <c r="D377" s="10">
        <v>45646</v>
      </c>
      <c r="E377" s="13" t="str">
        <f>+HYPERLINK("http://trademark.i-assist.jp/data/china/image_1916th/80833354.pdf","80833354")</f>
        <v>80833354</v>
      </c>
      <c r="F377" s="12" t="s">
        <v>1080</v>
      </c>
      <c r="G377" s="9" t="s">
        <v>1081</v>
      </c>
      <c r="H377" s="9" t="s">
        <v>1082</v>
      </c>
      <c r="I377" s="10">
        <v>45544</v>
      </c>
    </row>
    <row r="378" spans="1:9" x14ac:dyDescent="0.15">
      <c r="A378" s="9">
        <v>377</v>
      </c>
      <c r="B378" s="9" t="s">
        <v>9</v>
      </c>
      <c r="C378" s="9">
        <v>1916</v>
      </c>
      <c r="D378" s="10">
        <v>45646</v>
      </c>
      <c r="E378" s="13" t="str">
        <f>+HYPERLINK("http://trademark.i-assist.jp/data/china/image_1916th/80833467.pdf","80833467")</f>
        <v>80833467</v>
      </c>
      <c r="F378" s="9" t="s">
        <v>1083</v>
      </c>
      <c r="G378" s="9" t="s">
        <v>998</v>
      </c>
      <c r="H378" s="9" t="s">
        <v>1084</v>
      </c>
      <c r="I378" s="10">
        <v>45544</v>
      </c>
    </row>
    <row r="379" spans="1:9" x14ac:dyDescent="0.15">
      <c r="A379" s="9">
        <v>378</v>
      </c>
      <c r="B379" s="9" t="s">
        <v>9</v>
      </c>
      <c r="C379" s="9">
        <v>1916</v>
      </c>
      <c r="D379" s="10">
        <v>45646</v>
      </c>
      <c r="E379" s="13" t="str">
        <f>+HYPERLINK("http://trademark.i-assist.jp/data/china/image_1916th/80835364.pdf","80835364")</f>
        <v>80835364</v>
      </c>
      <c r="F379" s="9" t="s">
        <v>1085</v>
      </c>
      <c r="G379" s="9" t="s">
        <v>1086</v>
      </c>
      <c r="H379" s="9" t="s">
        <v>1087</v>
      </c>
      <c r="I379" s="10">
        <v>45545</v>
      </c>
    </row>
    <row r="380" spans="1:9" x14ac:dyDescent="0.15">
      <c r="A380" s="9">
        <v>379</v>
      </c>
      <c r="B380" s="9" t="s">
        <v>9</v>
      </c>
      <c r="C380" s="9">
        <v>1916</v>
      </c>
      <c r="D380" s="10">
        <v>45646</v>
      </c>
      <c r="E380" s="13" t="str">
        <f>+HYPERLINK("http://trademark.i-assist.jp/data/china/image_1916th/80835899.pdf","80835899")</f>
        <v>80835899</v>
      </c>
      <c r="F380" s="9" t="s">
        <v>1088</v>
      </c>
      <c r="G380" s="9" t="s">
        <v>1089</v>
      </c>
      <c r="H380" s="12" t="s">
        <v>1090</v>
      </c>
      <c r="I380" s="10">
        <v>45545</v>
      </c>
    </row>
    <row r="381" spans="1:9" x14ac:dyDescent="0.15">
      <c r="A381" s="9">
        <v>380</v>
      </c>
      <c r="B381" s="9" t="s">
        <v>9</v>
      </c>
      <c r="C381" s="9">
        <v>1916</v>
      </c>
      <c r="D381" s="10">
        <v>45646</v>
      </c>
      <c r="E381" s="13" t="str">
        <f>+HYPERLINK("http://trademark.i-assist.jp/data/china/image_1916th/80836210.pdf","80836210")</f>
        <v>80836210</v>
      </c>
      <c r="F381" s="9" t="s">
        <v>1091</v>
      </c>
      <c r="G381" s="9" t="s">
        <v>1092</v>
      </c>
      <c r="H381" s="9" t="s">
        <v>1093</v>
      </c>
      <c r="I381" s="10">
        <v>45545</v>
      </c>
    </row>
    <row r="382" spans="1:9" x14ac:dyDescent="0.15">
      <c r="A382" s="9">
        <v>381</v>
      </c>
      <c r="B382" s="9" t="s">
        <v>9</v>
      </c>
      <c r="C382" s="9">
        <v>1916</v>
      </c>
      <c r="D382" s="10">
        <v>45646</v>
      </c>
      <c r="E382" s="13" t="str">
        <f>+HYPERLINK("http://trademark.i-assist.jp/data/china/image_1916th/80836561.pdf","80836561")</f>
        <v>80836561</v>
      </c>
      <c r="F382" s="9" t="s">
        <v>1094</v>
      </c>
      <c r="G382" s="9" t="s">
        <v>1095</v>
      </c>
      <c r="H382" s="9" t="s">
        <v>1096</v>
      </c>
      <c r="I382" s="10">
        <v>45545</v>
      </c>
    </row>
    <row r="383" spans="1:9" x14ac:dyDescent="0.15">
      <c r="A383" s="9">
        <v>382</v>
      </c>
      <c r="B383" s="9" t="s">
        <v>9</v>
      </c>
      <c r="C383" s="9">
        <v>1916</v>
      </c>
      <c r="D383" s="10">
        <v>45646</v>
      </c>
      <c r="E383" s="13" t="str">
        <f>+HYPERLINK("http://trademark.i-assist.jp/data/china/image_1916th/80838169.pdf","80838169")</f>
        <v>80838169</v>
      </c>
      <c r="F383" s="9" t="s">
        <v>1097</v>
      </c>
      <c r="G383" s="9" t="s">
        <v>1098</v>
      </c>
      <c r="H383" s="9" t="s">
        <v>1099</v>
      </c>
      <c r="I383" s="10">
        <v>45545</v>
      </c>
    </row>
    <row r="384" spans="1:9" x14ac:dyDescent="0.15">
      <c r="A384" s="9">
        <v>383</v>
      </c>
      <c r="B384" s="9" t="s">
        <v>9</v>
      </c>
      <c r="C384" s="9">
        <v>1916</v>
      </c>
      <c r="D384" s="10">
        <v>45646</v>
      </c>
      <c r="E384" s="13" t="str">
        <f>+HYPERLINK("http://trademark.i-assist.jp/data/china/image_1916th/80838285.pdf","80838285")</f>
        <v>80838285</v>
      </c>
      <c r="F384" s="9" t="s">
        <v>1100</v>
      </c>
      <c r="G384" s="9" t="s">
        <v>1101</v>
      </c>
      <c r="H384" s="9" t="s">
        <v>1102</v>
      </c>
      <c r="I384" s="10">
        <v>45545</v>
      </c>
    </row>
    <row r="385" spans="1:9" x14ac:dyDescent="0.15">
      <c r="A385" s="9">
        <v>384</v>
      </c>
      <c r="B385" s="9" t="s">
        <v>9</v>
      </c>
      <c r="C385" s="9">
        <v>1916</v>
      </c>
      <c r="D385" s="10">
        <v>45646</v>
      </c>
      <c r="E385" s="13" t="str">
        <f>+HYPERLINK("http://trademark.i-assist.jp/data/china/image_1916th/80838537.pdf","80838537")</f>
        <v>80838537</v>
      </c>
      <c r="F385" s="9" t="s">
        <v>1103</v>
      </c>
      <c r="G385" s="9" t="s">
        <v>1104</v>
      </c>
      <c r="H385" s="9" t="s">
        <v>1105</v>
      </c>
      <c r="I385" s="10">
        <v>45545</v>
      </c>
    </row>
    <row r="386" spans="1:9" x14ac:dyDescent="0.15">
      <c r="A386" s="9">
        <v>385</v>
      </c>
      <c r="B386" s="9" t="s">
        <v>9</v>
      </c>
      <c r="C386" s="9">
        <v>1916</v>
      </c>
      <c r="D386" s="10">
        <v>45646</v>
      </c>
      <c r="E386" s="13" t="str">
        <f>+HYPERLINK("http://trademark.i-assist.jp/data/china/image_1916th/80838948.pdf","80838948")</f>
        <v>80838948</v>
      </c>
      <c r="F386" s="12" t="s">
        <v>1106</v>
      </c>
      <c r="G386" s="12" t="s">
        <v>1107</v>
      </c>
      <c r="H386" s="9" t="s">
        <v>1108</v>
      </c>
      <c r="I386" s="10">
        <v>45545</v>
      </c>
    </row>
    <row r="387" spans="1:9" x14ac:dyDescent="0.15">
      <c r="A387" s="9">
        <v>386</v>
      </c>
      <c r="B387" s="9" t="s">
        <v>9</v>
      </c>
      <c r="C387" s="9">
        <v>1916</v>
      </c>
      <c r="D387" s="10">
        <v>45646</v>
      </c>
      <c r="E387" s="13" t="str">
        <f>+HYPERLINK("http://trademark.i-assist.jp/data/china/image_1916th/80838951.pdf","80838951")</f>
        <v>80838951</v>
      </c>
      <c r="F387" s="12" t="s">
        <v>1109</v>
      </c>
      <c r="G387" s="12" t="s">
        <v>1110</v>
      </c>
      <c r="H387" s="9" t="s">
        <v>1111</v>
      </c>
      <c r="I387" s="10">
        <v>45545</v>
      </c>
    </row>
    <row r="388" spans="1:9" x14ac:dyDescent="0.15">
      <c r="A388" s="9">
        <v>387</v>
      </c>
      <c r="B388" s="9" t="s">
        <v>9</v>
      </c>
      <c r="C388" s="9">
        <v>1916</v>
      </c>
      <c r="D388" s="10">
        <v>45646</v>
      </c>
      <c r="E388" s="13" t="str">
        <f>+HYPERLINK("http://trademark.i-assist.jp/data/china/image_1916th/80839014.pdf","80839014")</f>
        <v>80839014</v>
      </c>
      <c r="F388" s="12" t="s">
        <v>1112</v>
      </c>
      <c r="G388" s="12" t="s">
        <v>1110</v>
      </c>
      <c r="H388" s="9" t="s">
        <v>1113</v>
      </c>
      <c r="I388" s="10">
        <v>45545</v>
      </c>
    </row>
    <row r="389" spans="1:9" x14ac:dyDescent="0.15">
      <c r="A389" s="9">
        <v>388</v>
      </c>
      <c r="B389" s="9" t="s">
        <v>9</v>
      </c>
      <c r="C389" s="9">
        <v>1916</v>
      </c>
      <c r="D389" s="10">
        <v>45646</v>
      </c>
      <c r="E389" s="13" t="str">
        <f>+HYPERLINK("http://trademark.i-assist.jp/data/china/image_1916th/80839272.pdf","80839272")</f>
        <v>80839272</v>
      </c>
      <c r="F389" s="12" t="s">
        <v>1114</v>
      </c>
      <c r="G389" s="12" t="s">
        <v>1115</v>
      </c>
      <c r="H389" s="12" t="s">
        <v>1116</v>
      </c>
      <c r="I389" s="10">
        <v>45545</v>
      </c>
    </row>
    <row r="390" spans="1:9" x14ac:dyDescent="0.15">
      <c r="A390" s="9">
        <v>389</v>
      </c>
      <c r="B390" s="9" t="s">
        <v>9</v>
      </c>
      <c r="C390" s="9">
        <v>1916</v>
      </c>
      <c r="D390" s="10">
        <v>45646</v>
      </c>
      <c r="E390" s="13" t="str">
        <f>+HYPERLINK("http://trademark.i-assist.jp/data/china/image_1916th/80839809.pdf","80839809")</f>
        <v>80839809</v>
      </c>
      <c r="F390" s="9" t="s">
        <v>1117</v>
      </c>
      <c r="G390" s="9" t="s">
        <v>1118</v>
      </c>
      <c r="H390" s="9" t="s">
        <v>1119</v>
      </c>
      <c r="I390" s="10">
        <v>45545</v>
      </c>
    </row>
    <row r="391" spans="1:9" x14ac:dyDescent="0.15">
      <c r="A391" s="9">
        <v>390</v>
      </c>
      <c r="B391" s="9" t="s">
        <v>9</v>
      </c>
      <c r="C391" s="9">
        <v>1916</v>
      </c>
      <c r="D391" s="10">
        <v>45646</v>
      </c>
      <c r="E391" s="13" t="str">
        <f>+HYPERLINK("http://trademark.i-assist.jp/data/china/image_1916th/80841001.pdf","80841001")</f>
        <v>80841001</v>
      </c>
      <c r="F391" s="9" t="s">
        <v>1120</v>
      </c>
      <c r="G391" s="9" t="s">
        <v>1121</v>
      </c>
      <c r="H391" s="9" t="s">
        <v>1122</v>
      </c>
      <c r="I391" s="10">
        <v>45545</v>
      </c>
    </row>
    <row r="392" spans="1:9" x14ac:dyDescent="0.15">
      <c r="A392" s="9">
        <v>391</v>
      </c>
      <c r="B392" s="9" t="s">
        <v>9</v>
      </c>
      <c r="C392" s="9">
        <v>1916</v>
      </c>
      <c r="D392" s="10">
        <v>45646</v>
      </c>
      <c r="E392" s="13" t="str">
        <f>+HYPERLINK("http://trademark.i-assist.jp/data/china/image_1916th/80841071.pdf","80841071")</f>
        <v>80841071</v>
      </c>
      <c r="F392" s="9" t="s">
        <v>1123</v>
      </c>
      <c r="G392" s="9" t="s">
        <v>1124</v>
      </c>
      <c r="H392" s="9" t="s">
        <v>1125</v>
      </c>
      <c r="I392" s="10">
        <v>45545</v>
      </c>
    </row>
    <row r="393" spans="1:9" x14ac:dyDescent="0.15">
      <c r="A393" s="9">
        <v>392</v>
      </c>
      <c r="B393" s="9" t="s">
        <v>9</v>
      </c>
      <c r="C393" s="9">
        <v>1916</v>
      </c>
      <c r="D393" s="10">
        <v>45646</v>
      </c>
      <c r="E393" s="13" t="str">
        <f>+HYPERLINK("http://trademark.i-assist.jp/data/china/image_1916th/80841224.pdf","80841224")</f>
        <v>80841224</v>
      </c>
      <c r="F393" s="9" t="s">
        <v>1126</v>
      </c>
      <c r="G393" s="9" t="s">
        <v>1098</v>
      </c>
      <c r="H393" s="9" t="s">
        <v>1127</v>
      </c>
      <c r="I393" s="10">
        <v>45545</v>
      </c>
    </row>
    <row r="394" spans="1:9" x14ac:dyDescent="0.15">
      <c r="A394" s="9">
        <v>393</v>
      </c>
      <c r="B394" s="9" t="s">
        <v>9</v>
      </c>
      <c r="C394" s="9">
        <v>1916</v>
      </c>
      <c r="D394" s="10">
        <v>45646</v>
      </c>
      <c r="E394" s="13" t="str">
        <f>+HYPERLINK("http://trademark.i-assist.jp/data/china/image_1916th/80841259.pdf","80841259")</f>
        <v>80841259</v>
      </c>
      <c r="F394" s="9" t="s">
        <v>1123</v>
      </c>
      <c r="G394" s="9" t="s">
        <v>1124</v>
      </c>
      <c r="H394" s="9" t="s">
        <v>1128</v>
      </c>
      <c r="I394" s="10">
        <v>45545</v>
      </c>
    </row>
    <row r="395" spans="1:9" x14ac:dyDescent="0.15">
      <c r="A395" s="9">
        <v>394</v>
      </c>
      <c r="B395" s="9" t="s">
        <v>9</v>
      </c>
      <c r="C395" s="9">
        <v>1916</v>
      </c>
      <c r="D395" s="10">
        <v>45646</v>
      </c>
      <c r="E395" s="13" t="str">
        <f>+HYPERLINK("http://trademark.i-assist.jp/data/china/image_1916th/80843756.pdf","80843756")</f>
        <v>80843756</v>
      </c>
      <c r="F395" s="9" t="s">
        <v>1129</v>
      </c>
      <c r="G395" s="9" t="s">
        <v>1104</v>
      </c>
      <c r="H395" s="9" t="s">
        <v>1130</v>
      </c>
      <c r="I395" s="10">
        <v>45545</v>
      </c>
    </row>
    <row r="396" spans="1:9" x14ac:dyDescent="0.15">
      <c r="A396" s="9">
        <v>395</v>
      </c>
      <c r="B396" s="9" t="s">
        <v>9</v>
      </c>
      <c r="C396" s="9">
        <v>1916</v>
      </c>
      <c r="D396" s="10">
        <v>45646</v>
      </c>
      <c r="E396" s="13" t="str">
        <f>+HYPERLINK("http://trademark.i-assist.jp/data/china/image_1916th/80844357.pdf","80844357")</f>
        <v>80844357</v>
      </c>
      <c r="F396" s="12" t="s">
        <v>1131</v>
      </c>
      <c r="G396" s="9" t="s">
        <v>1132</v>
      </c>
      <c r="H396" s="9" t="s">
        <v>1133</v>
      </c>
      <c r="I396" s="10">
        <v>45545</v>
      </c>
    </row>
    <row r="397" spans="1:9" x14ac:dyDescent="0.15">
      <c r="A397" s="9">
        <v>396</v>
      </c>
      <c r="B397" s="9" t="s">
        <v>9</v>
      </c>
      <c r="C397" s="9">
        <v>1916</v>
      </c>
      <c r="D397" s="10">
        <v>45646</v>
      </c>
      <c r="E397" s="13" t="str">
        <f>+HYPERLINK("http://trademark.i-assist.jp/data/china/image_1916th/80845367.pdf","80845367")</f>
        <v>80845367</v>
      </c>
      <c r="F397" s="9" t="s">
        <v>1134</v>
      </c>
      <c r="G397" s="9" t="s">
        <v>1135</v>
      </c>
      <c r="H397" s="9" t="s">
        <v>1136</v>
      </c>
      <c r="I397" s="10">
        <v>45545</v>
      </c>
    </row>
    <row r="398" spans="1:9" x14ac:dyDescent="0.15">
      <c r="A398" s="9">
        <v>397</v>
      </c>
      <c r="B398" s="9" t="s">
        <v>9</v>
      </c>
      <c r="C398" s="9">
        <v>1916</v>
      </c>
      <c r="D398" s="10">
        <v>45646</v>
      </c>
      <c r="E398" s="13" t="str">
        <f>+HYPERLINK("http://trademark.i-assist.jp/data/china/image_1916th/80847790.pdf","80847790")</f>
        <v>80847790</v>
      </c>
      <c r="F398" s="12" t="s">
        <v>1137</v>
      </c>
      <c r="G398" s="12" t="s">
        <v>1110</v>
      </c>
      <c r="H398" s="9" t="s">
        <v>1138</v>
      </c>
      <c r="I398" s="10">
        <v>45545</v>
      </c>
    </row>
    <row r="399" spans="1:9" x14ac:dyDescent="0.15">
      <c r="A399" s="9">
        <v>398</v>
      </c>
      <c r="B399" s="9" t="s">
        <v>9</v>
      </c>
      <c r="C399" s="9">
        <v>1916</v>
      </c>
      <c r="D399" s="10">
        <v>45646</v>
      </c>
      <c r="E399" s="13" t="str">
        <f>+HYPERLINK("http://trademark.i-assist.jp/data/china/image_1916th/80849208.pdf","80849208")</f>
        <v>80849208</v>
      </c>
      <c r="F399" s="9" t="s">
        <v>1139</v>
      </c>
      <c r="G399" s="9" t="s">
        <v>1140</v>
      </c>
      <c r="H399" s="9" t="s">
        <v>1141</v>
      </c>
      <c r="I399" s="10">
        <v>45545</v>
      </c>
    </row>
    <row r="400" spans="1:9" x14ac:dyDescent="0.15">
      <c r="A400" s="9">
        <v>399</v>
      </c>
      <c r="B400" s="9" t="s">
        <v>9</v>
      </c>
      <c r="C400" s="9">
        <v>1916</v>
      </c>
      <c r="D400" s="10">
        <v>45646</v>
      </c>
      <c r="E400" s="13" t="str">
        <f>+HYPERLINK("http://trademark.i-assist.jp/data/china/image_1916th/80850130.pdf","80850130")</f>
        <v>80850130</v>
      </c>
      <c r="F400" s="9" t="s">
        <v>1142</v>
      </c>
      <c r="G400" s="9" t="s">
        <v>1143</v>
      </c>
      <c r="H400" s="9" t="s">
        <v>1144</v>
      </c>
      <c r="I400" s="10">
        <v>45545</v>
      </c>
    </row>
    <row r="401" spans="1:9" x14ac:dyDescent="0.15">
      <c r="A401" s="9">
        <v>400</v>
      </c>
      <c r="B401" s="9" t="s">
        <v>9</v>
      </c>
      <c r="C401" s="9">
        <v>1916</v>
      </c>
      <c r="D401" s="10">
        <v>45646</v>
      </c>
      <c r="E401" s="13" t="str">
        <f>+HYPERLINK("http://trademark.i-assist.jp/data/china/image_1916th/80850631.pdf","80850631")</f>
        <v>80850631</v>
      </c>
      <c r="F401" s="12" t="s">
        <v>1145</v>
      </c>
      <c r="G401" s="12" t="s">
        <v>1110</v>
      </c>
      <c r="H401" s="9" t="s">
        <v>1146</v>
      </c>
      <c r="I401" s="10">
        <v>45545</v>
      </c>
    </row>
    <row r="402" spans="1:9" x14ac:dyDescent="0.15">
      <c r="A402" s="9">
        <v>401</v>
      </c>
      <c r="B402" s="9" t="s">
        <v>9</v>
      </c>
      <c r="C402" s="9">
        <v>1916</v>
      </c>
      <c r="D402" s="10">
        <v>45646</v>
      </c>
      <c r="E402" s="13" t="str">
        <f>+HYPERLINK("http://trademark.i-assist.jp/data/china/image_1916th/80851466.pdf","80851466")</f>
        <v>80851466</v>
      </c>
      <c r="F402" s="9" t="s">
        <v>1147</v>
      </c>
      <c r="G402" s="9" t="s">
        <v>1148</v>
      </c>
      <c r="H402" s="9" t="s">
        <v>1149</v>
      </c>
      <c r="I402" s="10">
        <v>45545</v>
      </c>
    </row>
    <row r="403" spans="1:9" x14ac:dyDescent="0.15">
      <c r="A403" s="9">
        <v>402</v>
      </c>
      <c r="B403" s="9" t="s">
        <v>9</v>
      </c>
      <c r="C403" s="9">
        <v>1916</v>
      </c>
      <c r="D403" s="10">
        <v>45646</v>
      </c>
      <c r="E403" s="13" t="str">
        <f>+HYPERLINK("http://trademark.i-assist.jp/data/china/image_1916th/80851657.pdf","80851657")</f>
        <v>80851657</v>
      </c>
      <c r="F403" s="9" t="s">
        <v>1150</v>
      </c>
      <c r="G403" s="9" t="s">
        <v>1151</v>
      </c>
      <c r="H403" s="9" t="s">
        <v>1152</v>
      </c>
      <c r="I403" s="10">
        <v>45545</v>
      </c>
    </row>
    <row r="404" spans="1:9" x14ac:dyDescent="0.15">
      <c r="A404" s="9">
        <v>403</v>
      </c>
      <c r="B404" s="9" t="s">
        <v>9</v>
      </c>
      <c r="C404" s="9">
        <v>1916</v>
      </c>
      <c r="D404" s="10">
        <v>45646</v>
      </c>
      <c r="E404" s="13" t="str">
        <f>+HYPERLINK("http://trademark.i-assist.jp/data/china/image_1916th/80852269.pdf","80852269")</f>
        <v>80852269</v>
      </c>
      <c r="F404" s="12" t="s">
        <v>1153</v>
      </c>
      <c r="G404" s="12" t="s">
        <v>1110</v>
      </c>
      <c r="H404" s="9" t="s">
        <v>1154</v>
      </c>
      <c r="I404" s="10">
        <v>45545</v>
      </c>
    </row>
    <row r="405" spans="1:9" x14ac:dyDescent="0.15">
      <c r="A405" s="9">
        <v>404</v>
      </c>
      <c r="B405" s="9" t="s">
        <v>9</v>
      </c>
      <c r="C405" s="9">
        <v>1916</v>
      </c>
      <c r="D405" s="10">
        <v>45646</v>
      </c>
      <c r="E405" s="13" t="str">
        <f>+HYPERLINK("http://trademark.i-assist.jp/data/china/image_1916th/80853301.pdf","80853301")</f>
        <v>80853301</v>
      </c>
      <c r="F405" s="9" t="s">
        <v>1155</v>
      </c>
      <c r="G405" s="9" t="s">
        <v>1156</v>
      </c>
      <c r="H405" s="9" t="s">
        <v>1157</v>
      </c>
      <c r="I405" s="10">
        <v>45545</v>
      </c>
    </row>
    <row r="406" spans="1:9" x14ac:dyDescent="0.15">
      <c r="A406" s="9">
        <v>405</v>
      </c>
      <c r="B406" s="9" t="s">
        <v>9</v>
      </c>
      <c r="C406" s="9">
        <v>1916</v>
      </c>
      <c r="D406" s="10">
        <v>45646</v>
      </c>
      <c r="E406" s="13" t="str">
        <f>+HYPERLINK("http://trademark.i-assist.jp/data/china/image_1916th/80853746.pdf","80853746")</f>
        <v>80853746</v>
      </c>
      <c r="F406" s="9" t="s">
        <v>1158</v>
      </c>
      <c r="G406" s="9" t="s">
        <v>1159</v>
      </c>
      <c r="H406" s="9" t="s">
        <v>1160</v>
      </c>
      <c r="I406" s="10">
        <v>45545</v>
      </c>
    </row>
    <row r="407" spans="1:9" x14ac:dyDescent="0.15">
      <c r="A407" s="9">
        <v>406</v>
      </c>
      <c r="B407" s="9" t="s">
        <v>9</v>
      </c>
      <c r="C407" s="9">
        <v>1916</v>
      </c>
      <c r="D407" s="10">
        <v>45646</v>
      </c>
      <c r="E407" s="13" t="str">
        <f>+HYPERLINK("http://trademark.i-assist.jp/data/china/image_1916th/80854703.pdf","80854703")</f>
        <v>80854703</v>
      </c>
      <c r="F407" s="9" t="s">
        <v>1161</v>
      </c>
      <c r="G407" s="9" t="s">
        <v>1162</v>
      </c>
      <c r="H407" s="12" t="s">
        <v>1163</v>
      </c>
      <c r="I407" s="10">
        <v>45545</v>
      </c>
    </row>
    <row r="408" spans="1:9" x14ac:dyDescent="0.15">
      <c r="A408" s="9">
        <v>407</v>
      </c>
      <c r="B408" s="9" t="s">
        <v>9</v>
      </c>
      <c r="C408" s="9">
        <v>1916</v>
      </c>
      <c r="D408" s="10">
        <v>45646</v>
      </c>
      <c r="E408" s="13" t="str">
        <f>+HYPERLINK("http://trademark.i-assist.jp/data/china/image_1916th/80855585.pdf","80855585")</f>
        <v>80855585</v>
      </c>
      <c r="F408" s="9" t="s">
        <v>1164</v>
      </c>
      <c r="G408" s="9" t="s">
        <v>1165</v>
      </c>
      <c r="H408" s="9" t="s">
        <v>1166</v>
      </c>
      <c r="I408" s="10">
        <v>45545</v>
      </c>
    </row>
    <row r="409" spans="1:9" x14ac:dyDescent="0.15">
      <c r="A409" s="9">
        <v>408</v>
      </c>
      <c r="B409" s="9" t="s">
        <v>9</v>
      </c>
      <c r="C409" s="9">
        <v>1916</v>
      </c>
      <c r="D409" s="10">
        <v>45646</v>
      </c>
      <c r="E409" s="13" t="str">
        <f>+HYPERLINK("http://trademark.i-assist.jp/data/china/image_1916th/80856011.pdf","80856011")</f>
        <v>80856011</v>
      </c>
      <c r="F409" s="9" t="s">
        <v>1167</v>
      </c>
      <c r="G409" s="9" t="s">
        <v>1143</v>
      </c>
      <c r="H409" s="9" t="s">
        <v>1168</v>
      </c>
      <c r="I409" s="10">
        <v>45545</v>
      </c>
    </row>
    <row r="410" spans="1:9" x14ac:dyDescent="0.15">
      <c r="A410" s="9">
        <v>409</v>
      </c>
      <c r="B410" s="9" t="s">
        <v>9</v>
      </c>
      <c r="C410" s="9">
        <v>1916</v>
      </c>
      <c r="D410" s="10">
        <v>45646</v>
      </c>
      <c r="E410" s="13" t="str">
        <f>+HYPERLINK("http://trademark.i-assist.jp/data/china/image_1916th/80856116.pdf","80856116")</f>
        <v>80856116</v>
      </c>
      <c r="F410" s="9" t="s">
        <v>1147</v>
      </c>
      <c r="G410" s="9" t="s">
        <v>1148</v>
      </c>
      <c r="H410" s="9" t="s">
        <v>1169</v>
      </c>
      <c r="I410" s="10">
        <v>45545</v>
      </c>
    </row>
    <row r="411" spans="1:9" x14ac:dyDescent="0.15">
      <c r="A411" s="9">
        <v>410</v>
      </c>
      <c r="B411" s="9" t="s">
        <v>9</v>
      </c>
      <c r="C411" s="9">
        <v>1916</v>
      </c>
      <c r="D411" s="10">
        <v>45646</v>
      </c>
      <c r="E411" s="13" t="str">
        <f>+HYPERLINK("http://trademark.i-assist.jp/data/china/image_1916th/80856518.pdf","80856518")</f>
        <v>80856518</v>
      </c>
      <c r="F411" s="9" t="s">
        <v>1170</v>
      </c>
      <c r="G411" s="9" t="s">
        <v>1171</v>
      </c>
      <c r="H411" s="9" t="s">
        <v>1172</v>
      </c>
      <c r="I411" s="10">
        <v>45545</v>
      </c>
    </row>
    <row r="412" spans="1:9" x14ac:dyDescent="0.15">
      <c r="A412" s="9">
        <v>411</v>
      </c>
      <c r="B412" s="9" t="s">
        <v>9</v>
      </c>
      <c r="C412" s="9">
        <v>1916</v>
      </c>
      <c r="D412" s="10">
        <v>45646</v>
      </c>
      <c r="E412" s="13" t="str">
        <f>+HYPERLINK("http://trademark.i-assist.jp/data/china/image_1916th/80857950.pdf","80857950")</f>
        <v>80857950</v>
      </c>
      <c r="F412" s="9" t="s">
        <v>1173</v>
      </c>
      <c r="G412" s="9" t="s">
        <v>1174</v>
      </c>
      <c r="H412" s="9" t="s">
        <v>1175</v>
      </c>
      <c r="I412" s="10">
        <v>45546</v>
      </c>
    </row>
    <row r="413" spans="1:9" x14ac:dyDescent="0.15">
      <c r="A413" s="9">
        <v>412</v>
      </c>
      <c r="B413" s="9" t="s">
        <v>9</v>
      </c>
      <c r="C413" s="9">
        <v>1916</v>
      </c>
      <c r="D413" s="10">
        <v>45646</v>
      </c>
      <c r="E413" s="13" t="str">
        <f>+HYPERLINK("http://trademark.i-assist.jp/data/china/image_1916th/80858471.pdf","80858471")</f>
        <v>80858471</v>
      </c>
      <c r="F413" s="9" t="s">
        <v>1176</v>
      </c>
      <c r="G413" s="9" t="s">
        <v>1177</v>
      </c>
      <c r="H413" s="9" t="s">
        <v>1178</v>
      </c>
      <c r="I413" s="10">
        <v>45546</v>
      </c>
    </row>
    <row r="414" spans="1:9" x14ac:dyDescent="0.15">
      <c r="A414" s="9">
        <v>413</v>
      </c>
      <c r="B414" s="9" t="s">
        <v>9</v>
      </c>
      <c r="C414" s="9">
        <v>1916</v>
      </c>
      <c r="D414" s="10">
        <v>45646</v>
      </c>
      <c r="E414" s="13" t="str">
        <f>+HYPERLINK("http://trademark.i-assist.jp/data/china/image_1916th/80858485.pdf","80858485")</f>
        <v>80858485</v>
      </c>
      <c r="F414" s="9" t="s">
        <v>1179</v>
      </c>
      <c r="G414" s="9" t="s">
        <v>1177</v>
      </c>
      <c r="H414" s="9" t="s">
        <v>1180</v>
      </c>
      <c r="I414" s="10">
        <v>45546</v>
      </c>
    </row>
    <row r="415" spans="1:9" x14ac:dyDescent="0.15">
      <c r="A415" s="9">
        <v>414</v>
      </c>
      <c r="B415" s="9" t="s">
        <v>9</v>
      </c>
      <c r="C415" s="9">
        <v>1916</v>
      </c>
      <c r="D415" s="10">
        <v>45646</v>
      </c>
      <c r="E415" s="13" t="str">
        <f>+HYPERLINK("http://trademark.i-assist.jp/data/china/image_1916th/80858694.pdf","80858694")</f>
        <v>80858694</v>
      </c>
      <c r="F415" s="9" t="s">
        <v>1181</v>
      </c>
      <c r="G415" s="9" t="s">
        <v>1182</v>
      </c>
      <c r="H415" s="9" t="s">
        <v>1183</v>
      </c>
      <c r="I415" s="10">
        <v>45546</v>
      </c>
    </row>
    <row r="416" spans="1:9" x14ac:dyDescent="0.15">
      <c r="A416" s="9">
        <v>415</v>
      </c>
      <c r="B416" s="9" t="s">
        <v>9</v>
      </c>
      <c r="C416" s="9">
        <v>1916</v>
      </c>
      <c r="D416" s="10">
        <v>45646</v>
      </c>
      <c r="E416" s="13" t="str">
        <f>+HYPERLINK("http://trademark.i-assist.jp/data/china/image_1916th/80859314.pdf","80859314")</f>
        <v>80859314</v>
      </c>
      <c r="F416" s="9" t="s">
        <v>1184</v>
      </c>
      <c r="G416" s="9" t="s">
        <v>1185</v>
      </c>
      <c r="H416" s="9" t="s">
        <v>1186</v>
      </c>
      <c r="I416" s="10">
        <v>45546</v>
      </c>
    </row>
    <row r="417" spans="1:9" x14ac:dyDescent="0.15">
      <c r="A417" s="9">
        <v>416</v>
      </c>
      <c r="B417" s="9" t="s">
        <v>9</v>
      </c>
      <c r="C417" s="9">
        <v>1916</v>
      </c>
      <c r="D417" s="10">
        <v>45646</v>
      </c>
      <c r="E417" s="13" t="str">
        <f>+HYPERLINK("http://trademark.i-assist.jp/data/china/image_1916th/80859335.pdf","80859335")</f>
        <v>80859335</v>
      </c>
      <c r="F417" s="9" t="s">
        <v>1187</v>
      </c>
      <c r="G417" s="9" t="s">
        <v>1188</v>
      </c>
      <c r="H417" s="9" t="s">
        <v>1189</v>
      </c>
      <c r="I417" s="10">
        <v>45546</v>
      </c>
    </row>
    <row r="418" spans="1:9" x14ac:dyDescent="0.15">
      <c r="A418" s="9">
        <v>417</v>
      </c>
      <c r="B418" s="9" t="s">
        <v>9</v>
      </c>
      <c r="C418" s="9">
        <v>1916</v>
      </c>
      <c r="D418" s="10">
        <v>45646</v>
      </c>
      <c r="E418" s="13" t="str">
        <f>+HYPERLINK("http://trademark.i-assist.jp/data/china/image_1916th/80859614.pdf","80859614")</f>
        <v>80859614</v>
      </c>
      <c r="F418" s="12" t="s">
        <v>1190</v>
      </c>
      <c r="G418" s="9" t="s">
        <v>1191</v>
      </c>
      <c r="H418" s="9" t="s">
        <v>1192</v>
      </c>
      <c r="I418" s="10">
        <v>45546</v>
      </c>
    </row>
    <row r="419" spans="1:9" x14ac:dyDescent="0.15">
      <c r="A419" s="9">
        <v>418</v>
      </c>
      <c r="B419" s="9" t="s">
        <v>9</v>
      </c>
      <c r="C419" s="9">
        <v>1916</v>
      </c>
      <c r="D419" s="10">
        <v>45646</v>
      </c>
      <c r="E419" s="13" t="str">
        <f>+HYPERLINK("http://trademark.i-assist.jp/data/china/image_1916th/80859797.pdf","80859797")</f>
        <v>80859797</v>
      </c>
      <c r="F419" s="9" t="s">
        <v>1193</v>
      </c>
      <c r="G419" s="12" t="s">
        <v>1194</v>
      </c>
      <c r="H419" s="12" t="s">
        <v>1195</v>
      </c>
      <c r="I419" s="10">
        <v>45546</v>
      </c>
    </row>
    <row r="420" spans="1:9" x14ac:dyDescent="0.15">
      <c r="A420" s="9">
        <v>419</v>
      </c>
      <c r="B420" s="9" t="s">
        <v>9</v>
      </c>
      <c r="C420" s="9">
        <v>1916</v>
      </c>
      <c r="D420" s="10">
        <v>45646</v>
      </c>
      <c r="E420" s="13" t="str">
        <f>+HYPERLINK("http://trademark.i-assist.jp/data/china/image_1916th/80860429.pdf","80860429")</f>
        <v>80860429</v>
      </c>
      <c r="F420" s="9" t="s">
        <v>1196</v>
      </c>
      <c r="G420" s="9" t="s">
        <v>1197</v>
      </c>
      <c r="H420" s="9" t="s">
        <v>1198</v>
      </c>
      <c r="I420" s="10">
        <v>45546</v>
      </c>
    </row>
    <row r="421" spans="1:9" x14ac:dyDescent="0.15">
      <c r="A421" s="9">
        <v>420</v>
      </c>
      <c r="B421" s="9" t="s">
        <v>9</v>
      </c>
      <c r="C421" s="9">
        <v>1916</v>
      </c>
      <c r="D421" s="10">
        <v>45646</v>
      </c>
      <c r="E421" s="13" t="str">
        <f>+HYPERLINK("http://trademark.i-assist.jp/data/china/image_1916th/80861619.pdf","80861619")</f>
        <v>80861619</v>
      </c>
      <c r="F421" s="9" t="s">
        <v>1199</v>
      </c>
      <c r="G421" s="9" t="s">
        <v>1200</v>
      </c>
      <c r="H421" s="9" t="s">
        <v>1201</v>
      </c>
      <c r="I421" s="10">
        <v>45546</v>
      </c>
    </row>
    <row r="422" spans="1:9" x14ac:dyDescent="0.15">
      <c r="A422" s="9">
        <v>421</v>
      </c>
      <c r="B422" s="9" t="s">
        <v>9</v>
      </c>
      <c r="C422" s="9">
        <v>1916</v>
      </c>
      <c r="D422" s="10">
        <v>45646</v>
      </c>
      <c r="E422" s="13" t="str">
        <f>+HYPERLINK("http://trademark.i-assist.jp/data/china/image_1916th/80861818.pdf","80861818")</f>
        <v>80861818</v>
      </c>
      <c r="F422" s="9" t="s">
        <v>1202</v>
      </c>
      <c r="G422" s="9" t="s">
        <v>1203</v>
      </c>
      <c r="H422" s="12" t="s">
        <v>1204</v>
      </c>
      <c r="I422" s="10">
        <v>45546</v>
      </c>
    </row>
    <row r="423" spans="1:9" x14ac:dyDescent="0.15">
      <c r="A423" s="9">
        <v>422</v>
      </c>
      <c r="B423" s="9" t="s">
        <v>9</v>
      </c>
      <c r="C423" s="9">
        <v>1916</v>
      </c>
      <c r="D423" s="10">
        <v>45646</v>
      </c>
      <c r="E423" s="13" t="str">
        <f>+HYPERLINK("http://trademark.i-assist.jp/data/china/image_1916th/80862369.pdf","80862369")</f>
        <v>80862369</v>
      </c>
      <c r="F423" s="9" t="s">
        <v>1205</v>
      </c>
      <c r="G423" s="9" t="s">
        <v>1206</v>
      </c>
      <c r="H423" s="9" t="s">
        <v>1207</v>
      </c>
      <c r="I423" s="10">
        <v>45546</v>
      </c>
    </row>
    <row r="424" spans="1:9" x14ac:dyDescent="0.15">
      <c r="A424" s="9">
        <v>423</v>
      </c>
      <c r="B424" s="9" t="s">
        <v>9</v>
      </c>
      <c r="C424" s="9">
        <v>1916</v>
      </c>
      <c r="D424" s="10">
        <v>45646</v>
      </c>
      <c r="E424" s="13" t="str">
        <f>+HYPERLINK("http://trademark.i-assist.jp/data/china/image_1916th/80862456.pdf","80862456")</f>
        <v>80862456</v>
      </c>
      <c r="F424" s="9" t="s">
        <v>1208</v>
      </c>
      <c r="G424" s="9" t="s">
        <v>1209</v>
      </c>
      <c r="H424" s="9" t="s">
        <v>1210</v>
      </c>
      <c r="I424" s="10">
        <v>45546</v>
      </c>
    </row>
    <row r="425" spans="1:9" x14ac:dyDescent="0.15">
      <c r="A425" s="9">
        <v>424</v>
      </c>
      <c r="B425" s="9" t="s">
        <v>9</v>
      </c>
      <c r="C425" s="9">
        <v>1916</v>
      </c>
      <c r="D425" s="10">
        <v>45646</v>
      </c>
      <c r="E425" s="13" t="str">
        <f>+HYPERLINK("http://trademark.i-assist.jp/data/china/image_1916th/80862540.pdf","80862540")</f>
        <v>80862540</v>
      </c>
      <c r="F425" s="9" t="s">
        <v>1211</v>
      </c>
      <c r="G425" s="12" t="s">
        <v>1212</v>
      </c>
      <c r="H425" s="9" t="s">
        <v>1213</v>
      </c>
      <c r="I425" s="10">
        <v>45546</v>
      </c>
    </row>
    <row r="426" spans="1:9" x14ac:dyDescent="0.15">
      <c r="A426" s="9">
        <v>425</v>
      </c>
      <c r="B426" s="9" t="s">
        <v>9</v>
      </c>
      <c r="C426" s="9">
        <v>1916</v>
      </c>
      <c r="D426" s="10">
        <v>45646</v>
      </c>
      <c r="E426" s="13" t="str">
        <f>+HYPERLINK("http://trademark.i-assist.jp/data/china/image_1916th/80863820.pdf","80863820")</f>
        <v>80863820</v>
      </c>
      <c r="F426" s="9" t="s">
        <v>1214</v>
      </c>
      <c r="G426" s="9" t="s">
        <v>1215</v>
      </c>
      <c r="H426" s="9" t="s">
        <v>1216</v>
      </c>
      <c r="I426" s="10">
        <v>45546</v>
      </c>
    </row>
    <row r="427" spans="1:9" x14ac:dyDescent="0.15">
      <c r="A427" s="9">
        <v>426</v>
      </c>
      <c r="B427" s="9" t="s">
        <v>9</v>
      </c>
      <c r="C427" s="9">
        <v>1916</v>
      </c>
      <c r="D427" s="10">
        <v>45646</v>
      </c>
      <c r="E427" s="13" t="str">
        <f>+HYPERLINK("http://trademark.i-assist.jp/data/china/image_1916th/80864112.pdf","80864112")</f>
        <v>80864112</v>
      </c>
      <c r="F427" s="9" t="s">
        <v>1217</v>
      </c>
      <c r="G427" s="12" t="s">
        <v>1218</v>
      </c>
      <c r="H427" s="12" t="s">
        <v>1219</v>
      </c>
      <c r="I427" s="10">
        <v>45546</v>
      </c>
    </row>
    <row r="428" spans="1:9" x14ac:dyDescent="0.15">
      <c r="A428" s="9">
        <v>427</v>
      </c>
      <c r="B428" s="9" t="s">
        <v>9</v>
      </c>
      <c r="C428" s="9">
        <v>1916</v>
      </c>
      <c r="D428" s="10">
        <v>45646</v>
      </c>
      <c r="E428" s="13" t="str">
        <f>+HYPERLINK("http://trademark.i-assist.jp/data/china/image_1916th/80864269.pdf","80864269")</f>
        <v>80864269</v>
      </c>
      <c r="F428" s="9" t="s">
        <v>1220</v>
      </c>
      <c r="G428" s="9" t="s">
        <v>1209</v>
      </c>
      <c r="H428" s="9" t="s">
        <v>1221</v>
      </c>
      <c r="I428" s="10">
        <v>45546</v>
      </c>
    </row>
    <row r="429" spans="1:9" x14ac:dyDescent="0.15">
      <c r="A429" s="9">
        <v>428</v>
      </c>
      <c r="B429" s="9" t="s">
        <v>9</v>
      </c>
      <c r="C429" s="9">
        <v>1916</v>
      </c>
      <c r="D429" s="10">
        <v>45646</v>
      </c>
      <c r="E429" s="13" t="str">
        <f>+HYPERLINK("http://trademark.i-assist.jp/data/china/image_1916th/80864387.pdf","80864387")</f>
        <v>80864387</v>
      </c>
      <c r="F429" s="9" t="s">
        <v>1222</v>
      </c>
      <c r="G429" s="12" t="s">
        <v>1212</v>
      </c>
      <c r="H429" s="9" t="s">
        <v>1223</v>
      </c>
      <c r="I429" s="10">
        <v>45546</v>
      </c>
    </row>
    <row r="430" spans="1:9" x14ac:dyDescent="0.15">
      <c r="A430" s="9">
        <v>429</v>
      </c>
      <c r="B430" s="9" t="s">
        <v>9</v>
      </c>
      <c r="C430" s="9">
        <v>1916</v>
      </c>
      <c r="D430" s="10">
        <v>45646</v>
      </c>
      <c r="E430" s="13" t="str">
        <f>+HYPERLINK("http://trademark.i-assist.jp/data/china/image_1916th/80865491.pdf","80865491")</f>
        <v>80865491</v>
      </c>
      <c r="F430" s="9" t="s">
        <v>1224</v>
      </c>
      <c r="G430" s="12" t="s">
        <v>1225</v>
      </c>
      <c r="H430" s="9" t="s">
        <v>1226</v>
      </c>
      <c r="I430" s="10">
        <v>45546</v>
      </c>
    </row>
    <row r="431" spans="1:9" x14ac:dyDescent="0.15">
      <c r="A431" s="9">
        <v>430</v>
      </c>
      <c r="B431" s="9" t="s">
        <v>9</v>
      </c>
      <c r="C431" s="9">
        <v>1916</v>
      </c>
      <c r="D431" s="10">
        <v>45646</v>
      </c>
      <c r="E431" s="13" t="str">
        <f>+HYPERLINK("http://trademark.i-assist.jp/data/china/image_1916th/80865815.pdf","80865815")</f>
        <v>80865815</v>
      </c>
      <c r="F431" s="9" t="s">
        <v>1227</v>
      </c>
      <c r="G431" s="9" t="s">
        <v>37</v>
      </c>
      <c r="H431" s="9" t="s">
        <v>1228</v>
      </c>
      <c r="I431" s="10">
        <v>45546</v>
      </c>
    </row>
    <row r="432" spans="1:9" x14ac:dyDescent="0.15">
      <c r="A432" s="9">
        <v>431</v>
      </c>
      <c r="B432" s="9" t="s">
        <v>9</v>
      </c>
      <c r="C432" s="9">
        <v>1916</v>
      </c>
      <c r="D432" s="10">
        <v>45646</v>
      </c>
      <c r="E432" s="13" t="str">
        <f>+HYPERLINK("http://trademark.i-assist.jp/data/china/image_1916th/80866620.pdf","80866620")</f>
        <v>80866620</v>
      </c>
      <c r="F432" s="9" t="s">
        <v>1229</v>
      </c>
      <c r="G432" s="9" t="s">
        <v>1230</v>
      </c>
      <c r="H432" s="9" t="s">
        <v>1231</v>
      </c>
      <c r="I432" s="10">
        <v>45546</v>
      </c>
    </row>
    <row r="433" spans="1:9" x14ac:dyDescent="0.15">
      <c r="A433" s="9">
        <v>432</v>
      </c>
      <c r="B433" s="9" t="s">
        <v>9</v>
      </c>
      <c r="C433" s="9">
        <v>1916</v>
      </c>
      <c r="D433" s="10">
        <v>45646</v>
      </c>
      <c r="E433" s="13" t="str">
        <f>+HYPERLINK("http://trademark.i-assist.jp/data/china/image_1916th/80867114.pdf","80867114")</f>
        <v>80867114</v>
      </c>
      <c r="F433" s="9" t="s">
        <v>1232</v>
      </c>
      <c r="G433" s="9" t="s">
        <v>1233</v>
      </c>
      <c r="H433" s="9" t="s">
        <v>1234</v>
      </c>
      <c r="I433" s="10">
        <v>45546</v>
      </c>
    </row>
    <row r="434" spans="1:9" x14ac:dyDescent="0.15">
      <c r="A434" s="9">
        <v>433</v>
      </c>
      <c r="B434" s="9" t="s">
        <v>9</v>
      </c>
      <c r="C434" s="9">
        <v>1916</v>
      </c>
      <c r="D434" s="10">
        <v>45646</v>
      </c>
      <c r="E434" s="13" t="str">
        <f>+HYPERLINK("http://trademark.i-assist.jp/data/china/image_1916th/80868097.pdf","80868097")</f>
        <v>80868097</v>
      </c>
      <c r="F434" s="12" t="s">
        <v>1235</v>
      </c>
      <c r="G434" s="9" t="s">
        <v>1236</v>
      </c>
      <c r="H434" s="9" t="s">
        <v>1237</v>
      </c>
      <c r="I434" s="10">
        <v>45546</v>
      </c>
    </row>
    <row r="435" spans="1:9" x14ac:dyDescent="0.15">
      <c r="A435" s="9">
        <v>434</v>
      </c>
      <c r="B435" s="9" t="s">
        <v>9</v>
      </c>
      <c r="C435" s="9">
        <v>1916</v>
      </c>
      <c r="D435" s="10">
        <v>45646</v>
      </c>
      <c r="E435" s="13" t="str">
        <f>+HYPERLINK("http://trademark.i-assist.jp/data/china/image_1916th/80868185.pdf","80868185")</f>
        <v>80868185</v>
      </c>
      <c r="F435" s="9" t="s">
        <v>1238</v>
      </c>
      <c r="G435" s="12" t="s">
        <v>1239</v>
      </c>
      <c r="H435" s="12" t="s">
        <v>1240</v>
      </c>
      <c r="I435" s="10">
        <v>45546</v>
      </c>
    </row>
    <row r="436" spans="1:9" x14ac:dyDescent="0.15">
      <c r="A436" s="9">
        <v>435</v>
      </c>
      <c r="B436" s="9" t="s">
        <v>9</v>
      </c>
      <c r="C436" s="9">
        <v>1916</v>
      </c>
      <c r="D436" s="10">
        <v>45646</v>
      </c>
      <c r="E436" s="13" t="str">
        <f>+HYPERLINK("http://trademark.i-assist.jp/data/china/image_1916th/80868426.pdf","80868426")</f>
        <v>80868426</v>
      </c>
      <c r="F436" s="9" t="s">
        <v>1241</v>
      </c>
      <c r="G436" s="12" t="s">
        <v>1242</v>
      </c>
      <c r="H436" s="9" t="s">
        <v>1243</v>
      </c>
      <c r="I436" s="10">
        <v>45546</v>
      </c>
    </row>
    <row r="437" spans="1:9" x14ac:dyDescent="0.15">
      <c r="A437" s="9">
        <v>436</v>
      </c>
      <c r="B437" s="9" t="s">
        <v>9</v>
      </c>
      <c r="C437" s="9">
        <v>1916</v>
      </c>
      <c r="D437" s="10">
        <v>45646</v>
      </c>
      <c r="E437" s="13" t="str">
        <f>+HYPERLINK("http://trademark.i-assist.jp/data/china/image_1916th/80868605.pdf","80868605")</f>
        <v>80868605</v>
      </c>
      <c r="F437" s="12" t="s">
        <v>1244</v>
      </c>
      <c r="G437" s="12" t="s">
        <v>1245</v>
      </c>
      <c r="H437" s="9" t="s">
        <v>1246</v>
      </c>
      <c r="I437" s="10">
        <v>45546</v>
      </c>
    </row>
    <row r="438" spans="1:9" x14ac:dyDescent="0.15">
      <c r="A438" s="9">
        <v>437</v>
      </c>
      <c r="B438" s="9" t="s">
        <v>9</v>
      </c>
      <c r="C438" s="9">
        <v>1916</v>
      </c>
      <c r="D438" s="10">
        <v>45646</v>
      </c>
      <c r="E438" s="13" t="str">
        <f>+HYPERLINK("http://trademark.i-assist.jp/data/china/image_1916th/80868833.pdf","80868833")</f>
        <v>80868833</v>
      </c>
      <c r="F438" s="9" t="s">
        <v>1247</v>
      </c>
      <c r="G438" s="9" t="s">
        <v>1248</v>
      </c>
      <c r="H438" s="9" t="s">
        <v>1249</v>
      </c>
      <c r="I438" s="10">
        <v>45546</v>
      </c>
    </row>
    <row r="439" spans="1:9" x14ac:dyDescent="0.15">
      <c r="A439" s="9">
        <v>438</v>
      </c>
      <c r="B439" s="9" t="s">
        <v>9</v>
      </c>
      <c r="C439" s="9">
        <v>1916</v>
      </c>
      <c r="D439" s="10">
        <v>45646</v>
      </c>
      <c r="E439" s="13" t="str">
        <f>+HYPERLINK("http://trademark.i-assist.jp/data/china/image_1916th/80869211.pdf","80869211")</f>
        <v>80869211</v>
      </c>
      <c r="F439" s="11" t="s">
        <v>1250</v>
      </c>
      <c r="G439" s="9" t="s">
        <v>1251</v>
      </c>
      <c r="H439" s="9" t="s">
        <v>1252</v>
      </c>
      <c r="I439" s="10">
        <v>45546</v>
      </c>
    </row>
    <row r="440" spans="1:9" x14ac:dyDescent="0.15">
      <c r="A440" s="9">
        <v>439</v>
      </c>
      <c r="B440" s="9" t="s">
        <v>9</v>
      </c>
      <c r="C440" s="9">
        <v>1916</v>
      </c>
      <c r="D440" s="10">
        <v>45646</v>
      </c>
      <c r="E440" s="13" t="str">
        <f>+HYPERLINK("http://trademark.i-assist.jp/data/china/image_1916th/80869777.pdf","80869777")</f>
        <v>80869777</v>
      </c>
      <c r="F440" s="9" t="s">
        <v>1253</v>
      </c>
      <c r="G440" s="12" t="s">
        <v>1254</v>
      </c>
      <c r="H440" s="12" t="s">
        <v>1255</v>
      </c>
      <c r="I440" s="10">
        <v>45546</v>
      </c>
    </row>
    <row r="441" spans="1:9" x14ac:dyDescent="0.15">
      <c r="A441" s="9">
        <v>440</v>
      </c>
      <c r="B441" s="9" t="s">
        <v>9</v>
      </c>
      <c r="C441" s="9">
        <v>1916</v>
      </c>
      <c r="D441" s="10">
        <v>45646</v>
      </c>
      <c r="E441" s="13" t="str">
        <f>+HYPERLINK("http://trademark.i-assist.jp/data/china/image_1916th/80872155.pdf","80872155")</f>
        <v>80872155</v>
      </c>
      <c r="F441" s="9" t="s">
        <v>1256</v>
      </c>
      <c r="G441" s="12" t="s">
        <v>1257</v>
      </c>
      <c r="H441" s="9" t="s">
        <v>1258</v>
      </c>
      <c r="I441" s="10">
        <v>45546</v>
      </c>
    </row>
    <row r="442" spans="1:9" x14ac:dyDescent="0.15">
      <c r="A442" s="9">
        <v>441</v>
      </c>
      <c r="B442" s="9" t="s">
        <v>9</v>
      </c>
      <c r="C442" s="9">
        <v>1916</v>
      </c>
      <c r="D442" s="10">
        <v>45646</v>
      </c>
      <c r="E442" s="13" t="str">
        <f>+HYPERLINK("http://trademark.i-assist.jp/data/china/image_1916th/80872255.pdf","80872255")</f>
        <v>80872255</v>
      </c>
      <c r="F442" s="9" t="s">
        <v>1259</v>
      </c>
      <c r="G442" s="9" t="s">
        <v>1260</v>
      </c>
      <c r="H442" s="9" t="s">
        <v>1261</v>
      </c>
      <c r="I442" s="10">
        <v>45546</v>
      </c>
    </row>
    <row r="443" spans="1:9" x14ac:dyDescent="0.15">
      <c r="A443" s="9">
        <v>442</v>
      </c>
      <c r="B443" s="9" t="s">
        <v>9</v>
      </c>
      <c r="C443" s="9">
        <v>1916</v>
      </c>
      <c r="D443" s="10">
        <v>45646</v>
      </c>
      <c r="E443" s="13" t="str">
        <f>+HYPERLINK("http://trademark.i-assist.jp/data/china/image_1916th/80873702.pdf","80873702")</f>
        <v>80873702</v>
      </c>
      <c r="F443" s="9" t="s">
        <v>1262</v>
      </c>
      <c r="G443" s="9" t="s">
        <v>1263</v>
      </c>
      <c r="H443" s="12" t="s">
        <v>1264</v>
      </c>
      <c r="I443" s="10">
        <v>45546</v>
      </c>
    </row>
    <row r="444" spans="1:9" x14ac:dyDescent="0.15">
      <c r="A444" s="9">
        <v>443</v>
      </c>
      <c r="B444" s="9" t="s">
        <v>9</v>
      </c>
      <c r="C444" s="9">
        <v>1916</v>
      </c>
      <c r="D444" s="10">
        <v>45646</v>
      </c>
      <c r="E444" s="13" t="str">
        <f>+HYPERLINK("http://trademark.i-assist.jp/data/china/image_1916th/80874658.pdf","80874658")</f>
        <v>80874658</v>
      </c>
      <c r="F444" s="9" t="s">
        <v>1265</v>
      </c>
      <c r="G444" s="12" t="s">
        <v>1266</v>
      </c>
      <c r="H444" s="9" t="s">
        <v>1267</v>
      </c>
      <c r="I444" s="10">
        <v>45546</v>
      </c>
    </row>
    <row r="445" spans="1:9" x14ac:dyDescent="0.15">
      <c r="A445" s="9">
        <v>444</v>
      </c>
      <c r="B445" s="9" t="s">
        <v>9</v>
      </c>
      <c r="C445" s="9">
        <v>1916</v>
      </c>
      <c r="D445" s="10">
        <v>45646</v>
      </c>
      <c r="E445" s="13" t="str">
        <f>+HYPERLINK("http://trademark.i-assist.jp/data/china/image_1916th/80876199.pdf","80876199")</f>
        <v>80876199</v>
      </c>
      <c r="F445" s="11" t="s">
        <v>1268</v>
      </c>
      <c r="G445" s="9" t="s">
        <v>1251</v>
      </c>
      <c r="H445" s="9" t="s">
        <v>1269</v>
      </c>
      <c r="I445" s="10">
        <v>45546</v>
      </c>
    </row>
    <row r="446" spans="1:9" x14ac:dyDescent="0.15">
      <c r="A446" s="9">
        <v>445</v>
      </c>
      <c r="B446" s="9" t="s">
        <v>9</v>
      </c>
      <c r="C446" s="9">
        <v>1916</v>
      </c>
      <c r="D446" s="10">
        <v>45646</v>
      </c>
      <c r="E446" s="13" t="str">
        <f>+HYPERLINK("http://trademark.i-assist.jp/data/china/image_1916th/80880758.pdf","80880758")</f>
        <v>80880758</v>
      </c>
      <c r="F446" s="9" t="s">
        <v>1270</v>
      </c>
      <c r="G446" s="12" t="s">
        <v>1271</v>
      </c>
      <c r="H446" s="9" t="s">
        <v>1272</v>
      </c>
      <c r="I446" s="10">
        <v>45547</v>
      </c>
    </row>
    <row r="447" spans="1:9" x14ac:dyDescent="0.15">
      <c r="A447" s="9">
        <v>446</v>
      </c>
      <c r="B447" s="9" t="s">
        <v>9</v>
      </c>
      <c r="C447" s="9">
        <v>1916</v>
      </c>
      <c r="D447" s="10">
        <v>45646</v>
      </c>
      <c r="E447" s="13" t="str">
        <f>+HYPERLINK("http://trademark.i-assist.jp/data/china/image_1916th/80880963.pdf","80880963")</f>
        <v>80880963</v>
      </c>
      <c r="F447" s="9" t="s">
        <v>1273</v>
      </c>
      <c r="G447" s="9" t="s">
        <v>1274</v>
      </c>
      <c r="H447" s="9" t="s">
        <v>1275</v>
      </c>
      <c r="I447" s="10">
        <v>45547</v>
      </c>
    </row>
    <row r="448" spans="1:9" x14ac:dyDescent="0.15">
      <c r="A448" s="9">
        <v>447</v>
      </c>
      <c r="B448" s="9" t="s">
        <v>9</v>
      </c>
      <c r="C448" s="9">
        <v>1916</v>
      </c>
      <c r="D448" s="10">
        <v>45646</v>
      </c>
      <c r="E448" s="13" t="str">
        <f>+HYPERLINK("http://trademark.i-assist.jp/data/china/image_1916th/80881444.pdf","80881444")</f>
        <v>80881444</v>
      </c>
      <c r="F448" s="9" t="s">
        <v>1276</v>
      </c>
      <c r="G448" s="9" t="s">
        <v>1277</v>
      </c>
      <c r="H448" s="9" t="s">
        <v>1278</v>
      </c>
      <c r="I448" s="10">
        <v>45547</v>
      </c>
    </row>
    <row r="449" spans="1:9" x14ac:dyDescent="0.15">
      <c r="A449" s="9">
        <v>448</v>
      </c>
      <c r="B449" s="9" t="s">
        <v>9</v>
      </c>
      <c r="C449" s="9">
        <v>1916</v>
      </c>
      <c r="D449" s="10">
        <v>45646</v>
      </c>
      <c r="E449" s="13" t="str">
        <f>+HYPERLINK("http://trademark.i-assist.jp/data/china/image_1916th/80882933.pdf","80882933")</f>
        <v>80882933</v>
      </c>
      <c r="F449" s="9" t="s">
        <v>1279</v>
      </c>
      <c r="G449" s="9" t="s">
        <v>1280</v>
      </c>
      <c r="H449" s="9" t="s">
        <v>1281</v>
      </c>
      <c r="I449" s="10">
        <v>45547</v>
      </c>
    </row>
    <row r="450" spans="1:9" x14ac:dyDescent="0.15">
      <c r="A450" s="9">
        <v>449</v>
      </c>
      <c r="B450" s="9" t="s">
        <v>9</v>
      </c>
      <c r="C450" s="9">
        <v>1916</v>
      </c>
      <c r="D450" s="10">
        <v>45646</v>
      </c>
      <c r="E450" s="13" t="str">
        <f>+HYPERLINK("http://trademark.i-assist.jp/data/china/image_1916th/80883190.pdf","80883190")</f>
        <v>80883190</v>
      </c>
      <c r="F450" s="9" t="s">
        <v>1282</v>
      </c>
      <c r="G450" s="12" t="s">
        <v>1283</v>
      </c>
      <c r="H450" s="9" t="s">
        <v>1284</v>
      </c>
      <c r="I450" s="10">
        <v>45547</v>
      </c>
    </row>
    <row r="451" spans="1:9" x14ac:dyDescent="0.15">
      <c r="A451" s="9">
        <v>450</v>
      </c>
      <c r="B451" s="9" t="s">
        <v>9</v>
      </c>
      <c r="C451" s="9">
        <v>1916</v>
      </c>
      <c r="D451" s="10">
        <v>45646</v>
      </c>
      <c r="E451" s="13" t="str">
        <f>+HYPERLINK("http://trademark.i-assist.jp/data/china/image_1916th/80884200.pdf","80884200")</f>
        <v>80884200</v>
      </c>
      <c r="F451" s="9" t="s">
        <v>1285</v>
      </c>
      <c r="G451" s="9" t="s">
        <v>1286</v>
      </c>
      <c r="H451" s="9" t="s">
        <v>1287</v>
      </c>
      <c r="I451" s="10">
        <v>45547</v>
      </c>
    </row>
    <row r="452" spans="1:9" x14ac:dyDescent="0.15">
      <c r="A452" s="9">
        <v>451</v>
      </c>
      <c r="B452" s="9" t="s">
        <v>9</v>
      </c>
      <c r="C452" s="9">
        <v>1916</v>
      </c>
      <c r="D452" s="10">
        <v>45646</v>
      </c>
      <c r="E452" s="13" t="str">
        <f>+HYPERLINK("http://trademark.i-assist.jp/data/china/image_1916th/80885654.pdf","80885654")</f>
        <v>80885654</v>
      </c>
      <c r="F452" s="9" t="s">
        <v>1288</v>
      </c>
      <c r="G452" s="9" t="s">
        <v>1289</v>
      </c>
      <c r="H452" s="12" t="s">
        <v>1290</v>
      </c>
      <c r="I452" s="10">
        <v>45547</v>
      </c>
    </row>
    <row r="453" spans="1:9" x14ac:dyDescent="0.15">
      <c r="A453" s="9">
        <v>452</v>
      </c>
      <c r="B453" s="9" t="s">
        <v>9</v>
      </c>
      <c r="C453" s="9">
        <v>1916</v>
      </c>
      <c r="D453" s="10">
        <v>45646</v>
      </c>
      <c r="E453" s="13" t="str">
        <f>+HYPERLINK("http://trademark.i-assist.jp/data/china/image_1916th/80885691.pdf","80885691")</f>
        <v>80885691</v>
      </c>
      <c r="F453" s="9" t="s">
        <v>1291</v>
      </c>
      <c r="G453" s="9" t="s">
        <v>1292</v>
      </c>
      <c r="H453" s="9" t="s">
        <v>1293</v>
      </c>
      <c r="I453" s="10">
        <v>45547</v>
      </c>
    </row>
    <row r="454" spans="1:9" x14ac:dyDescent="0.15">
      <c r="A454" s="9">
        <v>453</v>
      </c>
      <c r="B454" s="9" t="s">
        <v>9</v>
      </c>
      <c r="C454" s="9">
        <v>1916</v>
      </c>
      <c r="D454" s="10">
        <v>45646</v>
      </c>
      <c r="E454" s="13" t="str">
        <f>+HYPERLINK("http://trademark.i-assist.jp/data/china/image_1916th/80886342.pdf","80886342")</f>
        <v>80886342</v>
      </c>
      <c r="F454" s="9" t="s">
        <v>1294</v>
      </c>
      <c r="G454" s="9" t="s">
        <v>1295</v>
      </c>
      <c r="H454" s="9" t="s">
        <v>1296</v>
      </c>
      <c r="I454" s="10">
        <v>45547</v>
      </c>
    </row>
    <row r="455" spans="1:9" x14ac:dyDescent="0.15">
      <c r="A455" s="9">
        <v>454</v>
      </c>
      <c r="B455" s="9" t="s">
        <v>9</v>
      </c>
      <c r="C455" s="9">
        <v>1916</v>
      </c>
      <c r="D455" s="10">
        <v>45646</v>
      </c>
      <c r="E455" s="13" t="str">
        <f>+HYPERLINK("http://trademark.i-assist.jp/data/china/image_1916th/80887924.pdf","80887924")</f>
        <v>80887924</v>
      </c>
      <c r="F455" s="9" t="s">
        <v>1297</v>
      </c>
      <c r="G455" s="9" t="s">
        <v>1298</v>
      </c>
      <c r="H455" s="9" t="s">
        <v>1299</v>
      </c>
      <c r="I455" s="10">
        <v>45548</v>
      </c>
    </row>
    <row r="456" spans="1:9" x14ac:dyDescent="0.15">
      <c r="A456" s="9">
        <v>455</v>
      </c>
      <c r="B456" s="9" t="s">
        <v>9</v>
      </c>
      <c r="C456" s="9">
        <v>1916</v>
      </c>
      <c r="D456" s="10">
        <v>45646</v>
      </c>
      <c r="E456" s="13" t="str">
        <f>+HYPERLINK("http://trademark.i-assist.jp/data/china/image_1916th/80888209.pdf","80888209")</f>
        <v>80888209</v>
      </c>
      <c r="F456" s="9" t="s">
        <v>1300</v>
      </c>
      <c r="G456" s="12" t="s">
        <v>1301</v>
      </c>
      <c r="H456" s="9" t="s">
        <v>1302</v>
      </c>
      <c r="I456" s="10">
        <v>45548</v>
      </c>
    </row>
    <row r="457" spans="1:9" x14ac:dyDescent="0.15">
      <c r="A457" s="9">
        <v>456</v>
      </c>
      <c r="B457" s="9" t="s">
        <v>9</v>
      </c>
      <c r="C457" s="9">
        <v>1916</v>
      </c>
      <c r="D457" s="10">
        <v>45646</v>
      </c>
      <c r="E457" s="13" t="str">
        <f>+HYPERLINK("http://trademark.i-assist.jp/data/china/image_1916th/80888608.pdf","80888608")</f>
        <v>80888608</v>
      </c>
      <c r="F457" s="9" t="s">
        <v>1303</v>
      </c>
      <c r="G457" s="12" t="s">
        <v>1304</v>
      </c>
      <c r="H457" s="9" t="s">
        <v>1305</v>
      </c>
      <c r="I457" s="10">
        <v>45548</v>
      </c>
    </row>
    <row r="458" spans="1:9" x14ac:dyDescent="0.15">
      <c r="A458" s="9">
        <v>457</v>
      </c>
      <c r="B458" s="9" t="s">
        <v>9</v>
      </c>
      <c r="C458" s="9">
        <v>1916</v>
      </c>
      <c r="D458" s="10">
        <v>45646</v>
      </c>
      <c r="E458" s="13" t="str">
        <f>+HYPERLINK("http://trademark.i-assist.jp/data/china/image_1916th/80889000.pdf","80889000")</f>
        <v>80889000</v>
      </c>
      <c r="F458" s="9" t="s">
        <v>1306</v>
      </c>
      <c r="G458" s="12" t="s">
        <v>1307</v>
      </c>
      <c r="H458" s="9" t="s">
        <v>1308</v>
      </c>
      <c r="I458" s="10">
        <v>45548</v>
      </c>
    </row>
    <row r="459" spans="1:9" x14ac:dyDescent="0.15">
      <c r="A459" s="9">
        <v>458</v>
      </c>
      <c r="B459" s="9" t="s">
        <v>9</v>
      </c>
      <c r="C459" s="9">
        <v>1916</v>
      </c>
      <c r="D459" s="10">
        <v>45646</v>
      </c>
      <c r="E459" s="13" t="str">
        <f>+HYPERLINK("http://trademark.i-assist.jp/data/china/image_1916th/80889129.pdf","80889129")</f>
        <v>80889129</v>
      </c>
      <c r="F459" s="9" t="s">
        <v>1309</v>
      </c>
      <c r="G459" s="12" t="s">
        <v>1310</v>
      </c>
      <c r="H459" s="9" t="s">
        <v>1311</v>
      </c>
      <c r="I459" s="10">
        <v>45548</v>
      </c>
    </row>
    <row r="460" spans="1:9" x14ac:dyDescent="0.15">
      <c r="A460" s="9">
        <v>459</v>
      </c>
      <c r="B460" s="9" t="s">
        <v>9</v>
      </c>
      <c r="C460" s="9">
        <v>1916</v>
      </c>
      <c r="D460" s="10">
        <v>45646</v>
      </c>
      <c r="E460" s="13" t="str">
        <f>+HYPERLINK("http://trademark.i-assist.jp/data/china/image_1916th/80889540.pdf","80889540")</f>
        <v>80889540</v>
      </c>
      <c r="F460" s="9" t="s">
        <v>1312</v>
      </c>
      <c r="G460" s="12" t="s">
        <v>1313</v>
      </c>
      <c r="H460" s="9" t="s">
        <v>1314</v>
      </c>
      <c r="I460" s="10">
        <v>45549</v>
      </c>
    </row>
    <row r="461" spans="1:9" x14ac:dyDescent="0.15">
      <c r="A461" s="9">
        <v>460</v>
      </c>
      <c r="B461" s="9" t="s">
        <v>9</v>
      </c>
      <c r="C461" s="9">
        <v>1916</v>
      </c>
      <c r="D461" s="10">
        <v>45646</v>
      </c>
      <c r="E461" s="13" t="str">
        <f>+HYPERLINK("http://trademark.i-assist.jp/data/china/image_1916th/80889633.pdf","80889633")</f>
        <v>80889633</v>
      </c>
      <c r="F461" s="9" t="s">
        <v>1315</v>
      </c>
      <c r="G461" s="9" t="s">
        <v>1316</v>
      </c>
      <c r="H461" s="9" t="s">
        <v>1317</v>
      </c>
      <c r="I461" s="10">
        <v>45549</v>
      </c>
    </row>
    <row r="462" spans="1:9" x14ac:dyDescent="0.15">
      <c r="A462" s="9">
        <v>461</v>
      </c>
      <c r="B462" s="9" t="s">
        <v>9</v>
      </c>
      <c r="C462" s="9">
        <v>1916</v>
      </c>
      <c r="D462" s="10">
        <v>45646</v>
      </c>
      <c r="E462" s="13" t="str">
        <f>+HYPERLINK("http://trademark.i-assist.jp/data/china/image_1916th/80890998.pdf","80890998")</f>
        <v>80890998</v>
      </c>
      <c r="F462" s="9" t="s">
        <v>1318</v>
      </c>
      <c r="G462" s="9" t="s">
        <v>1319</v>
      </c>
      <c r="H462" s="9" t="s">
        <v>1320</v>
      </c>
      <c r="I462" s="10">
        <v>45547</v>
      </c>
    </row>
    <row r="463" spans="1:9" x14ac:dyDescent="0.15">
      <c r="A463" s="9">
        <v>462</v>
      </c>
      <c r="B463" s="9" t="s">
        <v>9</v>
      </c>
      <c r="C463" s="9">
        <v>1916</v>
      </c>
      <c r="D463" s="10">
        <v>45646</v>
      </c>
      <c r="E463" s="13" t="str">
        <f>+HYPERLINK("http://trademark.i-assist.jp/data/china/image_1916th/80892253.pdf","80892253")</f>
        <v>80892253</v>
      </c>
      <c r="F463" s="12" t="s">
        <v>1321</v>
      </c>
      <c r="G463" s="9" t="s">
        <v>1280</v>
      </c>
      <c r="H463" s="9" t="s">
        <v>1322</v>
      </c>
      <c r="I463" s="10">
        <v>45547</v>
      </c>
    </row>
    <row r="464" spans="1:9" x14ac:dyDescent="0.15">
      <c r="A464" s="9">
        <v>463</v>
      </c>
      <c r="B464" s="9" t="s">
        <v>9</v>
      </c>
      <c r="C464" s="9">
        <v>1916</v>
      </c>
      <c r="D464" s="10">
        <v>45646</v>
      </c>
      <c r="E464" s="13" t="str">
        <f>+HYPERLINK("http://trademark.i-assist.jp/data/china/image_1916th/80893177.pdf","80893177")</f>
        <v>80893177</v>
      </c>
      <c r="F464" s="9" t="s">
        <v>1323</v>
      </c>
      <c r="G464" s="9" t="s">
        <v>1324</v>
      </c>
      <c r="H464" s="12" t="s">
        <v>1325</v>
      </c>
      <c r="I464" s="10">
        <v>45547</v>
      </c>
    </row>
    <row r="465" spans="1:9" x14ac:dyDescent="0.15">
      <c r="A465" s="9">
        <v>464</v>
      </c>
      <c r="B465" s="9" t="s">
        <v>9</v>
      </c>
      <c r="C465" s="9">
        <v>1916</v>
      </c>
      <c r="D465" s="10">
        <v>45646</v>
      </c>
      <c r="E465" s="13" t="str">
        <f>+HYPERLINK("http://trademark.i-assist.jp/data/china/image_1916th/80893276.pdf","80893276")</f>
        <v>80893276</v>
      </c>
      <c r="F465" s="9" t="s">
        <v>1326</v>
      </c>
      <c r="G465" s="9" t="s">
        <v>44</v>
      </c>
      <c r="H465" s="9" t="s">
        <v>1327</v>
      </c>
      <c r="I465" s="10">
        <v>45547</v>
      </c>
    </row>
    <row r="466" spans="1:9" x14ac:dyDescent="0.15">
      <c r="A466" s="9">
        <v>465</v>
      </c>
      <c r="B466" s="9" t="s">
        <v>9</v>
      </c>
      <c r="C466" s="9">
        <v>1916</v>
      </c>
      <c r="D466" s="10">
        <v>45646</v>
      </c>
      <c r="E466" s="13" t="str">
        <f>+HYPERLINK("http://trademark.i-assist.jp/data/china/image_1916th/80894340.pdf","80894340")</f>
        <v>80894340</v>
      </c>
      <c r="F466" s="9" t="s">
        <v>1328</v>
      </c>
      <c r="G466" s="9" t="s">
        <v>1329</v>
      </c>
      <c r="H466" s="9" t="s">
        <v>1330</v>
      </c>
      <c r="I466" s="10">
        <v>45547</v>
      </c>
    </row>
    <row r="467" spans="1:9" x14ac:dyDescent="0.15">
      <c r="A467" s="9">
        <v>466</v>
      </c>
      <c r="B467" s="9" t="s">
        <v>9</v>
      </c>
      <c r="C467" s="9">
        <v>1916</v>
      </c>
      <c r="D467" s="10">
        <v>45646</v>
      </c>
      <c r="E467" s="13" t="str">
        <f>+HYPERLINK("http://trademark.i-assist.jp/data/china/image_1916th/80894477.pdf","80894477")</f>
        <v>80894477</v>
      </c>
      <c r="F467" s="9" t="s">
        <v>1331</v>
      </c>
      <c r="G467" s="9" t="s">
        <v>1332</v>
      </c>
      <c r="H467" s="9" t="s">
        <v>1333</v>
      </c>
      <c r="I467" s="10">
        <v>45547</v>
      </c>
    </row>
    <row r="468" spans="1:9" x14ac:dyDescent="0.15">
      <c r="A468" s="9">
        <v>467</v>
      </c>
      <c r="B468" s="9" t="s">
        <v>9</v>
      </c>
      <c r="C468" s="9">
        <v>1916</v>
      </c>
      <c r="D468" s="10">
        <v>45646</v>
      </c>
      <c r="E468" s="13" t="str">
        <f>+HYPERLINK("http://trademark.i-assist.jp/data/china/image_1916th/80894531.pdf","80894531")</f>
        <v>80894531</v>
      </c>
      <c r="F468" s="9" t="s">
        <v>1334</v>
      </c>
      <c r="G468" s="12" t="s">
        <v>1335</v>
      </c>
      <c r="H468" s="9" t="s">
        <v>1336</v>
      </c>
      <c r="I468" s="10">
        <v>45547</v>
      </c>
    </row>
    <row r="469" spans="1:9" x14ac:dyDescent="0.15">
      <c r="A469" s="9">
        <v>468</v>
      </c>
      <c r="B469" s="9" t="s">
        <v>9</v>
      </c>
      <c r="C469" s="9">
        <v>1916</v>
      </c>
      <c r="D469" s="10">
        <v>45646</v>
      </c>
      <c r="E469" s="13" t="str">
        <f>+HYPERLINK("http://trademark.i-assist.jp/data/china/image_1916th/80894542.pdf","80894542")</f>
        <v>80894542</v>
      </c>
      <c r="F469" s="9" t="s">
        <v>1337</v>
      </c>
      <c r="G469" s="9" t="s">
        <v>1338</v>
      </c>
      <c r="H469" s="9" t="s">
        <v>1339</v>
      </c>
      <c r="I469" s="10">
        <v>45547</v>
      </c>
    </row>
    <row r="470" spans="1:9" x14ac:dyDescent="0.15">
      <c r="A470" s="9">
        <v>469</v>
      </c>
      <c r="B470" s="9" t="s">
        <v>9</v>
      </c>
      <c r="C470" s="9">
        <v>1916</v>
      </c>
      <c r="D470" s="10">
        <v>45646</v>
      </c>
      <c r="E470" s="13" t="str">
        <f>+HYPERLINK("http://trademark.i-assist.jp/data/china/image_1916th/80895926.pdf","80895926")</f>
        <v>80895926</v>
      </c>
      <c r="F470" s="9" t="s">
        <v>1340</v>
      </c>
      <c r="G470" s="9" t="s">
        <v>1341</v>
      </c>
      <c r="H470" s="9" t="s">
        <v>1342</v>
      </c>
      <c r="I470" s="10">
        <v>45547</v>
      </c>
    </row>
    <row r="471" spans="1:9" x14ac:dyDescent="0.15">
      <c r="A471" s="9">
        <v>470</v>
      </c>
      <c r="B471" s="9" t="s">
        <v>9</v>
      </c>
      <c r="C471" s="9">
        <v>1916</v>
      </c>
      <c r="D471" s="10">
        <v>45646</v>
      </c>
      <c r="E471" s="13" t="str">
        <f>+HYPERLINK("http://trademark.i-assist.jp/data/china/image_1916th/80897916.pdf","80897916")</f>
        <v>80897916</v>
      </c>
      <c r="F471" s="9" t="s">
        <v>1343</v>
      </c>
      <c r="G471" s="12" t="s">
        <v>1344</v>
      </c>
      <c r="H471" s="9" t="s">
        <v>1345</v>
      </c>
      <c r="I471" s="10">
        <v>45547</v>
      </c>
    </row>
    <row r="472" spans="1:9" x14ac:dyDescent="0.15">
      <c r="A472" s="9">
        <v>471</v>
      </c>
      <c r="B472" s="9" t="s">
        <v>9</v>
      </c>
      <c r="C472" s="9">
        <v>1916</v>
      </c>
      <c r="D472" s="10">
        <v>45646</v>
      </c>
      <c r="E472" s="13" t="str">
        <f>+HYPERLINK("http://trademark.i-assist.jp/data/china/image_1916th/80898227.pdf","80898227")</f>
        <v>80898227</v>
      </c>
      <c r="F472" s="9" t="s">
        <v>1346</v>
      </c>
      <c r="G472" s="9" t="s">
        <v>1347</v>
      </c>
      <c r="H472" s="9" t="s">
        <v>1348</v>
      </c>
      <c r="I472" s="10">
        <v>45547</v>
      </c>
    </row>
    <row r="473" spans="1:9" x14ac:dyDescent="0.15">
      <c r="A473" s="9">
        <v>472</v>
      </c>
      <c r="B473" s="9" t="s">
        <v>9</v>
      </c>
      <c r="C473" s="9">
        <v>1916</v>
      </c>
      <c r="D473" s="10">
        <v>45646</v>
      </c>
      <c r="E473" s="13" t="str">
        <f>+HYPERLINK("http://trademark.i-assist.jp/data/china/image_1916th/80899127.pdf","80899127")</f>
        <v>80899127</v>
      </c>
      <c r="F473" s="12" t="s">
        <v>1349</v>
      </c>
      <c r="G473" s="12" t="s">
        <v>1350</v>
      </c>
      <c r="H473" s="9" t="s">
        <v>1351</v>
      </c>
      <c r="I473" s="10">
        <v>45547</v>
      </c>
    </row>
    <row r="474" spans="1:9" x14ac:dyDescent="0.15">
      <c r="A474" s="9">
        <v>473</v>
      </c>
      <c r="B474" s="9" t="s">
        <v>9</v>
      </c>
      <c r="C474" s="9">
        <v>1916</v>
      </c>
      <c r="D474" s="10">
        <v>45646</v>
      </c>
      <c r="E474" s="13" t="str">
        <f>+HYPERLINK("http://trademark.i-assist.jp/data/china/image_1916th/80899817.pdf","80899817")</f>
        <v>80899817</v>
      </c>
      <c r="F474" s="12" t="s">
        <v>13</v>
      </c>
      <c r="G474" s="12" t="s">
        <v>1352</v>
      </c>
      <c r="H474" s="9" t="s">
        <v>1353</v>
      </c>
      <c r="I474" s="10">
        <v>45547</v>
      </c>
    </row>
    <row r="475" spans="1:9" x14ac:dyDescent="0.15">
      <c r="A475" s="9">
        <v>474</v>
      </c>
      <c r="B475" s="9" t="s">
        <v>9</v>
      </c>
      <c r="C475" s="9">
        <v>1916</v>
      </c>
      <c r="D475" s="10">
        <v>45646</v>
      </c>
      <c r="E475" s="13" t="str">
        <f>+HYPERLINK("http://trademark.i-assist.jp/data/china/image_1916th/80901672.pdf","80901672")</f>
        <v>80901672</v>
      </c>
      <c r="F475" s="9" t="s">
        <v>1354</v>
      </c>
      <c r="G475" s="9" t="s">
        <v>1355</v>
      </c>
      <c r="H475" s="9" t="s">
        <v>1356</v>
      </c>
      <c r="I475" s="10">
        <v>45548</v>
      </c>
    </row>
    <row r="476" spans="1:9" x14ac:dyDescent="0.15">
      <c r="A476" s="9">
        <v>475</v>
      </c>
      <c r="B476" s="9" t="s">
        <v>9</v>
      </c>
      <c r="C476" s="9">
        <v>1916</v>
      </c>
      <c r="D476" s="10">
        <v>45646</v>
      </c>
      <c r="E476" s="13" t="str">
        <f>+HYPERLINK("http://trademark.i-assist.jp/data/china/image_1916th/80902325.pdf","80902325")</f>
        <v>80902325</v>
      </c>
      <c r="F476" s="9" t="s">
        <v>1357</v>
      </c>
      <c r="G476" s="12" t="s">
        <v>1350</v>
      </c>
      <c r="H476" s="9" t="s">
        <v>1358</v>
      </c>
      <c r="I476" s="10">
        <v>45547</v>
      </c>
    </row>
    <row r="477" spans="1:9" x14ac:dyDescent="0.15">
      <c r="A477" s="9">
        <v>476</v>
      </c>
      <c r="B477" s="9" t="s">
        <v>9</v>
      </c>
      <c r="C477" s="9">
        <v>1916</v>
      </c>
      <c r="D477" s="10">
        <v>45646</v>
      </c>
      <c r="E477" s="13" t="str">
        <f>+HYPERLINK("http://trademark.i-assist.jp/data/china/image_1916th/80903847.pdf","80903847")</f>
        <v>80903847</v>
      </c>
      <c r="F477" s="9" t="s">
        <v>1359</v>
      </c>
      <c r="G477" s="9" t="s">
        <v>1360</v>
      </c>
      <c r="H477" s="9" t="s">
        <v>1361</v>
      </c>
      <c r="I477" s="10">
        <v>45548</v>
      </c>
    </row>
    <row r="478" spans="1:9" x14ac:dyDescent="0.15">
      <c r="A478" s="9">
        <v>477</v>
      </c>
      <c r="B478" s="9" t="s">
        <v>9</v>
      </c>
      <c r="C478" s="9">
        <v>1916</v>
      </c>
      <c r="D478" s="10">
        <v>45646</v>
      </c>
      <c r="E478" s="13" t="str">
        <f>+HYPERLINK("http://trademark.i-assist.jp/data/china/image_1916th/80904207.pdf","80904207")</f>
        <v>80904207</v>
      </c>
      <c r="F478" s="9" t="s">
        <v>1362</v>
      </c>
      <c r="G478" s="12" t="s">
        <v>1313</v>
      </c>
      <c r="H478" s="9" t="s">
        <v>1363</v>
      </c>
      <c r="I478" s="10">
        <v>45548</v>
      </c>
    </row>
    <row r="479" spans="1:9" x14ac:dyDescent="0.15">
      <c r="A479" s="9">
        <v>478</v>
      </c>
      <c r="B479" s="9" t="s">
        <v>9</v>
      </c>
      <c r="C479" s="9">
        <v>1916</v>
      </c>
      <c r="D479" s="10">
        <v>45646</v>
      </c>
      <c r="E479" s="13" t="str">
        <f>+HYPERLINK("http://trademark.i-assist.jp/data/china/image_1916th/80904413.pdf","80904413")</f>
        <v>80904413</v>
      </c>
      <c r="F479" s="9" t="s">
        <v>1364</v>
      </c>
      <c r="G479" s="9" t="s">
        <v>1365</v>
      </c>
      <c r="H479" s="9" t="s">
        <v>11</v>
      </c>
      <c r="I479" s="10">
        <v>45548</v>
      </c>
    </row>
    <row r="480" spans="1:9" x14ac:dyDescent="0.15">
      <c r="A480" s="9">
        <v>479</v>
      </c>
      <c r="B480" s="9" t="s">
        <v>9</v>
      </c>
      <c r="C480" s="9">
        <v>1916</v>
      </c>
      <c r="D480" s="10">
        <v>45646</v>
      </c>
      <c r="E480" s="13" t="str">
        <f>+HYPERLINK("http://trademark.i-assist.jp/data/china/image_1916th/80907125.pdf","80907125")</f>
        <v>80907125</v>
      </c>
      <c r="F480" s="9" t="s">
        <v>1366</v>
      </c>
      <c r="G480" s="9" t="s">
        <v>1367</v>
      </c>
      <c r="H480" s="9" t="s">
        <v>1368</v>
      </c>
      <c r="I480" s="10">
        <v>45548</v>
      </c>
    </row>
    <row r="481" spans="1:9" x14ac:dyDescent="0.15">
      <c r="A481" s="9">
        <v>480</v>
      </c>
      <c r="B481" s="9" t="s">
        <v>9</v>
      </c>
      <c r="C481" s="9">
        <v>1916</v>
      </c>
      <c r="D481" s="10">
        <v>45646</v>
      </c>
      <c r="E481" s="13" t="str">
        <f>+HYPERLINK("http://trademark.i-assist.jp/data/china/image_1916th/80907559.pdf","80907559")</f>
        <v>80907559</v>
      </c>
      <c r="F481" s="12" t="s">
        <v>1369</v>
      </c>
      <c r="G481" s="12" t="s">
        <v>1110</v>
      </c>
      <c r="H481" s="9" t="s">
        <v>1370</v>
      </c>
      <c r="I481" s="10">
        <v>45548</v>
      </c>
    </row>
    <row r="482" spans="1:9" x14ac:dyDescent="0.15">
      <c r="A482" s="9">
        <v>481</v>
      </c>
      <c r="B482" s="9" t="s">
        <v>9</v>
      </c>
      <c r="C482" s="9">
        <v>1916</v>
      </c>
      <c r="D482" s="10">
        <v>45646</v>
      </c>
      <c r="E482" s="13" t="str">
        <f>+HYPERLINK("http://trademark.i-assist.jp/data/china/image_1916th/80908409.pdf","80908409")</f>
        <v>80908409</v>
      </c>
      <c r="F482" s="9" t="s">
        <v>1371</v>
      </c>
      <c r="G482" s="12" t="s">
        <v>1301</v>
      </c>
      <c r="H482" s="9" t="s">
        <v>1372</v>
      </c>
      <c r="I482" s="10">
        <v>45548</v>
      </c>
    </row>
    <row r="483" spans="1:9" x14ac:dyDescent="0.15">
      <c r="A483" s="9">
        <v>482</v>
      </c>
      <c r="B483" s="9" t="s">
        <v>9</v>
      </c>
      <c r="C483" s="9">
        <v>1916</v>
      </c>
      <c r="D483" s="10">
        <v>45646</v>
      </c>
      <c r="E483" s="13" t="str">
        <f>+HYPERLINK("http://trademark.i-assist.jp/data/china/image_1916th/80908428.pdf","80908428")</f>
        <v>80908428</v>
      </c>
      <c r="F483" s="9" t="s">
        <v>1373</v>
      </c>
      <c r="G483" s="9" t="s">
        <v>1374</v>
      </c>
      <c r="H483" s="12" t="s">
        <v>1375</v>
      </c>
      <c r="I483" s="10">
        <v>45548</v>
      </c>
    </row>
    <row r="484" spans="1:9" x14ac:dyDescent="0.15">
      <c r="A484" s="9">
        <v>483</v>
      </c>
      <c r="B484" s="9" t="s">
        <v>9</v>
      </c>
      <c r="C484" s="9">
        <v>1916</v>
      </c>
      <c r="D484" s="10">
        <v>45646</v>
      </c>
      <c r="E484" s="13" t="str">
        <f>+HYPERLINK("http://trademark.i-assist.jp/data/china/image_1916th/80909245.pdf","80909245")</f>
        <v>80909245</v>
      </c>
      <c r="F484" s="9" t="s">
        <v>1376</v>
      </c>
      <c r="G484" s="9" t="s">
        <v>1377</v>
      </c>
      <c r="H484" s="9" t="s">
        <v>1378</v>
      </c>
      <c r="I484" s="10">
        <v>45548</v>
      </c>
    </row>
    <row r="485" spans="1:9" x14ac:dyDescent="0.15">
      <c r="A485" s="9">
        <v>484</v>
      </c>
      <c r="B485" s="9" t="s">
        <v>9</v>
      </c>
      <c r="C485" s="9">
        <v>1916</v>
      </c>
      <c r="D485" s="10">
        <v>45646</v>
      </c>
      <c r="E485" s="13" t="str">
        <f>+HYPERLINK("http://trademark.i-assist.jp/data/china/image_1916th/80909299.pdf","80909299")</f>
        <v>80909299</v>
      </c>
      <c r="F485" s="9" t="s">
        <v>1379</v>
      </c>
      <c r="G485" s="12" t="s">
        <v>1380</v>
      </c>
      <c r="H485" s="12" t="s">
        <v>1381</v>
      </c>
      <c r="I485" s="10">
        <v>45548</v>
      </c>
    </row>
    <row r="486" spans="1:9" x14ac:dyDescent="0.15">
      <c r="A486" s="9">
        <v>485</v>
      </c>
      <c r="B486" s="9" t="s">
        <v>9</v>
      </c>
      <c r="C486" s="9">
        <v>1916</v>
      </c>
      <c r="D486" s="10">
        <v>45646</v>
      </c>
      <c r="E486" s="13" t="str">
        <f>+HYPERLINK("http://trademark.i-assist.jp/data/china/image_1916th/80909572.pdf","80909572")</f>
        <v>80909572</v>
      </c>
      <c r="F486" s="9" t="s">
        <v>1382</v>
      </c>
      <c r="G486" s="12" t="s">
        <v>1383</v>
      </c>
      <c r="H486" s="9" t="s">
        <v>1384</v>
      </c>
      <c r="I486" s="10">
        <v>45548</v>
      </c>
    </row>
    <row r="487" spans="1:9" x14ac:dyDescent="0.15">
      <c r="A487" s="9">
        <v>486</v>
      </c>
      <c r="B487" s="9" t="s">
        <v>9</v>
      </c>
      <c r="C487" s="9">
        <v>1916</v>
      </c>
      <c r="D487" s="10">
        <v>45646</v>
      </c>
      <c r="E487" s="13" t="str">
        <f>+HYPERLINK("http://trademark.i-assist.jp/data/china/image_1916th/80910010.pdf","80910010")</f>
        <v>80910010</v>
      </c>
      <c r="F487" s="9" t="s">
        <v>1385</v>
      </c>
      <c r="G487" s="9" t="s">
        <v>1386</v>
      </c>
      <c r="H487" s="12" t="s">
        <v>1387</v>
      </c>
      <c r="I487" s="10">
        <v>45548</v>
      </c>
    </row>
    <row r="488" spans="1:9" x14ac:dyDescent="0.15">
      <c r="A488" s="9">
        <v>487</v>
      </c>
      <c r="B488" s="9" t="s">
        <v>9</v>
      </c>
      <c r="C488" s="9">
        <v>1916</v>
      </c>
      <c r="D488" s="10">
        <v>45646</v>
      </c>
      <c r="E488" s="13" t="str">
        <f>+HYPERLINK("http://trademark.i-assist.jp/data/china/image_1916th/80911227.pdf","80911227")</f>
        <v>80911227</v>
      </c>
      <c r="F488" s="9" t="s">
        <v>1388</v>
      </c>
      <c r="G488" s="9" t="s">
        <v>1389</v>
      </c>
      <c r="H488" s="9" t="s">
        <v>1390</v>
      </c>
      <c r="I488" s="10">
        <v>45548</v>
      </c>
    </row>
    <row r="489" spans="1:9" x14ac:dyDescent="0.15">
      <c r="A489" s="9">
        <v>488</v>
      </c>
      <c r="B489" s="9" t="s">
        <v>9</v>
      </c>
      <c r="C489" s="9">
        <v>1916</v>
      </c>
      <c r="D489" s="10">
        <v>45646</v>
      </c>
      <c r="E489" s="13" t="str">
        <f>+HYPERLINK("http://trademark.i-assist.jp/data/china/image_1916th/80911329.pdf","80911329")</f>
        <v>80911329</v>
      </c>
      <c r="F489" s="12" t="s">
        <v>1391</v>
      </c>
      <c r="G489" s="12" t="s">
        <v>1392</v>
      </c>
      <c r="H489" s="9" t="s">
        <v>1393</v>
      </c>
      <c r="I489" s="10">
        <v>45548</v>
      </c>
    </row>
    <row r="490" spans="1:9" x14ac:dyDescent="0.15">
      <c r="A490" s="9">
        <v>489</v>
      </c>
      <c r="B490" s="9" t="s">
        <v>9</v>
      </c>
      <c r="C490" s="9">
        <v>1916</v>
      </c>
      <c r="D490" s="10">
        <v>45646</v>
      </c>
      <c r="E490" s="13" t="str">
        <f>+HYPERLINK("http://trademark.i-assist.jp/data/china/image_1916th/80911382.pdf","80911382")</f>
        <v>80911382</v>
      </c>
      <c r="F490" s="12" t="s">
        <v>1394</v>
      </c>
      <c r="G490" s="12" t="s">
        <v>1395</v>
      </c>
      <c r="H490" s="9" t="s">
        <v>1396</v>
      </c>
      <c r="I490" s="10">
        <v>45548</v>
      </c>
    </row>
    <row r="491" spans="1:9" x14ac:dyDescent="0.15">
      <c r="A491" s="9">
        <v>490</v>
      </c>
      <c r="B491" s="9" t="s">
        <v>9</v>
      </c>
      <c r="C491" s="9">
        <v>1916</v>
      </c>
      <c r="D491" s="10">
        <v>45646</v>
      </c>
      <c r="E491" s="13" t="str">
        <f>+HYPERLINK("http://trademark.i-assist.jp/data/china/image_1916th/80912139.pdf","80912139")</f>
        <v>80912139</v>
      </c>
      <c r="F491" s="12" t="s">
        <v>1397</v>
      </c>
      <c r="G491" s="12" t="s">
        <v>1398</v>
      </c>
      <c r="H491" s="12" t="s">
        <v>1399</v>
      </c>
      <c r="I491" s="10">
        <v>45548</v>
      </c>
    </row>
    <row r="492" spans="1:9" x14ac:dyDescent="0.15">
      <c r="A492" s="9">
        <v>491</v>
      </c>
      <c r="B492" s="9" t="s">
        <v>9</v>
      </c>
      <c r="C492" s="9">
        <v>1916</v>
      </c>
      <c r="D492" s="10">
        <v>45646</v>
      </c>
      <c r="E492" s="13" t="str">
        <f>+HYPERLINK("http://trademark.i-assist.jp/data/china/image_1916th/80912322.pdf","80912322")</f>
        <v>80912322</v>
      </c>
      <c r="F492" s="9" t="s">
        <v>1400</v>
      </c>
      <c r="G492" s="12" t="s">
        <v>1401</v>
      </c>
      <c r="H492" s="9" t="s">
        <v>1402</v>
      </c>
      <c r="I492" s="10">
        <v>45548</v>
      </c>
    </row>
    <row r="493" spans="1:9" x14ac:dyDescent="0.15">
      <c r="A493" s="9">
        <v>492</v>
      </c>
      <c r="B493" s="9" t="s">
        <v>9</v>
      </c>
      <c r="C493" s="9">
        <v>1916</v>
      </c>
      <c r="D493" s="10">
        <v>45646</v>
      </c>
      <c r="E493" s="13" t="str">
        <f>+HYPERLINK("http://trademark.i-assist.jp/data/china/image_1916th/80912460.pdf","80912460")</f>
        <v>80912460</v>
      </c>
      <c r="F493" s="9" t="s">
        <v>1403</v>
      </c>
      <c r="G493" s="12" t="s">
        <v>61</v>
      </c>
      <c r="H493" s="9" t="s">
        <v>1404</v>
      </c>
      <c r="I493" s="10">
        <v>45548</v>
      </c>
    </row>
    <row r="494" spans="1:9" x14ac:dyDescent="0.15">
      <c r="A494" s="9">
        <v>493</v>
      </c>
      <c r="B494" s="9" t="s">
        <v>9</v>
      </c>
      <c r="C494" s="9">
        <v>1916</v>
      </c>
      <c r="D494" s="10">
        <v>45646</v>
      </c>
      <c r="E494" s="13" t="str">
        <f>+HYPERLINK("http://trademark.i-assist.jp/data/china/image_1916th/80913244.pdf","80913244")</f>
        <v>80913244</v>
      </c>
      <c r="F494" s="9" t="s">
        <v>1405</v>
      </c>
      <c r="G494" s="9" t="s">
        <v>1406</v>
      </c>
      <c r="H494" s="9" t="s">
        <v>1407</v>
      </c>
      <c r="I494" s="10">
        <v>45547</v>
      </c>
    </row>
    <row r="495" spans="1:9" x14ac:dyDescent="0.15">
      <c r="A495" s="9">
        <v>494</v>
      </c>
      <c r="B495" s="9" t="s">
        <v>9</v>
      </c>
      <c r="C495" s="9">
        <v>1916</v>
      </c>
      <c r="D495" s="10">
        <v>45646</v>
      </c>
      <c r="E495" s="13" t="str">
        <f>+HYPERLINK("http://trademark.i-assist.jp/data/china/image_1916th/80913700.pdf","80913700")</f>
        <v>80913700</v>
      </c>
      <c r="F495" s="12" t="s">
        <v>1408</v>
      </c>
      <c r="G495" s="12" t="s">
        <v>1409</v>
      </c>
      <c r="H495" s="9" t="s">
        <v>1410</v>
      </c>
      <c r="I495" s="10">
        <v>45547</v>
      </c>
    </row>
    <row r="496" spans="1:9" x14ac:dyDescent="0.15">
      <c r="A496" s="9">
        <v>495</v>
      </c>
      <c r="B496" s="9" t="s">
        <v>9</v>
      </c>
      <c r="C496" s="9">
        <v>1916</v>
      </c>
      <c r="D496" s="10">
        <v>45646</v>
      </c>
      <c r="E496" s="13" t="str">
        <f>+HYPERLINK("http://trademark.i-assist.jp/data/china/image_1916th/80915442.pdf","80915442")</f>
        <v>80915442</v>
      </c>
      <c r="F496" s="9" t="s">
        <v>1411</v>
      </c>
      <c r="G496" s="12" t="s">
        <v>34</v>
      </c>
      <c r="H496" s="9" t="s">
        <v>1412</v>
      </c>
      <c r="I496" s="10">
        <v>45548</v>
      </c>
    </row>
    <row r="497" spans="1:9" x14ac:dyDescent="0.15">
      <c r="A497" s="9">
        <v>496</v>
      </c>
      <c r="B497" s="9" t="s">
        <v>9</v>
      </c>
      <c r="C497" s="9">
        <v>1916</v>
      </c>
      <c r="D497" s="10">
        <v>45646</v>
      </c>
      <c r="E497" s="13" t="str">
        <f>+HYPERLINK("http://trademark.i-assist.jp/data/china/image_1916th/80916027.pdf","80916027")</f>
        <v>80916027</v>
      </c>
      <c r="F497" s="9" t="s">
        <v>1413</v>
      </c>
      <c r="G497" s="9" t="s">
        <v>1414</v>
      </c>
      <c r="H497" s="9" t="s">
        <v>1415</v>
      </c>
      <c r="I497" s="10">
        <v>45548</v>
      </c>
    </row>
    <row r="498" spans="1:9" x14ac:dyDescent="0.15">
      <c r="A498" s="9">
        <v>497</v>
      </c>
      <c r="B498" s="9" t="s">
        <v>9</v>
      </c>
      <c r="C498" s="9">
        <v>1916</v>
      </c>
      <c r="D498" s="10">
        <v>45646</v>
      </c>
      <c r="E498" s="13" t="str">
        <f>+HYPERLINK("http://trademark.i-assist.jp/data/china/image_1916th/80916069.pdf","80916069")</f>
        <v>80916069</v>
      </c>
      <c r="F498" s="9" t="s">
        <v>1416</v>
      </c>
      <c r="G498" s="12" t="s">
        <v>1417</v>
      </c>
      <c r="H498" s="9" t="s">
        <v>1418</v>
      </c>
      <c r="I498" s="10">
        <v>45548</v>
      </c>
    </row>
    <row r="499" spans="1:9" x14ac:dyDescent="0.15">
      <c r="A499" s="9">
        <v>498</v>
      </c>
      <c r="B499" s="9" t="s">
        <v>9</v>
      </c>
      <c r="C499" s="9">
        <v>1916</v>
      </c>
      <c r="D499" s="10">
        <v>45646</v>
      </c>
      <c r="E499" s="13" t="str">
        <f>+HYPERLINK("http://trademark.i-assist.jp/data/china/image_1916th/80917097.pdf","80917097")</f>
        <v>80917097</v>
      </c>
      <c r="F499" s="12" t="s">
        <v>13</v>
      </c>
      <c r="G499" s="9" t="s">
        <v>63</v>
      </c>
      <c r="H499" s="9" t="s">
        <v>1419</v>
      </c>
      <c r="I499" s="10">
        <v>45548</v>
      </c>
    </row>
    <row r="500" spans="1:9" x14ac:dyDescent="0.15">
      <c r="A500" s="9">
        <v>499</v>
      </c>
      <c r="B500" s="9" t="s">
        <v>9</v>
      </c>
      <c r="C500" s="9">
        <v>1916</v>
      </c>
      <c r="D500" s="10">
        <v>45646</v>
      </c>
      <c r="E500" s="13" t="str">
        <f>+HYPERLINK("http://trademark.i-assist.jp/data/china/image_1916th/80917293.pdf","80917293")</f>
        <v>80917293</v>
      </c>
      <c r="F500" s="9" t="s">
        <v>1420</v>
      </c>
      <c r="G500" s="12" t="s">
        <v>1421</v>
      </c>
      <c r="H500" s="9" t="s">
        <v>1422</v>
      </c>
      <c r="I500" s="10">
        <v>45548</v>
      </c>
    </row>
    <row r="501" spans="1:9" x14ac:dyDescent="0.15">
      <c r="A501" s="9">
        <v>500</v>
      </c>
      <c r="B501" s="9" t="s">
        <v>9</v>
      </c>
      <c r="C501" s="9">
        <v>1916</v>
      </c>
      <c r="D501" s="10">
        <v>45646</v>
      </c>
      <c r="E501" s="13" t="str">
        <f>+HYPERLINK("http://trademark.i-assist.jp/data/china/image_1916th/80921479.pdf","80921479")</f>
        <v>80921479</v>
      </c>
      <c r="F501" s="9" t="s">
        <v>1423</v>
      </c>
      <c r="G501" s="12" t="s">
        <v>1417</v>
      </c>
      <c r="H501" s="9" t="s">
        <v>1424</v>
      </c>
      <c r="I501" s="10">
        <v>45548</v>
      </c>
    </row>
    <row r="502" spans="1:9" x14ac:dyDescent="0.15">
      <c r="A502" s="9">
        <v>501</v>
      </c>
      <c r="B502" s="9" t="s">
        <v>9</v>
      </c>
      <c r="C502" s="9">
        <v>1916</v>
      </c>
      <c r="D502" s="10">
        <v>45646</v>
      </c>
      <c r="E502" s="13" t="str">
        <f>+HYPERLINK("http://trademark.i-assist.jp/data/china/image_1916th/80922529.pdf","80922529")</f>
        <v>80922529</v>
      </c>
      <c r="F502" s="12" t="s">
        <v>1425</v>
      </c>
      <c r="G502" s="9" t="s">
        <v>1426</v>
      </c>
      <c r="H502" s="9" t="s">
        <v>1427</v>
      </c>
      <c r="I502" s="10">
        <v>45548</v>
      </c>
    </row>
    <row r="503" spans="1:9" x14ac:dyDescent="0.15">
      <c r="A503" s="9">
        <v>502</v>
      </c>
      <c r="B503" s="9" t="s">
        <v>9</v>
      </c>
      <c r="C503" s="9">
        <v>1916</v>
      </c>
      <c r="D503" s="10">
        <v>45646</v>
      </c>
      <c r="E503" s="13" t="str">
        <f>+HYPERLINK("http://trademark.i-assist.jp/data/china/image_1916th/80922623.pdf","80922623")</f>
        <v>80922623</v>
      </c>
      <c r="F503" s="9" t="s">
        <v>1428</v>
      </c>
      <c r="G503" s="9" t="s">
        <v>1429</v>
      </c>
      <c r="H503" s="9" t="s">
        <v>1430</v>
      </c>
      <c r="I503" s="10">
        <v>45548</v>
      </c>
    </row>
    <row r="504" spans="1:9" x14ac:dyDescent="0.15">
      <c r="A504" s="9">
        <v>503</v>
      </c>
      <c r="B504" s="9" t="s">
        <v>9</v>
      </c>
      <c r="C504" s="9">
        <v>1916</v>
      </c>
      <c r="D504" s="10">
        <v>45646</v>
      </c>
      <c r="E504" s="13" t="str">
        <f>+HYPERLINK("http://trademark.i-assist.jp/data/china/image_1916th/80922819.pdf","80922819")</f>
        <v>80922819</v>
      </c>
      <c r="F504" s="12" t="s">
        <v>1431</v>
      </c>
      <c r="G504" s="9" t="s">
        <v>1432</v>
      </c>
      <c r="H504" s="9" t="s">
        <v>1433</v>
      </c>
      <c r="I504" s="10">
        <v>45548</v>
      </c>
    </row>
    <row r="505" spans="1:9" x14ac:dyDescent="0.15">
      <c r="A505" s="9">
        <v>504</v>
      </c>
      <c r="B505" s="9" t="s">
        <v>9</v>
      </c>
      <c r="C505" s="9">
        <v>1916</v>
      </c>
      <c r="D505" s="10">
        <v>45646</v>
      </c>
      <c r="E505" s="13" t="str">
        <f>+HYPERLINK("http://trademark.i-assist.jp/data/china/image_1916th/80923242.pdf","80923242")</f>
        <v>80923242</v>
      </c>
      <c r="F505" s="12" t="s">
        <v>1434</v>
      </c>
      <c r="G505" s="9" t="s">
        <v>1435</v>
      </c>
      <c r="H505" s="9" t="s">
        <v>1436</v>
      </c>
      <c r="I505" s="10">
        <v>45548</v>
      </c>
    </row>
    <row r="506" spans="1:9" x14ac:dyDescent="0.15">
      <c r="A506" s="9">
        <v>505</v>
      </c>
      <c r="B506" s="9" t="s">
        <v>9</v>
      </c>
      <c r="C506" s="9">
        <v>1916</v>
      </c>
      <c r="D506" s="10">
        <v>45646</v>
      </c>
      <c r="E506" s="13" t="str">
        <f>+HYPERLINK("http://trademark.i-assist.jp/data/china/image_1916th/80925180.pdf","80925180")</f>
        <v>80925180</v>
      </c>
      <c r="F506" s="9" t="s">
        <v>1437</v>
      </c>
      <c r="G506" s="9" t="s">
        <v>1230</v>
      </c>
      <c r="H506" s="9" t="s">
        <v>1438</v>
      </c>
      <c r="I506" s="10">
        <v>45547</v>
      </c>
    </row>
    <row r="507" spans="1:9" x14ac:dyDescent="0.15">
      <c r="A507" s="9">
        <v>506</v>
      </c>
      <c r="B507" s="9" t="s">
        <v>9</v>
      </c>
      <c r="C507" s="9">
        <v>1916</v>
      </c>
      <c r="D507" s="10">
        <v>45646</v>
      </c>
      <c r="E507" s="13" t="str">
        <f>+HYPERLINK("http://trademark.i-assist.jp/data/china/image_1916th/80925217.pdf","80925217")</f>
        <v>80925217</v>
      </c>
      <c r="F507" s="12" t="s">
        <v>13</v>
      </c>
      <c r="G507" s="12" t="s">
        <v>1439</v>
      </c>
      <c r="H507" s="9" t="s">
        <v>1440</v>
      </c>
      <c r="I507" s="10">
        <v>45547</v>
      </c>
    </row>
    <row r="508" spans="1:9" x14ac:dyDescent="0.15">
      <c r="A508" s="9">
        <v>507</v>
      </c>
      <c r="B508" s="9" t="s">
        <v>9</v>
      </c>
      <c r="C508" s="9">
        <v>1916</v>
      </c>
      <c r="D508" s="10">
        <v>45646</v>
      </c>
      <c r="E508" s="13" t="str">
        <f>+HYPERLINK("http://trademark.i-assist.jp/data/china/image_1916th/80927231.pdf","80927231")</f>
        <v>80927231</v>
      </c>
      <c r="F508" s="9" t="s">
        <v>1441</v>
      </c>
      <c r="G508" s="12" t="s">
        <v>1442</v>
      </c>
      <c r="H508" s="12" t="s">
        <v>1443</v>
      </c>
      <c r="I508" s="10">
        <v>45549</v>
      </c>
    </row>
    <row r="509" spans="1:9" x14ac:dyDescent="0.15">
      <c r="A509" s="9">
        <v>508</v>
      </c>
      <c r="B509" s="9" t="s">
        <v>9</v>
      </c>
      <c r="C509" s="9">
        <v>1916</v>
      </c>
      <c r="D509" s="10">
        <v>45646</v>
      </c>
      <c r="E509" s="13" t="str">
        <f>+HYPERLINK("http://trademark.i-assist.jp/data/china/image_1916th/80928095.pdf","80928095")</f>
        <v>80928095</v>
      </c>
      <c r="F509" s="9" t="s">
        <v>1444</v>
      </c>
      <c r="G509" s="9" t="s">
        <v>1445</v>
      </c>
      <c r="H509" s="9" t="s">
        <v>1446</v>
      </c>
      <c r="I509" s="10">
        <v>45549</v>
      </c>
    </row>
    <row r="510" spans="1:9" x14ac:dyDescent="0.15">
      <c r="A510" s="9">
        <v>509</v>
      </c>
      <c r="B510" s="9" t="s">
        <v>9</v>
      </c>
      <c r="C510" s="9">
        <v>1916</v>
      </c>
      <c r="D510" s="10">
        <v>45646</v>
      </c>
      <c r="E510" s="13" t="str">
        <f>+HYPERLINK("http://trademark.i-assist.jp/data/china/image_1916th/80928369.pdf","80928369")</f>
        <v>80928369</v>
      </c>
      <c r="F510" s="9" t="s">
        <v>1447</v>
      </c>
      <c r="G510" s="12" t="s">
        <v>1448</v>
      </c>
      <c r="H510" s="9" t="s">
        <v>1449</v>
      </c>
      <c r="I510" s="10">
        <v>45549</v>
      </c>
    </row>
    <row r="511" spans="1:9" x14ac:dyDescent="0.15">
      <c r="A511" s="9">
        <v>510</v>
      </c>
      <c r="B511" s="9" t="s">
        <v>9</v>
      </c>
      <c r="C511" s="9">
        <v>1916</v>
      </c>
      <c r="D511" s="10">
        <v>45646</v>
      </c>
      <c r="E511" s="13" t="str">
        <f>+HYPERLINK("http://trademark.i-assist.jp/data/china/image_1916th/80928882.pdf","80928882")</f>
        <v>80928882</v>
      </c>
      <c r="F511" s="12" t="s">
        <v>1450</v>
      </c>
      <c r="G511" s="9" t="s">
        <v>1451</v>
      </c>
      <c r="H511" s="9" t="s">
        <v>1452</v>
      </c>
      <c r="I511" s="10">
        <v>45549</v>
      </c>
    </row>
    <row r="512" spans="1:9" x14ac:dyDescent="0.15">
      <c r="A512" s="9">
        <v>511</v>
      </c>
      <c r="B512" s="9" t="s">
        <v>9</v>
      </c>
      <c r="C512" s="9">
        <v>1916</v>
      </c>
      <c r="D512" s="10">
        <v>45646</v>
      </c>
      <c r="E512" s="13" t="str">
        <f>+HYPERLINK("http://trademark.i-assist.jp/data/china/image_1916th/80929028.pdf","80929028")</f>
        <v>80929028</v>
      </c>
      <c r="F512" s="9" t="s">
        <v>1453</v>
      </c>
      <c r="G512" s="9" t="s">
        <v>1454</v>
      </c>
      <c r="H512" s="12" t="s">
        <v>1455</v>
      </c>
      <c r="I512" s="10">
        <v>45549</v>
      </c>
    </row>
    <row r="513" spans="1:9" x14ac:dyDescent="0.15">
      <c r="A513" s="9">
        <v>512</v>
      </c>
      <c r="B513" s="9" t="s">
        <v>9</v>
      </c>
      <c r="C513" s="9">
        <v>1916</v>
      </c>
      <c r="D513" s="10">
        <v>45646</v>
      </c>
      <c r="E513" s="13" t="str">
        <f>+HYPERLINK("http://trademark.i-assist.jp/data/china/image_1916th/80929413.pdf","80929413")</f>
        <v>80929413</v>
      </c>
      <c r="F513" s="9" t="s">
        <v>1456</v>
      </c>
      <c r="G513" s="12" t="s">
        <v>1457</v>
      </c>
      <c r="H513" s="12" t="s">
        <v>1458</v>
      </c>
      <c r="I513" s="10">
        <v>45549</v>
      </c>
    </row>
    <row r="514" spans="1:9" x14ac:dyDescent="0.15">
      <c r="A514" s="9">
        <v>513</v>
      </c>
      <c r="B514" s="9" t="s">
        <v>9</v>
      </c>
      <c r="C514" s="9">
        <v>1916</v>
      </c>
      <c r="D514" s="10">
        <v>45646</v>
      </c>
      <c r="E514" s="13" t="str">
        <f>+HYPERLINK("http://trademark.i-assist.jp/data/china/image_1916th/80929530.pdf","80929530")</f>
        <v>80929530</v>
      </c>
      <c r="F514" s="9" t="s">
        <v>1459</v>
      </c>
      <c r="G514" s="9" t="s">
        <v>1460</v>
      </c>
      <c r="H514" s="9" t="s">
        <v>1461</v>
      </c>
      <c r="I514" s="10">
        <v>45549</v>
      </c>
    </row>
    <row r="515" spans="1:9" x14ac:dyDescent="0.15">
      <c r="A515" s="9">
        <v>514</v>
      </c>
      <c r="B515" s="9" t="s">
        <v>9</v>
      </c>
      <c r="C515" s="9">
        <v>1916</v>
      </c>
      <c r="D515" s="10">
        <v>45646</v>
      </c>
      <c r="E515" s="13" t="str">
        <f>+HYPERLINK("http://trademark.i-assist.jp/data/china/image_1916th/80929747.pdf","80929747")</f>
        <v>80929747</v>
      </c>
      <c r="F515" s="9" t="s">
        <v>1462</v>
      </c>
      <c r="G515" s="9" t="s">
        <v>1463</v>
      </c>
      <c r="H515" s="9" t="s">
        <v>1464</v>
      </c>
      <c r="I515" s="10">
        <v>45549</v>
      </c>
    </row>
    <row r="516" spans="1:9" x14ac:dyDescent="0.15">
      <c r="A516" s="9">
        <v>515</v>
      </c>
      <c r="B516" s="9" t="s">
        <v>9</v>
      </c>
      <c r="C516" s="9">
        <v>1916</v>
      </c>
      <c r="D516" s="10">
        <v>45646</v>
      </c>
      <c r="E516" s="13" t="str">
        <f>+HYPERLINK("http://trademark.i-assist.jp/data/china/image_1916th/80930202.pdf","80930202")</f>
        <v>80930202</v>
      </c>
      <c r="F516" s="9" t="s">
        <v>1465</v>
      </c>
      <c r="G516" s="12" t="s">
        <v>16</v>
      </c>
      <c r="H516" s="9" t="s">
        <v>1466</v>
      </c>
      <c r="I516" s="10">
        <v>45549</v>
      </c>
    </row>
    <row r="517" spans="1:9" x14ac:dyDescent="0.15">
      <c r="A517" s="9">
        <v>516</v>
      </c>
      <c r="B517" s="9" t="s">
        <v>9</v>
      </c>
      <c r="C517" s="9">
        <v>1916</v>
      </c>
      <c r="D517" s="10">
        <v>45646</v>
      </c>
      <c r="E517" s="13" t="str">
        <f>+HYPERLINK("http://trademark.i-assist.jp/data/china/image_1916th/80930668.pdf","80930668")</f>
        <v>80930668</v>
      </c>
      <c r="F517" s="9" t="s">
        <v>1467</v>
      </c>
      <c r="G517" s="9" t="s">
        <v>1468</v>
      </c>
      <c r="H517" s="9" t="s">
        <v>1469</v>
      </c>
      <c r="I517" s="10">
        <v>45549</v>
      </c>
    </row>
    <row r="518" spans="1:9" x14ac:dyDescent="0.15">
      <c r="A518" s="9">
        <v>517</v>
      </c>
      <c r="B518" s="9" t="s">
        <v>9</v>
      </c>
      <c r="C518" s="9">
        <v>1916</v>
      </c>
      <c r="D518" s="10">
        <v>45646</v>
      </c>
      <c r="E518" s="13" t="str">
        <f>+HYPERLINK("http://trademark.i-assist.jp/data/china/image_1916th/80931122.pdf","80931122")</f>
        <v>80931122</v>
      </c>
      <c r="F518" s="9" t="s">
        <v>1470</v>
      </c>
      <c r="G518" s="9" t="s">
        <v>1471</v>
      </c>
      <c r="H518" s="9" t="s">
        <v>1472</v>
      </c>
      <c r="I518" s="10">
        <v>45549</v>
      </c>
    </row>
    <row r="519" spans="1:9" x14ac:dyDescent="0.15">
      <c r="A519" s="9">
        <v>518</v>
      </c>
      <c r="B519" s="9" t="s">
        <v>9</v>
      </c>
      <c r="C519" s="9">
        <v>1916</v>
      </c>
      <c r="D519" s="10">
        <v>45646</v>
      </c>
      <c r="E519" s="13" t="str">
        <f>+HYPERLINK("http://trademark.i-assist.jp/data/china/image_1916th/80931204.pdf","80931204")</f>
        <v>80931204</v>
      </c>
      <c r="F519" s="9" t="s">
        <v>1473</v>
      </c>
      <c r="G519" s="9" t="s">
        <v>1474</v>
      </c>
      <c r="H519" s="9" t="s">
        <v>1475</v>
      </c>
      <c r="I519" s="10">
        <v>45549</v>
      </c>
    </row>
    <row r="520" spans="1:9" x14ac:dyDescent="0.15">
      <c r="A520" s="9">
        <v>519</v>
      </c>
      <c r="B520" s="9" t="s">
        <v>9</v>
      </c>
      <c r="C520" s="9">
        <v>1916</v>
      </c>
      <c r="D520" s="10">
        <v>45646</v>
      </c>
      <c r="E520" s="13" t="str">
        <f>+HYPERLINK("http://trademark.i-assist.jp/data/china/image_1916th/80931526.pdf","80931526")</f>
        <v>80931526</v>
      </c>
      <c r="F520" s="12" t="s">
        <v>13</v>
      </c>
      <c r="G520" s="9" t="s">
        <v>1476</v>
      </c>
      <c r="H520" s="9" t="s">
        <v>1477</v>
      </c>
      <c r="I520" s="10">
        <v>45549</v>
      </c>
    </row>
    <row r="521" spans="1:9" x14ac:dyDescent="0.15">
      <c r="A521" s="9">
        <v>520</v>
      </c>
      <c r="B521" s="9" t="s">
        <v>9</v>
      </c>
      <c r="C521" s="9">
        <v>1916</v>
      </c>
      <c r="D521" s="10">
        <v>45646</v>
      </c>
      <c r="E521" s="13" t="str">
        <f>+HYPERLINK("http://trademark.i-assist.jp/data/china/image_1916th/80931838.pdf","80931838")</f>
        <v>80931838</v>
      </c>
      <c r="F521" s="9" t="s">
        <v>1478</v>
      </c>
      <c r="G521" s="9" t="s">
        <v>1479</v>
      </c>
      <c r="H521" s="9" t="s">
        <v>1480</v>
      </c>
      <c r="I521" s="10">
        <v>45549</v>
      </c>
    </row>
    <row r="522" spans="1:9" x14ac:dyDescent="0.15">
      <c r="A522" s="9">
        <v>521</v>
      </c>
      <c r="B522" s="9" t="s">
        <v>9</v>
      </c>
      <c r="C522" s="9">
        <v>1916</v>
      </c>
      <c r="D522" s="10">
        <v>45646</v>
      </c>
      <c r="E522" s="13" t="str">
        <f>+HYPERLINK("http://trademark.i-assist.jp/data/china/image_1916th/80934924.pdf","80934924")</f>
        <v>80934924</v>
      </c>
      <c r="F522" s="9" t="s">
        <v>1481</v>
      </c>
      <c r="G522" s="9" t="s">
        <v>1482</v>
      </c>
      <c r="H522" s="9" t="s">
        <v>1483</v>
      </c>
      <c r="I522" s="10">
        <v>45549</v>
      </c>
    </row>
    <row r="523" spans="1:9" x14ac:dyDescent="0.15">
      <c r="A523" s="9">
        <v>522</v>
      </c>
      <c r="B523" s="9" t="s">
        <v>9</v>
      </c>
      <c r="C523" s="9">
        <v>1916</v>
      </c>
      <c r="D523" s="10">
        <v>45646</v>
      </c>
      <c r="E523" s="13" t="str">
        <f>+HYPERLINK("http://trademark.i-assist.jp/data/china/image_1916th/80935572.pdf","80935572")</f>
        <v>80935572</v>
      </c>
      <c r="F523" s="9" t="s">
        <v>1484</v>
      </c>
      <c r="G523" s="9" t="s">
        <v>1485</v>
      </c>
      <c r="H523" s="12" t="s">
        <v>1486</v>
      </c>
      <c r="I523" s="10">
        <v>45549</v>
      </c>
    </row>
    <row r="524" spans="1:9" x14ac:dyDescent="0.15">
      <c r="A524" s="9">
        <v>523</v>
      </c>
      <c r="B524" s="9" t="s">
        <v>9</v>
      </c>
      <c r="C524" s="9">
        <v>1916</v>
      </c>
      <c r="D524" s="10">
        <v>45646</v>
      </c>
      <c r="E524" s="13" t="str">
        <f>+HYPERLINK("http://trademark.i-assist.jp/data/china/image_1916th/80935636.pdf","80935636")</f>
        <v>80935636</v>
      </c>
      <c r="F524" s="9" t="s">
        <v>1487</v>
      </c>
      <c r="G524" s="9" t="s">
        <v>1488</v>
      </c>
      <c r="H524" s="9" t="s">
        <v>1489</v>
      </c>
      <c r="I524" s="10">
        <v>45549</v>
      </c>
    </row>
    <row r="525" spans="1:9" x14ac:dyDescent="0.15">
      <c r="A525" s="9">
        <v>524</v>
      </c>
      <c r="B525" s="9" t="s">
        <v>9</v>
      </c>
      <c r="C525" s="9">
        <v>1916</v>
      </c>
      <c r="D525" s="10">
        <v>45646</v>
      </c>
      <c r="E525" s="13" t="str">
        <f>+HYPERLINK("http://trademark.i-assist.jp/data/china/image_1916th/80937506.pdf","80937506")</f>
        <v>80937506</v>
      </c>
      <c r="F525" s="12" t="s">
        <v>1490</v>
      </c>
      <c r="G525" s="9" t="s">
        <v>1491</v>
      </c>
      <c r="H525" s="9" t="s">
        <v>1492</v>
      </c>
      <c r="I525" s="10">
        <v>45549</v>
      </c>
    </row>
    <row r="526" spans="1:9" x14ac:dyDescent="0.15">
      <c r="A526" s="9">
        <v>525</v>
      </c>
      <c r="B526" s="9" t="s">
        <v>9</v>
      </c>
      <c r="C526" s="9">
        <v>1916</v>
      </c>
      <c r="D526" s="10">
        <v>45646</v>
      </c>
      <c r="E526" s="13" t="str">
        <f>+HYPERLINK("http://trademark.i-assist.jp/data/china/image_1916th/80937581.pdf","80937581")</f>
        <v>80937581</v>
      </c>
      <c r="F526" s="9" t="s">
        <v>1493</v>
      </c>
      <c r="G526" s="9" t="s">
        <v>1494</v>
      </c>
      <c r="H526" s="9" t="s">
        <v>1495</v>
      </c>
      <c r="I526" s="10">
        <v>45547</v>
      </c>
    </row>
    <row r="527" spans="1:9" x14ac:dyDescent="0.15">
      <c r="A527" s="9">
        <v>526</v>
      </c>
      <c r="B527" s="9" t="s">
        <v>9</v>
      </c>
      <c r="C527" s="9">
        <v>1916</v>
      </c>
      <c r="D527" s="10">
        <v>45646</v>
      </c>
      <c r="E527" s="13" t="str">
        <f>+HYPERLINK("http://trademark.i-assist.jp/data/china/image_1916th/80937864.pdf","80937864")</f>
        <v>80937864</v>
      </c>
      <c r="F527" s="9" t="s">
        <v>1496</v>
      </c>
      <c r="G527" s="9" t="s">
        <v>1497</v>
      </c>
      <c r="H527" s="9" t="s">
        <v>1498</v>
      </c>
      <c r="I527" s="10">
        <v>45549</v>
      </c>
    </row>
    <row r="528" spans="1:9" x14ac:dyDescent="0.15">
      <c r="A528" s="9">
        <v>527</v>
      </c>
      <c r="B528" s="9" t="s">
        <v>9</v>
      </c>
      <c r="C528" s="9">
        <v>1916</v>
      </c>
      <c r="D528" s="10">
        <v>45646</v>
      </c>
      <c r="E528" s="13" t="str">
        <f>+HYPERLINK("http://trademark.i-assist.jp/data/china/image_1916th/80940011.pdf","80940011")</f>
        <v>80940011</v>
      </c>
      <c r="F528" s="9" t="s">
        <v>1499</v>
      </c>
      <c r="G528" s="12" t="s">
        <v>1442</v>
      </c>
      <c r="H528" s="9" t="s">
        <v>1500</v>
      </c>
      <c r="I528" s="10">
        <v>45549</v>
      </c>
    </row>
    <row r="529" spans="1:9" x14ac:dyDescent="0.15">
      <c r="A529" s="9">
        <v>528</v>
      </c>
      <c r="B529" s="9" t="s">
        <v>9</v>
      </c>
      <c r="C529" s="9">
        <v>1916</v>
      </c>
      <c r="D529" s="10">
        <v>45646</v>
      </c>
      <c r="E529" s="13" t="str">
        <f>+HYPERLINK("http://trademark.i-assist.jp/data/china/image_1916th/80940074.pdf","80940074")</f>
        <v>80940074</v>
      </c>
      <c r="F529" s="9" t="s">
        <v>1501</v>
      </c>
      <c r="G529" s="9" t="s">
        <v>1502</v>
      </c>
      <c r="H529" s="9" t="s">
        <v>1503</v>
      </c>
      <c r="I529" s="10">
        <v>45549</v>
      </c>
    </row>
    <row r="530" spans="1:9" x14ac:dyDescent="0.15">
      <c r="A530" s="9">
        <v>529</v>
      </c>
      <c r="B530" s="9" t="s">
        <v>9</v>
      </c>
      <c r="C530" s="9">
        <v>1916</v>
      </c>
      <c r="D530" s="10">
        <v>45646</v>
      </c>
      <c r="E530" s="13" t="str">
        <f>+HYPERLINK("http://trademark.i-assist.jp/data/china/image_1916th/80940350.pdf","80940350")</f>
        <v>80940350</v>
      </c>
      <c r="F530" s="9" t="s">
        <v>1504</v>
      </c>
      <c r="G530" s="9" t="s">
        <v>1505</v>
      </c>
      <c r="H530" s="9" t="s">
        <v>1506</v>
      </c>
      <c r="I530" s="10">
        <v>45549</v>
      </c>
    </row>
    <row r="531" spans="1:9" x14ac:dyDescent="0.15">
      <c r="A531" s="9">
        <v>530</v>
      </c>
      <c r="B531" s="9" t="s">
        <v>9</v>
      </c>
      <c r="C531" s="9">
        <v>1916</v>
      </c>
      <c r="D531" s="10">
        <v>45646</v>
      </c>
      <c r="E531" s="13" t="str">
        <f>+HYPERLINK("http://trademark.i-assist.jp/data/china/image_1916th/80940752.pdf","80940752")</f>
        <v>80940752</v>
      </c>
      <c r="F531" s="9" t="s">
        <v>1507</v>
      </c>
      <c r="G531" s="12" t="s">
        <v>1508</v>
      </c>
      <c r="H531" s="9" t="s">
        <v>1509</v>
      </c>
      <c r="I531" s="10">
        <v>45549</v>
      </c>
    </row>
    <row r="532" spans="1:9" x14ac:dyDescent="0.15">
      <c r="A532" s="9">
        <v>531</v>
      </c>
      <c r="B532" s="9" t="s">
        <v>9</v>
      </c>
      <c r="C532" s="9">
        <v>1916</v>
      </c>
      <c r="D532" s="10">
        <v>45646</v>
      </c>
      <c r="E532" s="13" t="str">
        <f>+HYPERLINK("http://trademark.i-assist.jp/data/china/image_1916th/80940868.pdf","80940868")</f>
        <v>80940868</v>
      </c>
      <c r="F532" s="9" t="s">
        <v>1510</v>
      </c>
      <c r="G532" s="12" t="s">
        <v>1511</v>
      </c>
      <c r="H532" s="9" t="s">
        <v>1512</v>
      </c>
      <c r="I532" s="10">
        <v>45549</v>
      </c>
    </row>
    <row r="533" spans="1:9" x14ac:dyDescent="0.15">
      <c r="A533" s="9">
        <v>532</v>
      </c>
      <c r="B533" s="9" t="s">
        <v>9</v>
      </c>
      <c r="C533" s="9">
        <v>1916</v>
      </c>
      <c r="D533" s="10">
        <v>45646</v>
      </c>
      <c r="E533" s="13" t="str">
        <f>+HYPERLINK("http://trademark.i-assist.jp/data/china/image_1916th/80941124.pdf","80941124")</f>
        <v>80941124</v>
      </c>
      <c r="F533" s="11" t="s">
        <v>1513</v>
      </c>
      <c r="G533" s="9" t="s">
        <v>1514</v>
      </c>
      <c r="H533" s="9" t="s">
        <v>1515</v>
      </c>
      <c r="I533" s="10">
        <v>45549</v>
      </c>
    </row>
    <row r="534" spans="1:9" x14ac:dyDescent="0.15">
      <c r="A534" s="9">
        <v>533</v>
      </c>
      <c r="B534" s="9" t="s">
        <v>9</v>
      </c>
      <c r="C534" s="9">
        <v>1916</v>
      </c>
      <c r="D534" s="10">
        <v>45646</v>
      </c>
      <c r="E534" s="13" t="str">
        <f>+HYPERLINK("http://trademark.i-assist.jp/data/china/image_1916th/80941237.pdf","80941237")</f>
        <v>80941237</v>
      </c>
      <c r="F534" s="9" t="s">
        <v>1516</v>
      </c>
      <c r="G534" s="9" t="s">
        <v>1517</v>
      </c>
      <c r="H534" s="9" t="s">
        <v>1518</v>
      </c>
      <c r="I534" s="10">
        <v>45549</v>
      </c>
    </row>
    <row r="535" spans="1:9" x14ac:dyDescent="0.15">
      <c r="A535" s="9">
        <v>534</v>
      </c>
      <c r="B535" s="9" t="s">
        <v>9</v>
      </c>
      <c r="C535" s="9">
        <v>1916</v>
      </c>
      <c r="D535" s="10">
        <v>45646</v>
      </c>
      <c r="E535" s="13" t="str">
        <f>+HYPERLINK("http://trademark.i-assist.jp/data/china/image_1916th/80942205.pdf","80942205")</f>
        <v>80942205</v>
      </c>
      <c r="F535" s="9" t="s">
        <v>1519</v>
      </c>
      <c r="G535" s="12" t="s">
        <v>1520</v>
      </c>
      <c r="H535" s="9" t="s">
        <v>1521</v>
      </c>
      <c r="I535" s="10">
        <v>45549</v>
      </c>
    </row>
    <row r="536" spans="1:9" x14ac:dyDescent="0.15">
      <c r="A536" s="9">
        <v>535</v>
      </c>
      <c r="B536" s="9" t="s">
        <v>9</v>
      </c>
      <c r="C536" s="9">
        <v>1916</v>
      </c>
      <c r="D536" s="10">
        <v>45646</v>
      </c>
      <c r="E536" s="13" t="str">
        <f>+HYPERLINK("http://trademark.i-assist.jp/data/china/image_1916th/80942597.pdf","80942597")</f>
        <v>80942597</v>
      </c>
      <c r="F536" s="9" t="s">
        <v>1522</v>
      </c>
      <c r="G536" s="9" t="s">
        <v>1523</v>
      </c>
      <c r="H536" s="9" t="s">
        <v>1524</v>
      </c>
      <c r="I536" s="10">
        <v>45549</v>
      </c>
    </row>
    <row r="537" spans="1:9" x14ac:dyDescent="0.15">
      <c r="A537" s="9">
        <v>536</v>
      </c>
      <c r="B537" s="9" t="s">
        <v>9</v>
      </c>
      <c r="C537" s="9">
        <v>1916</v>
      </c>
      <c r="D537" s="10">
        <v>45646</v>
      </c>
      <c r="E537" s="13" t="str">
        <f>+HYPERLINK("http://trademark.i-assist.jp/data/china/image_1916th/80943046.pdf","80943046")</f>
        <v>80943046</v>
      </c>
      <c r="F537" s="9" t="s">
        <v>1525</v>
      </c>
      <c r="G537" s="12" t="s">
        <v>1526</v>
      </c>
      <c r="H537" s="9" t="s">
        <v>1527</v>
      </c>
      <c r="I537" s="10">
        <v>45549</v>
      </c>
    </row>
    <row r="538" spans="1:9" x14ac:dyDescent="0.15">
      <c r="A538" s="9">
        <v>537</v>
      </c>
      <c r="B538" s="9" t="s">
        <v>9</v>
      </c>
      <c r="C538" s="9">
        <v>1916</v>
      </c>
      <c r="D538" s="10">
        <v>45646</v>
      </c>
      <c r="E538" s="13" t="str">
        <f>+HYPERLINK("http://trademark.i-assist.jp/data/china/image_1916th/80943744.pdf","80943744")</f>
        <v>80943744</v>
      </c>
      <c r="F538" s="9" t="s">
        <v>1528</v>
      </c>
      <c r="G538" s="9" t="s">
        <v>1529</v>
      </c>
      <c r="H538" s="9" t="s">
        <v>1530</v>
      </c>
      <c r="I538" s="10">
        <v>45549</v>
      </c>
    </row>
    <row r="539" spans="1:9" x14ac:dyDescent="0.15">
      <c r="A539" s="9">
        <v>538</v>
      </c>
      <c r="B539" s="9" t="s">
        <v>9</v>
      </c>
      <c r="C539" s="9">
        <v>1916</v>
      </c>
      <c r="D539" s="10">
        <v>45646</v>
      </c>
      <c r="E539" s="13" t="str">
        <f>+HYPERLINK("http://trademark.i-assist.jp/data/china/image_1916th/80943846.pdf","80943846")</f>
        <v>80943846</v>
      </c>
      <c r="F539" s="9" t="s">
        <v>1531</v>
      </c>
      <c r="G539" s="9" t="s">
        <v>1532</v>
      </c>
      <c r="H539" s="9" t="s">
        <v>1533</v>
      </c>
      <c r="I539" s="10">
        <v>45549</v>
      </c>
    </row>
    <row r="540" spans="1:9" x14ac:dyDescent="0.15">
      <c r="A540" s="9">
        <v>539</v>
      </c>
      <c r="B540" s="9" t="s">
        <v>9</v>
      </c>
      <c r="C540" s="9">
        <v>1916</v>
      </c>
      <c r="D540" s="10">
        <v>45646</v>
      </c>
      <c r="E540" s="13" t="str">
        <f>+HYPERLINK("http://trademark.i-assist.jp/data/china/image_1916th/80944040.pdf","80944040")</f>
        <v>80944040</v>
      </c>
      <c r="F540" s="9" t="s">
        <v>1534</v>
      </c>
      <c r="G540" s="9" t="s">
        <v>1535</v>
      </c>
      <c r="H540" s="9" t="s">
        <v>1536</v>
      </c>
      <c r="I540" s="10">
        <v>45549</v>
      </c>
    </row>
    <row r="541" spans="1:9" x14ac:dyDescent="0.15">
      <c r="A541" s="9">
        <v>540</v>
      </c>
      <c r="B541" s="9" t="s">
        <v>9</v>
      </c>
      <c r="C541" s="9">
        <v>1916</v>
      </c>
      <c r="D541" s="10">
        <v>45646</v>
      </c>
      <c r="E541" s="13" t="str">
        <f>+HYPERLINK("http://trademark.i-assist.jp/data/china/image_1916th/80944689.pdf","80944689")</f>
        <v>80944689</v>
      </c>
      <c r="F541" s="9" t="s">
        <v>1537</v>
      </c>
      <c r="G541" s="9" t="s">
        <v>1538</v>
      </c>
      <c r="H541" s="9" t="s">
        <v>1539</v>
      </c>
      <c r="I541" s="10">
        <v>45549</v>
      </c>
    </row>
    <row r="542" spans="1:9" x14ac:dyDescent="0.15">
      <c r="A542" s="9">
        <v>541</v>
      </c>
      <c r="B542" s="9" t="s">
        <v>9</v>
      </c>
      <c r="C542" s="9">
        <v>1916</v>
      </c>
      <c r="D542" s="10">
        <v>45646</v>
      </c>
      <c r="E542" s="13" t="str">
        <f>+HYPERLINK("http://trademark.i-assist.jp/data/china/image_1916th/80944879.pdf","80944879")</f>
        <v>80944879</v>
      </c>
      <c r="F542" s="12" t="s">
        <v>1540</v>
      </c>
      <c r="G542" s="9" t="s">
        <v>1541</v>
      </c>
      <c r="H542" s="9" t="s">
        <v>1542</v>
      </c>
      <c r="I542" s="10">
        <v>45549</v>
      </c>
    </row>
    <row r="543" spans="1:9" x14ac:dyDescent="0.15">
      <c r="A543" s="9">
        <v>542</v>
      </c>
      <c r="B543" s="9" t="s">
        <v>9</v>
      </c>
      <c r="C543" s="9">
        <v>1916</v>
      </c>
      <c r="D543" s="10">
        <v>45646</v>
      </c>
      <c r="E543" s="13" t="str">
        <f>+HYPERLINK("http://trademark.i-assist.jp/data/china/image_1916th/80945528.pdf","80945528")</f>
        <v>80945528</v>
      </c>
      <c r="F543" s="9" t="s">
        <v>1543</v>
      </c>
      <c r="G543" s="9" t="s">
        <v>1463</v>
      </c>
      <c r="H543" s="9" t="s">
        <v>1544</v>
      </c>
      <c r="I543" s="10">
        <v>45549</v>
      </c>
    </row>
    <row r="544" spans="1:9" x14ac:dyDescent="0.15">
      <c r="A544" s="9">
        <v>543</v>
      </c>
      <c r="B544" s="9" t="s">
        <v>9</v>
      </c>
      <c r="C544" s="9">
        <v>1916</v>
      </c>
      <c r="D544" s="10">
        <v>45646</v>
      </c>
      <c r="E544" s="13" t="str">
        <f>+HYPERLINK("http://trademark.i-assist.jp/data/china/image_1916th/80945595.pdf","80945595")</f>
        <v>80945595</v>
      </c>
      <c r="F544" s="9" t="s">
        <v>1545</v>
      </c>
      <c r="G544" s="12" t="s">
        <v>1511</v>
      </c>
      <c r="H544" s="9" t="s">
        <v>1546</v>
      </c>
      <c r="I544" s="10">
        <v>45549</v>
      </c>
    </row>
    <row r="545" spans="1:9" x14ac:dyDescent="0.15">
      <c r="A545" s="9">
        <v>544</v>
      </c>
      <c r="B545" s="9" t="s">
        <v>9</v>
      </c>
      <c r="C545" s="9">
        <v>1916</v>
      </c>
      <c r="D545" s="10">
        <v>45646</v>
      </c>
      <c r="E545" s="13" t="str">
        <f>+HYPERLINK("http://trademark.i-assist.jp/data/china/image_1916th/80946520.pdf","80946520")</f>
        <v>80946520</v>
      </c>
      <c r="F545" s="9" t="s">
        <v>1547</v>
      </c>
      <c r="G545" s="9" t="s">
        <v>1523</v>
      </c>
      <c r="H545" s="9" t="s">
        <v>1548</v>
      </c>
      <c r="I545" s="10">
        <v>45549</v>
      </c>
    </row>
    <row r="546" spans="1:9" x14ac:dyDescent="0.15">
      <c r="A546" s="9">
        <v>545</v>
      </c>
      <c r="B546" s="9" t="s">
        <v>9</v>
      </c>
      <c r="C546" s="9">
        <v>1916</v>
      </c>
      <c r="D546" s="10">
        <v>45646</v>
      </c>
      <c r="E546" s="13" t="str">
        <f>+HYPERLINK("http://trademark.i-assist.jp/data/china/image_1916th/80946714.pdf","80946714")</f>
        <v>80946714</v>
      </c>
      <c r="F546" s="9" t="s">
        <v>1549</v>
      </c>
      <c r="G546" s="9" t="s">
        <v>1550</v>
      </c>
      <c r="H546" s="9" t="s">
        <v>1551</v>
      </c>
      <c r="I546" s="10">
        <v>45549</v>
      </c>
    </row>
    <row r="547" spans="1:9" x14ac:dyDescent="0.15">
      <c r="A547" s="9">
        <v>546</v>
      </c>
      <c r="B547" s="9" t="s">
        <v>9</v>
      </c>
      <c r="C547" s="9">
        <v>1916</v>
      </c>
      <c r="D547" s="10">
        <v>45646</v>
      </c>
      <c r="E547" s="13" t="str">
        <f>+HYPERLINK("http://trademark.i-assist.jp/data/china/image_1916th/80946756.pdf","80946756")</f>
        <v>80946756</v>
      </c>
      <c r="F547" s="12" t="s">
        <v>1552</v>
      </c>
      <c r="G547" s="9" t="s">
        <v>1541</v>
      </c>
      <c r="H547" s="9" t="s">
        <v>1553</v>
      </c>
      <c r="I547" s="10">
        <v>45549</v>
      </c>
    </row>
    <row r="548" spans="1:9" x14ac:dyDescent="0.15">
      <c r="A548" s="9">
        <v>547</v>
      </c>
      <c r="B548" s="9" t="s">
        <v>9</v>
      </c>
      <c r="C548" s="9">
        <v>1916</v>
      </c>
      <c r="D548" s="10">
        <v>45646</v>
      </c>
      <c r="E548" s="13" t="str">
        <f>+HYPERLINK("http://trademark.i-assist.jp/data/china/image_1916th/80946764.pdf","80946764")</f>
        <v>80946764</v>
      </c>
      <c r="F548" s="9" t="s">
        <v>1554</v>
      </c>
      <c r="G548" s="12" t="s">
        <v>1555</v>
      </c>
      <c r="H548" s="9" t="s">
        <v>1556</v>
      </c>
      <c r="I548" s="10">
        <v>45549</v>
      </c>
    </row>
    <row r="549" spans="1:9" x14ac:dyDescent="0.15">
      <c r="A549" s="9">
        <v>548</v>
      </c>
      <c r="B549" s="9" t="s">
        <v>9</v>
      </c>
      <c r="C549" s="9">
        <v>1916</v>
      </c>
      <c r="D549" s="10">
        <v>45646</v>
      </c>
      <c r="E549" s="13" t="str">
        <f>+HYPERLINK("http://trademark.i-assist.jp/data/china/image_1916th/80947979.pdf","80947979")</f>
        <v>80947979</v>
      </c>
      <c r="F549" s="9" t="s">
        <v>1557</v>
      </c>
      <c r="G549" s="9" t="s">
        <v>1558</v>
      </c>
      <c r="H549" s="9" t="s">
        <v>1559</v>
      </c>
      <c r="I549" s="10">
        <v>45549</v>
      </c>
    </row>
    <row r="550" spans="1:9" x14ac:dyDescent="0.15">
      <c r="A550" s="9">
        <v>549</v>
      </c>
      <c r="B550" s="9" t="s">
        <v>9</v>
      </c>
      <c r="C550" s="9">
        <v>1916</v>
      </c>
      <c r="D550" s="10">
        <v>45646</v>
      </c>
      <c r="E550" s="13" t="str">
        <f>+HYPERLINK("http://trademark.i-assist.jp/data/china/image_1916th/80948225.pdf","80948225")</f>
        <v>80948225</v>
      </c>
      <c r="F550" s="9" t="s">
        <v>1560</v>
      </c>
      <c r="G550" s="9" t="s">
        <v>1561</v>
      </c>
      <c r="H550" s="9" t="s">
        <v>1562</v>
      </c>
      <c r="I550" s="10">
        <v>45549</v>
      </c>
    </row>
    <row r="551" spans="1:9" x14ac:dyDescent="0.15">
      <c r="A551" s="9">
        <v>550</v>
      </c>
      <c r="B551" s="9" t="s">
        <v>9</v>
      </c>
      <c r="C551" s="9">
        <v>1916</v>
      </c>
      <c r="D551" s="10">
        <v>45646</v>
      </c>
      <c r="E551" s="13" t="str">
        <f>+HYPERLINK("http://trademark.i-assist.jp/data/china/image_1916th/80948825.pdf","80948825")</f>
        <v>80948825</v>
      </c>
      <c r="F551" s="9" t="s">
        <v>1563</v>
      </c>
      <c r="G551" s="9" t="s">
        <v>1564</v>
      </c>
      <c r="H551" s="9" t="s">
        <v>1565</v>
      </c>
      <c r="I551" s="10">
        <v>45549</v>
      </c>
    </row>
    <row r="552" spans="1:9" x14ac:dyDescent="0.15">
      <c r="A552" s="9">
        <v>551</v>
      </c>
      <c r="B552" s="9" t="s">
        <v>9</v>
      </c>
      <c r="C552" s="9">
        <v>1916</v>
      </c>
      <c r="D552" s="10">
        <v>45646</v>
      </c>
      <c r="E552" s="13" t="str">
        <f>+HYPERLINK("http://trademark.i-assist.jp/data/china/image_1916th/80950104.pdf","80950104")</f>
        <v>80950104</v>
      </c>
      <c r="F552" s="9" t="s">
        <v>1566</v>
      </c>
      <c r="G552" s="9" t="s">
        <v>1567</v>
      </c>
      <c r="H552" s="9" t="s">
        <v>1568</v>
      </c>
      <c r="I552" s="10">
        <v>45549</v>
      </c>
    </row>
    <row r="553" spans="1:9" x14ac:dyDescent="0.15">
      <c r="A553" s="9">
        <v>552</v>
      </c>
      <c r="B553" s="9" t="s">
        <v>9</v>
      </c>
      <c r="C553" s="9">
        <v>1916</v>
      </c>
      <c r="D553" s="10">
        <v>45646</v>
      </c>
      <c r="E553" s="13" t="str">
        <f>+HYPERLINK("http://trademark.i-assist.jp/data/china/image_1916th/80950659.pdf","80950659")</f>
        <v>80950659</v>
      </c>
      <c r="F553" s="9" t="s">
        <v>1569</v>
      </c>
      <c r="G553" s="9" t="s">
        <v>1570</v>
      </c>
      <c r="H553" s="9" t="s">
        <v>1571</v>
      </c>
      <c r="I553" s="10">
        <v>45549</v>
      </c>
    </row>
    <row r="554" spans="1:9" x14ac:dyDescent="0.15">
      <c r="A554" s="9">
        <v>553</v>
      </c>
      <c r="B554" s="9" t="s">
        <v>9</v>
      </c>
      <c r="C554" s="9">
        <v>1916</v>
      </c>
      <c r="D554" s="10">
        <v>45646</v>
      </c>
      <c r="E554" s="13" t="str">
        <f>+HYPERLINK("http://trademark.i-assist.jp/data/china/image_1916th/80951963.pdf","80951963")</f>
        <v>80951963</v>
      </c>
      <c r="F554" s="9" t="s">
        <v>1572</v>
      </c>
      <c r="G554" s="9" t="s">
        <v>1573</v>
      </c>
      <c r="H554" s="9" t="s">
        <v>1574</v>
      </c>
      <c r="I554" s="10">
        <v>45549</v>
      </c>
    </row>
    <row r="555" spans="1:9" x14ac:dyDescent="0.15">
      <c r="A555" s="9">
        <v>554</v>
      </c>
      <c r="B555" s="9" t="s">
        <v>9</v>
      </c>
      <c r="C555" s="9">
        <v>1916</v>
      </c>
      <c r="D555" s="10">
        <v>45646</v>
      </c>
      <c r="E555" s="13" t="str">
        <f>+HYPERLINK("http://trademark.i-assist.jp/data/china/image_1916th/80954994.pdf","80954994")</f>
        <v>80954994</v>
      </c>
      <c r="F555" s="12" t="s">
        <v>1575</v>
      </c>
      <c r="G555" s="9" t="s">
        <v>1576</v>
      </c>
      <c r="H555" s="9" t="s">
        <v>1577</v>
      </c>
      <c r="I555" s="10">
        <v>45550</v>
      </c>
    </row>
    <row r="556" spans="1:9" x14ac:dyDescent="0.15">
      <c r="A556" s="9">
        <v>555</v>
      </c>
      <c r="B556" s="9" t="s">
        <v>9</v>
      </c>
      <c r="C556" s="9">
        <v>1916</v>
      </c>
      <c r="D556" s="10">
        <v>45646</v>
      </c>
      <c r="E556" s="13" t="str">
        <f>+HYPERLINK("http://trademark.i-assist.jp/data/china/image_1916th/80955248.pdf","80955248")</f>
        <v>80955248</v>
      </c>
      <c r="F556" s="9" t="s">
        <v>1578</v>
      </c>
      <c r="G556" s="9" t="s">
        <v>1579</v>
      </c>
      <c r="H556" s="9" t="s">
        <v>1580</v>
      </c>
      <c r="I556" s="10">
        <v>45550</v>
      </c>
    </row>
    <row r="557" spans="1:9" x14ac:dyDescent="0.15">
      <c r="A557" s="9">
        <v>556</v>
      </c>
      <c r="B557" s="9" t="s">
        <v>9</v>
      </c>
      <c r="C557" s="9">
        <v>1916</v>
      </c>
      <c r="D557" s="10">
        <v>45646</v>
      </c>
      <c r="E557" s="13" t="str">
        <f>+HYPERLINK("http://trademark.i-assist.jp/data/china/image_1916th/80955939.pdf","80955939")</f>
        <v>80955939</v>
      </c>
      <c r="F557" s="9" t="s">
        <v>1581</v>
      </c>
      <c r="G557" s="9" t="s">
        <v>1582</v>
      </c>
      <c r="H557" s="12" t="s">
        <v>1583</v>
      </c>
      <c r="I557" s="10">
        <v>45551</v>
      </c>
    </row>
    <row r="558" spans="1:9" x14ac:dyDescent="0.15">
      <c r="A558" s="9">
        <v>557</v>
      </c>
      <c r="B558" s="9" t="s">
        <v>9</v>
      </c>
      <c r="C558" s="9">
        <v>1916</v>
      </c>
      <c r="D558" s="10">
        <v>45646</v>
      </c>
      <c r="E558" s="13" t="str">
        <f>+HYPERLINK("http://trademark.i-assist.jp/data/china/image_1916th/80957048.pdf","80957048")</f>
        <v>80957048</v>
      </c>
      <c r="F558" s="9" t="s">
        <v>1584</v>
      </c>
      <c r="G558" s="12" t="s">
        <v>1585</v>
      </c>
      <c r="H558" s="9" t="s">
        <v>1586</v>
      </c>
      <c r="I558" s="10">
        <v>45551</v>
      </c>
    </row>
    <row r="559" spans="1:9" x14ac:dyDescent="0.15">
      <c r="A559" s="9">
        <v>558</v>
      </c>
      <c r="B559" s="9" t="s">
        <v>9</v>
      </c>
      <c r="C559" s="9">
        <v>1916</v>
      </c>
      <c r="D559" s="10">
        <v>45646</v>
      </c>
      <c r="E559" s="13" t="str">
        <f>+HYPERLINK("http://trademark.i-assist.jp/data/china/image_1916th/80957284.pdf","80957284")</f>
        <v>80957284</v>
      </c>
      <c r="F559" s="9" t="s">
        <v>1587</v>
      </c>
      <c r="G559" s="9" t="s">
        <v>1588</v>
      </c>
      <c r="H559" s="9" t="s">
        <v>1589</v>
      </c>
      <c r="I559" s="10">
        <v>45551</v>
      </c>
    </row>
    <row r="560" spans="1:9" x14ac:dyDescent="0.15">
      <c r="A560" s="9">
        <v>559</v>
      </c>
      <c r="B560" s="9" t="s">
        <v>9</v>
      </c>
      <c r="C560" s="9">
        <v>1916</v>
      </c>
      <c r="D560" s="10">
        <v>45646</v>
      </c>
      <c r="E560" s="13" t="str">
        <f>+HYPERLINK("http://trademark.i-assist.jp/data/china/image_1916th/80958615.pdf","80958615")</f>
        <v>80958615</v>
      </c>
      <c r="F560" s="9" t="s">
        <v>1590</v>
      </c>
      <c r="G560" s="9" t="s">
        <v>1591</v>
      </c>
      <c r="H560" s="9" t="s">
        <v>1592</v>
      </c>
      <c r="I560" s="10">
        <v>45552</v>
      </c>
    </row>
    <row r="561" spans="1:9" x14ac:dyDescent="0.15">
      <c r="A561" s="9">
        <v>560</v>
      </c>
      <c r="B561" s="9" t="s">
        <v>9</v>
      </c>
      <c r="C561" s="9">
        <v>1916</v>
      </c>
      <c r="D561" s="10">
        <v>45646</v>
      </c>
      <c r="E561" s="13" t="str">
        <f>+HYPERLINK("http://trademark.i-assist.jp/data/china/image_1916th/80958631.pdf","80958631")</f>
        <v>80958631</v>
      </c>
      <c r="F561" s="12" t="s">
        <v>13</v>
      </c>
      <c r="G561" s="9" t="s">
        <v>1593</v>
      </c>
      <c r="H561" s="9" t="s">
        <v>1594</v>
      </c>
      <c r="I561" s="10">
        <v>45552</v>
      </c>
    </row>
    <row r="562" spans="1:9" x14ac:dyDescent="0.15">
      <c r="A562" s="9">
        <v>561</v>
      </c>
      <c r="B562" s="9" t="s">
        <v>9</v>
      </c>
      <c r="C562" s="9">
        <v>1916</v>
      </c>
      <c r="D562" s="10">
        <v>45646</v>
      </c>
      <c r="E562" s="13" t="str">
        <f>+HYPERLINK("http://trademark.i-assist.jp/data/china/image_1916th/80959167.pdf","80959167")</f>
        <v>80959167</v>
      </c>
      <c r="F562" s="12" t="s">
        <v>1595</v>
      </c>
      <c r="G562" s="12" t="s">
        <v>1596</v>
      </c>
      <c r="H562" s="12" t="s">
        <v>1597</v>
      </c>
      <c r="I562" s="10">
        <v>45553</v>
      </c>
    </row>
    <row r="563" spans="1:9" x14ac:dyDescent="0.15">
      <c r="A563" s="9">
        <v>562</v>
      </c>
      <c r="B563" s="9" t="s">
        <v>9</v>
      </c>
      <c r="C563" s="9">
        <v>1916</v>
      </c>
      <c r="D563" s="10">
        <v>45646</v>
      </c>
      <c r="E563" s="13" t="str">
        <f>+HYPERLINK("http://trademark.i-assist.jp/data/china/image_1916th/80960084.pdf","80960084")</f>
        <v>80960084</v>
      </c>
      <c r="F563" s="9" t="s">
        <v>1598</v>
      </c>
      <c r="G563" s="9" t="s">
        <v>1599</v>
      </c>
      <c r="H563" s="9" t="s">
        <v>1600</v>
      </c>
      <c r="I563" s="10">
        <v>45553</v>
      </c>
    </row>
    <row r="564" spans="1:9" x14ac:dyDescent="0.15">
      <c r="A564" s="9">
        <v>563</v>
      </c>
      <c r="B564" s="9" t="s">
        <v>9</v>
      </c>
      <c r="C564" s="9">
        <v>1916</v>
      </c>
      <c r="D564" s="10">
        <v>45646</v>
      </c>
      <c r="E564" s="13" t="str">
        <f>+HYPERLINK("http://trademark.i-assist.jp/data/china/image_1916th/80960136.pdf","80960136")</f>
        <v>80960136</v>
      </c>
      <c r="F564" s="9" t="s">
        <v>1601</v>
      </c>
      <c r="G564" s="9" t="s">
        <v>1602</v>
      </c>
      <c r="H564" s="9" t="s">
        <v>1603</v>
      </c>
      <c r="I564" s="10">
        <v>45553</v>
      </c>
    </row>
    <row r="565" spans="1:9" x14ac:dyDescent="0.15">
      <c r="A565" s="9">
        <v>564</v>
      </c>
      <c r="B565" s="9" t="s">
        <v>9</v>
      </c>
      <c r="C565" s="9">
        <v>1916</v>
      </c>
      <c r="D565" s="10">
        <v>45646</v>
      </c>
      <c r="E565" s="13" t="str">
        <f>+HYPERLINK("http://trademark.i-assist.jp/data/china/image_1916th/80960911.pdf","80960911")</f>
        <v>80960911</v>
      </c>
      <c r="F565" s="9" t="s">
        <v>1604</v>
      </c>
      <c r="G565" s="9" t="s">
        <v>1605</v>
      </c>
      <c r="H565" s="9" t="s">
        <v>1606</v>
      </c>
      <c r="I565" s="10">
        <v>45553</v>
      </c>
    </row>
    <row r="566" spans="1:9" x14ac:dyDescent="0.15">
      <c r="A566" s="9">
        <v>565</v>
      </c>
      <c r="B566" s="9" t="s">
        <v>9</v>
      </c>
      <c r="C566" s="9">
        <v>1916</v>
      </c>
      <c r="D566" s="10">
        <v>45646</v>
      </c>
      <c r="E566" s="13" t="str">
        <f>+HYPERLINK("http://trademark.i-assist.jp/data/china/image_1916th/80961209.pdf","80961209")</f>
        <v>80961209</v>
      </c>
      <c r="F566" s="9" t="s">
        <v>1607</v>
      </c>
      <c r="G566" s="9" t="s">
        <v>1608</v>
      </c>
      <c r="H566" s="9" t="s">
        <v>1609</v>
      </c>
      <c r="I566" s="10">
        <v>45553</v>
      </c>
    </row>
    <row r="567" spans="1:9" x14ac:dyDescent="0.15">
      <c r="A567" s="9">
        <v>566</v>
      </c>
      <c r="B567" s="9" t="s">
        <v>9</v>
      </c>
      <c r="C567" s="9">
        <v>1916</v>
      </c>
      <c r="D567" s="10">
        <v>45646</v>
      </c>
      <c r="E567" s="13" t="str">
        <f>+HYPERLINK("http://trademark.i-assist.jp/data/china/image_1916th/80961725.pdf","80961725")</f>
        <v>80961725</v>
      </c>
      <c r="F567" s="9" t="s">
        <v>1610</v>
      </c>
      <c r="G567" s="12" t="s">
        <v>1611</v>
      </c>
      <c r="H567" s="9" t="s">
        <v>1612</v>
      </c>
      <c r="I567" s="10">
        <v>45553</v>
      </c>
    </row>
    <row r="568" spans="1:9" x14ac:dyDescent="0.15">
      <c r="A568" s="9">
        <v>567</v>
      </c>
      <c r="B568" s="9" t="s">
        <v>9</v>
      </c>
      <c r="C568" s="9">
        <v>1916</v>
      </c>
      <c r="D568" s="10">
        <v>45646</v>
      </c>
      <c r="E568" s="13" t="str">
        <f>+HYPERLINK("http://trademark.i-assist.jp/data/china/image_1916th/80962996.pdf","80962996")</f>
        <v>80962996</v>
      </c>
      <c r="F568" s="9" t="s">
        <v>1613</v>
      </c>
      <c r="G568" s="9" t="s">
        <v>1614</v>
      </c>
      <c r="H568" s="9" t="s">
        <v>1615</v>
      </c>
      <c r="I568" s="10">
        <v>45553</v>
      </c>
    </row>
    <row r="569" spans="1:9" x14ac:dyDescent="0.15">
      <c r="A569" s="9">
        <v>568</v>
      </c>
      <c r="B569" s="9" t="s">
        <v>9</v>
      </c>
      <c r="C569" s="9">
        <v>1916</v>
      </c>
      <c r="D569" s="10">
        <v>45646</v>
      </c>
      <c r="E569" s="13" t="str">
        <f>+HYPERLINK("http://trademark.i-assist.jp/data/china/image_1916th/80963206.pdf","80963206")</f>
        <v>80963206</v>
      </c>
      <c r="F569" s="9" t="s">
        <v>1616</v>
      </c>
      <c r="G569" s="9" t="s">
        <v>1617</v>
      </c>
      <c r="H569" s="9" t="s">
        <v>1618</v>
      </c>
      <c r="I569" s="10">
        <v>45553</v>
      </c>
    </row>
    <row r="570" spans="1:9" x14ac:dyDescent="0.15">
      <c r="A570" s="9">
        <v>569</v>
      </c>
      <c r="B570" s="9" t="s">
        <v>9</v>
      </c>
      <c r="C570" s="9">
        <v>1916</v>
      </c>
      <c r="D570" s="10">
        <v>45646</v>
      </c>
      <c r="E570" s="13" t="str">
        <f>+HYPERLINK("http://trademark.i-assist.jp/data/china/image_1916th/80963961.pdf","80963961")</f>
        <v>80963961</v>
      </c>
      <c r="F570" s="12" t="s">
        <v>1619</v>
      </c>
      <c r="G570" s="12" t="s">
        <v>1620</v>
      </c>
      <c r="H570" s="9" t="s">
        <v>1621</v>
      </c>
      <c r="I570" s="10">
        <v>45553</v>
      </c>
    </row>
    <row r="571" spans="1:9" x14ac:dyDescent="0.15">
      <c r="A571" s="9">
        <v>570</v>
      </c>
      <c r="B571" s="9" t="s">
        <v>9</v>
      </c>
      <c r="C571" s="9">
        <v>1916</v>
      </c>
      <c r="D571" s="10">
        <v>45646</v>
      </c>
      <c r="E571" s="13" t="str">
        <f>+HYPERLINK("http://trademark.i-assist.jp/data/china/image_1916th/80964069.pdf","80964069")</f>
        <v>80964069</v>
      </c>
      <c r="F571" s="12" t="s">
        <v>1622</v>
      </c>
      <c r="G571" s="9" t="s">
        <v>1623</v>
      </c>
      <c r="H571" s="9" t="s">
        <v>1624</v>
      </c>
      <c r="I571" s="10">
        <v>45553</v>
      </c>
    </row>
    <row r="572" spans="1:9" x14ac:dyDescent="0.15">
      <c r="A572" s="9">
        <v>571</v>
      </c>
      <c r="B572" s="9" t="s">
        <v>9</v>
      </c>
      <c r="C572" s="9">
        <v>1916</v>
      </c>
      <c r="D572" s="10">
        <v>45646</v>
      </c>
      <c r="E572" s="13" t="str">
        <f>+HYPERLINK("http://trademark.i-assist.jp/data/china/image_1916th/80966059.pdf","80966059")</f>
        <v>80966059</v>
      </c>
      <c r="F572" s="9" t="s">
        <v>1610</v>
      </c>
      <c r="G572" s="12" t="s">
        <v>1611</v>
      </c>
      <c r="H572" s="9" t="s">
        <v>1612</v>
      </c>
      <c r="I572" s="10">
        <v>45553</v>
      </c>
    </row>
    <row r="573" spans="1:9" x14ac:dyDescent="0.15">
      <c r="A573" s="9">
        <v>572</v>
      </c>
      <c r="B573" s="9" t="s">
        <v>9</v>
      </c>
      <c r="C573" s="9">
        <v>1916</v>
      </c>
      <c r="D573" s="10">
        <v>45646</v>
      </c>
      <c r="E573" s="13" t="str">
        <f>+HYPERLINK("http://trademark.i-assist.jp/data/china/image_1916th/80966103.pdf","80966103")</f>
        <v>80966103</v>
      </c>
      <c r="F573" s="9" t="s">
        <v>1625</v>
      </c>
      <c r="G573" s="9" t="s">
        <v>1626</v>
      </c>
      <c r="H573" s="9" t="s">
        <v>1627</v>
      </c>
      <c r="I573" s="10">
        <v>45553</v>
      </c>
    </row>
    <row r="574" spans="1:9" x14ac:dyDescent="0.15">
      <c r="A574" s="9">
        <v>573</v>
      </c>
      <c r="B574" s="9" t="s">
        <v>9</v>
      </c>
      <c r="C574" s="9">
        <v>1916</v>
      </c>
      <c r="D574" s="10">
        <v>45646</v>
      </c>
      <c r="E574" s="13" t="str">
        <f>+HYPERLINK("http://trademark.i-assist.jp/data/china/image_1916th/80966430.pdf","80966430")</f>
        <v>80966430</v>
      </c>
      <c r="F574" s="9" t="s">
        <v>1628</v>
      </c>
      <c r="G574" s="9" t="s">
        <v>1629</v>
      </c>
      <c r="H574" s="9" t="s">
        <v>1630</v>
      </c>
      <c r="I574" s="10">
        <v>45553</v>
      </c>
    </row>
    <row r="575" spans="1:9" x14ac:dyDescent="0.15">
      <c r="A575" s="9">
        <v>574</v>
      </c>
      <c r="B575" s="9" t="s">
        <v>9</v>
      </c>
      <c r="C575" s="9">
        <v>1916</v>
      </c>
      <c r="D575" s="10">
        <v>45646</v>
      </c>
      <c r="E575" s="13" t="str">
        <f>+HYPERLINK("http://trademark.i-assist.jp/data/china/image_1916th/80966995.pdf","80966995")</f>
        <v>80966995</v>
      </c>
      <c r="F575" s="9" t="s">
        <v>1631</v>
      </c>
      <c r="G575" s="9" t="s">
        <v>1632</v>
      </c>
      <c r="H575" s="9" t="s">
        <v>1633</v>
      </c>
      <c r="I575" s="10">
        <v>45553</v>
      </c>
    </row>
    <row r="576" spans="1:9" x14ac:dyDescent="0.15">
      <c r="A576" s="9">
        <v>575</v>
      </c>
      <c r="B576" s="9" t="s">
        <v>9</v>
      </c>
      <c r="C576" s="9">
        <v>1916</v>
      </c>
      <c r="D576" s="10">
        <v>45646</v>
      </c>
      <c r="E576" s="13" t="str">
        <f>+HYPERLINK("http://trademark.i-assist.jp/data/china/image_1916th/80967043.pdf","80967043")</f>
        <v>80967043</v>
      </c>
      <c r="F576" s="12" t="s">
        <v>1634</v>
      </c>
      <c r="G576" s="9" t="s">
        <v>1635</v>
      </c>
      <c r="H576" s="12" t="s">
        <v>1636</v>
      </c>
      <c r="I576" s="10">
        <v>45553</v>
      </c>
    </row>
    <row r="577" spans="1:9" x14ac:dyDescent="0.15">
      <c r="A577" s="9">
        <v>576</v>
      </c>
      <c r="B577" s="9" t="s">
        <v>9</v>
      </c>
      <c r="C577" s="9">
        <v>1916</v>
      </c>
      <c r="D577" s="10">
        <v>45646</v>
      </c>
      <c r="E577" s="13" t="str">
        <f>+HYPERLINK("http://trademark.i-assist.jp/data/china/image_1916th/80967118.pdf","80967118")</f>
        <v>80967118</v>
      </c>
      <c r="F577" s="9" t="s">
        <v>1637</v>
      </c>
      <c r="G577" s="9" t="s">
        <v>1638</v>
      </c>
      <c r="H577" s="9" t="s">
        <v>1639</v>
      </c>
      <c r="I577" s="10">
        <v>45553</v>
      </c>
    </row>
    <row r="578" spans="1:9" x14ac:dyDescent="0.15">
      <c r="A578" s="9">
        <v>577</v>
      </c>
      <c r="B578" s="9" t="s">
        <v>9</v>
      </c>
      <c r="C578" s="9">
        <v>1916</v>
      </c>
      <c r="D578" s="10">
        <v>45646</v>
      </c>
      <c r="E578" s="13" t="str">
        <f>+HYPERLINK("http://trademark.i-assist.jp/data/china/image_1916th/80967162.pdf","80967162")</f>
        <v>80967162</v>
      </c>
      <c r="F578" s="9" t="s">
        <v>1640</v>
      </c>
      <c r="G578" s="12" t="s">
        <v>1641</v>
      </c>
      <c r="H578" s="9" t="s">
        <v>1642</v>
      </c>
      <c r="I578" s="10">
        <v>45553</v>
      </c>
    </row>
    <row r="579" spans="1:9" x14ac:dyDescent="0.15">
      <c r="A579" s="9">
        <v>578</v>
      </c>
      <c r="B579" s="9" t="s">
        <v>9</v>
      </c>
      <c r="C579" s="9">
        <v>1916</v>
      </c>
      <c r="D579" s="10">
        <v>45646</v>
      </c>
      <c r="E579" s="13" t="str">
        <f>+HYPERLINK("http://trademark.i-assist.jp/data/china/image_1916th/80968116.pdf","80968116")</f>
        <v>80968116</v>
      </c>
      <c r="F579" s="9" t="s">
        <v>1643</v>
      </c>
      <c r="G579" s="9" t="s">
        <v>1614</v>
      </c>
      <c r="H579" s="9" t="s">
        <v>1644</v>
      </c>
      <c r="I579" s="10">
        <v>45553</v>
      </c>
    </row>
    <row r="580" spans="1:9" x14ac:dyDescent="0.15">
      <c r="A580" s="9">
        <v>579</v>
      </c>
      <c r="B580" s="9" t="s">
        <v>9</v>
      </c>
      <c r="C580" s="9">
        <v>1916</v>
      </c>
      <c r="D580" s="10">
        <v>45646</v>
      </c>
      <c r="E580" s="13" t="str">
        <f>+HYPERLINK("http://trademark.i-assist.jp/data/china/image_1916th/80968133.pdf","80968133")</f>
        <v>80968133</v>
      </c>
      <c r="F580" s="9" t="s">
        <v>1645</v>
      </c>
      <c r="G580" s="9" t="s">
        <v>1646</v>
      </c>
      <c r="H580" s="9" t="s">
        <v>1647</v>
      </c>
      <c r="I580" s="10">
        <v>45553</v>
      </c>
    </row>
    <row r="581" spans="1:9" x14ac:dyDescent="0.15">
      <c r="A581" s="9">
        <v>580</v>
      </c>
      <c r="B581" s="9" t="s">
        <v>9</v>
      </c>
      <c r="C581" s="9">
        <v>1916</v>
      </c>
      <c r="D581" s="10">
        <v>45646</v>
      </c>
      <c r="E581" s="13" t="str">
        <f>+HYPERLINK("http://trademark.i-assist.jp/data/china/image_1916th/80968385.pdf","80968385")</f>
        <v>80968385</v>
      </c>
      <c r="F581" s="12" t="s">
        <v>1648</v>
      </c>
      <c r="G581" s="12" t="s">
        <v>1649</v>
      </c>
      <c r="H581" s="9" t="s">
        <v>1650</v>
      </c>
      <c r="I581" s="10">
        <v>45553</v>
      </c>
    </row>
    <row r="582" spans="1:9" x14ac:dyDescent="0.15">
      <c r="A582" s="9">
        <v>581</v>
      </c>
      <c r="B582" s="9" t="s">
        <v>9</v>
      </c>
      <c r="C582" s="9">
        <v>1916</v>
      </c>
      <c r="D582" s="10">
        <v>45646</v>
      </c>
      <c r="E582" s="13" t="str">
        <f>+HYPERLINK("http://trademark.i-assist.jp/data/china/image_1916th/80968943.pdf","80968943")</f>
        <v>80968943</v>
      </c>
      <c r="F582" s="9" t="s">
        <v>1651</v>
      </c>
      <c r="G582" s="9" t="s">
        <v>1652</v>
      </c>
      <c r="H582" s="9" t="s">
        <v>1653</v>
      </c>
      <c r="I582" s="10">
        <v>45553</v>
      </c>
    </row>
    <row r="583" spans="1:9" x14ac:dyDescent="0.15">
      <c r="A583" s="9">
        <v>582</v>
      </c>
      <c r="B583" s="9" t="s">
        <v>9</v>
      </c>
      <c r="C583" s="9">
        <v>1916</v>
      </c>
      <c r="D583" s="10">
        <v>45646</v>
      </c>
      <c r="E583" s="13" t="str">
        <f>+HYPERLINK("http://trademark.i-assist.jp/data/china/image_1916th/80969236.pdf","80969236")</f>
        <v>80969236</v>
      </c>
      <c r="F583" s="9" t="s">
        <v>1654</v>
      </c>
      <c r="G583" s="9" t="s">
        <v>1655</v>
      </c>
      <c r="H583" s="9" t="s">
        <v>1656</v>
      </c>
      <c r="I583" s="10">
        <v>45553</v>
      </c>
    </row>
    <row r="584" spans="1:9" x14ac:dyDescent="0.15">
      <c r="A584" s="9">
        <v>583</v>
      </c>
      <c r="B584" s="9" t="s">
        <v>9</v>
      </c>
      <c r="C584" s="9">
        <v>1916</v>
      </c>
      <c r="D584" s="10">
        <v>45646</v>
      </c>
      <c r="E584" s="13" t="str">
        <f>+HYPERLINK("http://trademark.i-assist.jp/data/china/image_1916th/80969657.pdf","80969657")</f>
        <v>80969657</v>
      </c>
      <c r="F584" s="9" t="s">
        <v>1657</v>
      </c>
      <c r="G584" s="12" t="s">
        <v>1658</v>
      </c>
      <c r="H584" s="9" t="s">
        <v>1659</v>
      </c>
      <c r="I584" s="10">
        <v>45553</v>
      </c>
    </row>
    <row r="585" spans="1:9" x14ac:dyDescent="0.15">
      <c r="A585" s="9">
        <v>584</v>
      </c>
      <c r="B585" s="9" t="s">
        <v>9</v>
      </c>
      <c r="C585" s="9">
        <v>1916</v>
      </c>
      <c r="D585" s="10">
        <v>45646</v>
      </c>
      <c r="E585" s="13" t="str">
        <f>+HYPERLINK("http://trademark.i-assist.jp/data/china/image_1916th/80970035.pdf","80970035")</f>
        <v>80970035</v>
      </c>
      <c r="F585" s="12" t="s">
        <v>13</v>
      </c>
      <c r="G585" s="12" t="s">
        <v>1611</v>
      </c>
      <c r="H585" s="9" t="s">
        <v>1612</v>
      </c>
      <c r="I585" s="10">
        <v>45553</v>
      </c>
    </row>
    <row r="586" spans="1:9" x14ac:dyDescent="0.15">
      <c r="A586" s="9">
        <v>585</v>
      </c>
      <c r="B586" s="9" t="s">
        <v>9</v>
      </c>
      <c r="C586" s="9">
        <v>1916</v>
      </c>
      <c r="D586" s="10">
        <v>45646</v>
      </c>
      <c r="E586" s="13" t="str">
        <f>+HYPERLINK("http://trademark.i-assist.jp/data/china/image_1916th/80970782.pdf","80970782")</f>
        <v>80970782</v>
      </c>
      <c r="F586" s="9" t="s">
        <v>1660</v>
      </c>
      <c r="G586" s="9" t="s">
        <v>1502</v>
      </c>
      <c r="H586" s="9" t="s">
        <v>1661</v>
      </c>
      <c r="I586" s="10">
        <v>45553</v>
      </c>
    </row>
    <row r="587" spans="1:9" x14ac:dyDescent="0.15">
      <c r="A587" s="9">
        <v>586</v>
      </c>
      <c r="B587" s="9" t="s">
        <v>9</v>
      </c>
      <c r="C587" s="9">
        <v>1916</v>
      </c>
      <c r="D587" s="10">
        <v>45646</v>
      </c>
      <c r="E587" s="13" t="str">
        <f>+HYPERLINK("http://trademark.i-assist.jp/data/china/image_1916th/80971432.pdf","80971432")</f>
        <v>80971432</v>
      </c>
      <c r="F587" s="9" t="s">
        <v>1662</v>
      </c>
      <c r="G587" s="9" t="s">
        <v>1663</v>
      </c>
      <c r="H587" s="12" t="s">
        <v>1664</v>
      </c>
      <c r="I587" s="10">
        <v>45553</v>
      </c>
    </row>
    <row r="588" spans="1:9" x14ac:dyDescent="0.15">
      <c r="A588" s="9">
        <v>587</v>
      </c>
      <c r="B588" s="9" t="s">
        <v>9</v>
      </c>
      <c r="C588" s="9">
        <v>1916</v>
      </c>
      <c r="D588" s="10">
        <v>45646</v>
      </c>
      <c r="E588" s="13" t="str">
        <f>+HYPERLINK("http://trademark.i-assist.jp/data/china/image_1916th/80971860.pdf","80971860")</f>
        <v>80971860</v>
      </c>
      <c r="F588" s="9" t="s">
        <v>1665</v>
      </c>
      <c r="G588" s="12" t="s">
        <v>1666</v>
      </c>
      <c r="H588" s="9" t="s">
        <v>1667</v>
      </c>
      <c r="I588" s="10">
        <v>45553</v>
      </c>
    </row>
    <row r="589" spans="1:9" x14ac:dyDescent="0.15">
      <c r="A589" s="9">
        <v>588</v>
      </c>
      <c r="B589" s="9" t="s">
        <v>9</v>
      </c>
      <c r="C589" s="9">
        <v>1916</v>
      </c>
      <c r="D589" s="10">
        <v>45646</v>
      </c>
      <c r="E589" s="13" t="str">
        <f>+HYPERLINK("http://trademark.i-assist.jp/data/china/image_1916th/80971912.pdf","80971912")</f>
        <v>80971912</v>
      </c>
      <c r="F589" s="9" t="s">
        <v>1668</v>
      </c>
      <c r="G589" s="12" t="s">
        <v>1669</v>
      </c>
      <c r="H589" s="9" t="s">
        <v>1670</v>
      </c>
      <c r="I589" s="10">
        <v>45553</v>
      </c>
    </row>
    <row r="590" spans="1:9" x14ac:dyDescent="0.15">
      <c r="A590" s="9">
        <v>589</v>
      </c>
      <c r="B590" s="9" t="s">
        <v>9</v>
      </c>
      <c r="C590" s="9">
        <v>1916</v>
      </c>
      <c r="D590" s="10">
        <v>45646</v>
      </c>
      <c r="E590" s="13" t="str">
        <f>+HYPERLINK("http://trademark.i-assist.jp/data/china/image_1916th/80972120.pdf","80972120")</f>
        <v>80972120</v>
      </c>
      <c r="F590" s="9" t="s">
        <v>1671</v>
      </c>
      <c r="G590" s="9" t="s">
        <v>1663</v>
      </c>
      <c r="H590" s="9" t="s">
        <v>1672</v>
      </c>
      <c r="I590" s="10">
        <v>45553</v>
      </c>
    </row>
    <row r="591" spans="1:9" x14ac:dyDescent="0.15">
      <c r="A591" s="9">
        <v>590</v>
      </c>
      <c r="B591" s="9" t="s">
        <v>9</v>
      </c>
      <c r="C591" s="9">
        <v>1916</v>
      </c>
      <c r="D591" s="10">
        <v>45646</v>
      </c>
      <c r="E591" s="13" t="str">
        <f>+HYPERLINK("http://trademark.i-assist.jp/data/china/image_1916th/80972921.pdf","80972921")</f>
        <v>80972921</v>
      </c>
      <c r="F591" s="9" t="s">
        <v>1673</v>
      </c>
      <c r="G591" s="9" t="s">
        <v>1674</v>
      </c>
      <c r="H591" s="9" t="s">
        <v>32</v>
      </c>
      <c r="I591" s="10">
        <v>45553</v>
      </c>
    </row>
    <row r="592" spans="1:9" x14ac:dyDescent="0.15">
      <c r="A592" s="9">
        <v>591</v>
      </c>
      <c r="B592" s="9" t="s">
        <v>9</v>
      </c>
      <c r="C592" s="9">
        <v>1916</v>
      </c>
      <c r="D592" s="10">
        <v>45646</v>
      </c>
      <c r="E592" s="13" t="str">
        <f>+HYPERLINK("http://trademark.i-assist.jp/data/china/image_1916th/80973648.pdf","80973648")</f>
        <v>80973648</v>
      </c>
      <c r="F592" s="9" t="s">
        <v>1675</v>
      </c>
      <c r="G592" s="9" t="s">
        <v>1599</v>
      </c>
      <c r="H592" s="9" t="s">
        <v>1676</v>
      </c>
      <c r="I592" s="10">
        <v>45553</v>
      </c>
    </row>
    <row r="593" spans="1:9" x14ac:dyDescent="0.15">
      <c r="A593" s="9">
        <v>592</v>
      </c>
      <c r="B593" s="9" t="s">
        <v>9</v>
      </c>
      <c r="C593" s="9">
        <v>1916</v>
      </c>
      <c r="D593" s="10">
        <v>45646</v>
      </c>
      <c r="E593" s="13" t="str">
        <f>+HYPERLINK("http://trademark.i-assist.jp/data/china/image_1916th/80973965.pdf","80973965")</f>
        <v>80973965</v>
      </c>
      <c r="F593" s="9" t="s">
        <v>1677</v>
      </c>
      <c r="G593" s="9" t="s">
        <v>1678</v>
      </c>
      <c r="H593" s="9" t="s">
        <v>1679</v>
      </c>
      <c r="I593" s="10">
        <v>45553</v>
      </c>
    </row>
    <row r="594" spans="1:9" x14ac:dyDescent="0.15">
      <c r="A594" s="9">
        <v>593</v>
      </c>
      <c r="B594" s="9" t="s">
        <v>9</v>
      </c>
      <c r="C594" s="9">
        <v>1916</v>
      </c>
      <c r="D594" s="10">
        <v>45646</v>
      </c>
      <c r="E594" s="13" t="str">
        <f>+HYPERLINK("http://trademark.i-assist.jp/data/china/image_1916th/80975100.pdf","80975100")</f>
        <v>80975100</v>
      </c>
      <c r="F594" s="9" t="s">
        <v>1680</v>
      </c>
      <c r="G594" s="9" t="s">
        <v>1681</v>
      </c>
      <c r="H594" s="9" t="s">
        <v>1682</v>
      </c>
      <c r="I594" s="10">
        <v>45553</v>
      </c>
    </row>
    <row r="595" spans="1:9" x14ac:dyDescent="0.15">
      <c r="A595" s="9">
        <v>594</v>
      </c>
      <c r="B595" s="9" t="s">
        <v>9</v>
      </c>
      <c r="C595" s="9">
        <v>1916</v>
      </c>
      <c r="D595" s="10">
        <v>45646</v>
      </c>
      <c r="E595" s="13" t="str">
        <f>+HYPERLINK("http://trademark.i-assist.jp/data/china/image_1916th/80975304.pdf","80975304")</f>
        <v>80975304</v>
      </c>
      <c r="F595" s="12" t="s">
        <v>1683</v>
      </c>
      <c r="G595" s="12" t="s">
        <v>1684</v>
      </c>
      <c r="H595" s="9" t="s">
        <v>1685</v>
      </c>
      <c r="I595" s="10">
        <v>45553</v>
      </c>
    </row>
    <row r="596" spans="1:9" x14ac:dyDescent="0.15">
      <c r="A596" s="9">
        <v>595</v>
      </c>
      <c r="B596" s="9" t="s">
        <v>9</v>
      </c>
      <c r="C596" s="9">
        <v>1916</v>
      </c>
      <c r="D596" s="10">
        <v>45646</v>
      </c>
      <c r="E596" s="13" t="str">
        <f>+HYPERLINK("http://trademark.i-assist.jp/data/china/image_1916th/80976032.pdf","80976032")</f>
        <v>80976032</v>
      </c>
      <c r="F596" s="9" t="s">
        <v>1686</v>
      </c>
      <c r="G596" s="9" t="s">
        <v>1687</v>
      </c>
      <c r="H596" s="12" t="s">
        <v>1688</v>
      </c>
      <c r="I596" s="10">
        <v>45553</v>
      </c>
    </row>
    <row r="597" spans="1:9" x14ac:dyDescent="0.15">
      <c r="A597" s="9">
        <v>596</v>
      </c>
      <c r="B597" s="9" t="s">
        <v>9</v>
      </c>
      <c r="C597" s="9">
        <v>1916</v>
      </c>
      <c r="D597" s="10">
        <v>45646</v>
      </c>
      <c r="E597" s="13" t="str">
        <f>+HYPERLINK("http://trademark.i-assist.jp/data/china/image_1916th/80976475.pdf","80976475")</f>
        <v>80976475</v>
      </c>
      <c r="F597" s="9" t="s">
        <v>1689</v>
      </c>
      <c r="G597" s="9" t="s">
        <v>1602</v>
      </c>
      <c r="H597" s="9" t="s">
        <v>1690</v>
      </c>
      <c r="I597" s="10">
        <v>45553</v>
      </c>
    </row>
    <row r="598" spans="1:9" x14ac:dyDescent="0.15">
      <c r="A598" s="9">
        <v>597</v>
      </c>
      <c r="B598" s="9" t="s">
        <v>9</v>
      </c>
      <c r="C598" s="9">
        <v>1916</v>
      </c>
      <c r="D598" s="10">
        <v>45646</v>
      </c>
      <c r="E598" s="13" t="str">
        <f>+HYPERLINK("http://trademark.i-assist.jp/data/china/image_1916th/80976482.pdf","80976482")</f>
        <v>80976482</v>
      </c>
      <c r="F598" s="9" t="s">
        <v>1691</v>
      </c>
      <c r="G598" s="12" t="s">
        <v>1692</v>
      </c>
      <c r="H598" s="9" t="s">
        <v>1693</v>
      </c>
      <c r="I598" s="10">
        <v>45553</v>
      </c>
    </row>
    <row r="599" spans="1:9" x14ac:dyDescent="0.15">
      <c r="A599" s="9">
        <v>598</v>
      </c>
      <c r="B599" s="9" t="s">
        <v>9</v>
      </c>
      <c r="C599" s="9">
        <v>1916</v>
      </c>
      <c r="D599" s="10">
        <v>45646</v>
      </c>
      <c r="E599" s="13" t="str">
        <f>+HYPERLINK("http://trademark.i-assist.jp/data/china/image_1916th/80976552.pdf","80976552")</f>
        <v>80976552</v>
      </c>
      <c r="F599" s="9" t="s">
        <v>1694</v>
      </c>
      <c r="G599" s="12" t="s">
        <v>1611</v>
      </c>
      <c r="H599" s="9" t="s">
        <v>1612</v>
      </c>
      <c r="I599" s="10">
        <v>45553</v>
      </c>
    </row>
    <row r="600" spans="1:9" x14ac:dyDescent="0.15">
      <c r="A600" s="9">
        <v>599</v>
      </c>
      <c r="B600" s="9" t="s">
        <v>9</v>
      </c>
      <c r="C600" s="9">
        <v>1916</v>
      </c>
      <c r="D600" s="10">
        <v>45646</v>
      </c>
      <c r="E600" s="13" t="str">
        <f>+HYPERLINK("http://trademark.i-assist.jp/data/china/image_1916th/80977250.pdf","80977250")</f>
        <v>80977250</v>
      </c>
      <c r="F600" s="9" t="s">
        <v>1695</v>
      </c>
      <c r="G600" s="9" t="s">
        <v>1696</v>
      </c>
      <c r="H600" s="9" t="s">
        <v>1697</v>
      </c>
      <c r="I600" s="10">
        <v>45553</v>
      </c>
    </row>
    <row r="601" spans="1:9" x14ac:dyDescent="0.15">
      <c r="A601" s="9">
        <v>600</v>
      </c>
      <c r="B601" s="9" t="s">
        <v>9</v>
      </c>
      <c r="C601" s="9">
        <v>1916</v>
      </c>
      <c r="D601" s="10">
        <v>45646</v>
      </c>
      <c r="E601" s="13" t="str">
        <f>+HYPERLINK("http://trademark.i-assist.jp/data/china/image_1916th/80977608.pdf","80977608")</f>
        <v>80977608</v>
      </c>
      <c r="F601" s="9" t="s">
        <v>1698</v>
      </c>
      <c r="G601" s="9" t="s">
        <v>1699</v>
      </c>
      <c r="H601" s="9" t="s">
        <v>1700</v>
      </c>
      <c r="I601" s="10">
        <v>45553</v>
      </c>
    </row>
    <row r="602" spans="1:9" x14ac:dyDescent="0.15">
      <c r="A602" s="9">
        <v>601</v>
      </c>
      <c r="B602" s="9" t="s">
        <v>9</v>
      </c>
      <c r="C602" s="9">
        <v>1916</v>
      </c>
      <c r="D602" s="10">
        <v>45646</v>
      </c>
      <c r="E602" s="13" t="str">
        <f>+HYPERLINK("http://trademark.i-assist.jp/data/china/image_1916th/80977679.pdf","80977679")</f>
        <v>80977679</v>
      </c>
      <c r="F602" s="12" t="s">
        <v>13</v>
      </c>
      <c r="G602" s="9" t="s">
        <v>1701</v>
      </c>
      <c r="H602" s="9" t="s">
        <v>1702</v>
      </c>
      <c r="I602" s="10">
        <v>45553</v>
      </c>
    </row>
    <row r="603" spans="1:9" x14ac:dyDescent="0.15">
      <c r="A603" s="9">
        <v>602</v>
      </c>
      <c r="B603" s="9" t="s">
        <v>9</v>
      </c>
      <c r="C603" s="9">
        <v>1916</v>
      </c>
      <c r="D603" s="10">
        <v>45646</v>
      </c>
      <c r="E603" s="13" t="str">
        <f>+HYPERLINK("http://trademark.i-assist.jp/data/china/image_1916th/80977772.pdf","80977772")</f>
        <v>80977772</v>
      </c>
      <c r="F603" s="9" t="s">
        <v>1703</v>
      </c>
      <c r="G603" s="9" t="s">
        <v>1704</v>
      </c>
      <c r="H603" s="9" t="s">
        <v>1705</v>
      </c>
      <c r="I603" s="10">
        <v>45553</v>
      </c>
    </row>
    <row r="604" spans="1:9" x14ac:dyDescent="0.15">
      <c r="A604" s="9">
        <v>603</v>
      </c>
      <c r="B604" s="9" t="s">
        <v>9</v>
      </c>
      <c r="C604" s="9">
        <v>1916</v>
      </c>
      <c r="D604" s="10">
        <v>45646</v>
      </c>
      <c r="E604" s="13" t="str">
        <f>+HYPERLINK("http://trademark.i-assist.jp/data/china/image_1916th/80977821.pdf","80977821")</f>
        <v>80977821</v>
      </c>
      <c r="F604" s="9" t="s">
        <v>1706</v>
      </c>
      <c r="G604" s="9" t="s">
        <v>1707</v>
      </c>
      <c r="H604" s="12" t="s">
        <v>1708</v>
      </c>
      <c r="I604" s="10">
        <v>45553</v>
      </c>
    </row>
    <row r="605" spans="1:9" x14ac:dyDescent="0.15">
      <c r="A605" s="9">
        <v>604</v>
      </c>
      <c r="B605" s="9" t="s">
        <v>9</v>
      </c>
      <c r="C605" s="9">
        <v>1916</v>
      </c>
      <c r="D605" s="10">
        <v>45646</v>
      </c>
      <c r="E605" s="13" t="str">
        <f>+HYPERLINK("http://trademark.i-assist.jp/data/china/image_1916th/80977895.pdf","80977895")</f>
        <v>80977895</v>
      </c>
      <c r="F605" s="9" t="s">
        <v>1709</v>
      </c>
      <c r="G605" s="12" t="s">
        <v>1710</v>
      </c>
      <c r="H605" s="9" t="s">
        <v>1711</v>
      </c>
      <c r="I605" s="10">
        <v>45553</v>
      </c>
    </row>
    <row r="606" spans="1:9" x14ac:dyDescent="0.15">
      <c r="A606" s="9">
        <v>605</v>
      </c>
      <c r="B606" s="9" t="s">
        <v>9</v>
      </c>
      <c r="C606" s="9">
        <v>1916</v>
      </c>
      <c r="D606" s="10">
        <v>45646</v>
      </c>
      <c r="E606" s="13" t="str">
        <f>+HYPERLINK("http://trademark.i-assist.jp/data/china/image_1916th/80978611.pdf","80978611")</f>
        <v>80978611</v>
      </c>
      <c r="F606" s="9" t="s">
        <v>1712</v>
      </c>
      <c r="G606" s="9" t="s">
        <v>1713</v>
      </c>
      <c r="H606" s="12" t="s">
        <v>1714</v>
      </c>
      <c r="I606" s="10">
        <v>45553</v>
      </c>
    </row>
    <row r="607" spans="1:9" x14ac:dyDescent="0.15">
      <c r="A607" s="9">
        <v>606</v>
      </c>
      <c r="B607" s="9" t="s">
        <v>9</v>
      </c>
      <c r="C607" s="9">
        <v>1916</v>
      </c>
      <c r="D607" s="10">
        <v>45646</v>
      </c>
      <c r="E607" s="13" t="str">
        <f>+HYPERLINK("http://trademark.i-assist.jp/data/china/image_1916th/80978799.pdf","80978799")</f>
        <v>80978799</v>
      </c>
      <c r="F607" s="9" t="s">
        <v>1715</v>
      </c>
      <c r="G607" s="9" t="s">
        <v>1716</v>
      </c>
      <c r="H607" s="9" t="s">
        <v>1717</v>
      </c>
      <c r="I607" s="10">
        <v>45553</v>
      </c>
    </row>
    <row r="608" spans="1:9" x14ac:dyDescent="0.15">
      <c r="A608" s="9">
        <v>607</v>
      </c>
      <c r="B608" s="9" t="s">
        <v>9</v>
      </c>
      <c r="C608" s="9">
        <v>1916</v>
      </c>
      <c r="D608" s="10">
        <v>45646</v>
      </c>
      <c r="E608" s="13" t="str">
        <f>+HYPERLINK("http://trademark.i-assist.jp/data/china/image_1916th/80978942.pdf","80978942")</f>
        <v>80978942</v>
      </c>
      <c r="F608" s="9" t="s">
        <v>1718</v>
      </c>
      <c r="G608" s="9" t="s">
        <v>1719</v>
      </c>
      <c r="H608" s="9" t="s">
        <v>1720</v>
      </c>
      <c r="I608" s="10">
        <v>45553</v>
      </c>
    </row>
    <row r="609" spans="1:9" x14ac:dyDescent="0.15">
      <c r="A609" s="9">
        <v>608</v>
      </c>
      <c r="B609" s="9" t="s">
        <v>9</v>
      </c>
      <c r="C609" s="9">
        <v>1916</v>
      </c>
      <c r="D609" s="10">
        <v>45646</v>
      </c>
      <c r="E609" s="13" t="str">
        <f>+HYPERLINK("http://trademark.i-assist.jp/data/china/image_1916th/80978946.pdf","80978946")</f>
        <v>80978946</v>
      </c>
      <c r="F609" s="12" t="s">
        <v>13</v>
      </c>
      <c r="G609" s="12" t="s">
        <v>1721</v>
      </c>
      <c r="H609" s="9" t="s">
        <v>1722</v>
      </c>
      <c r="I609" s="10">
        <v>45553</v>
      </c>
    </row>
    <row r="610" spans="1:9" x14ac:dyDescent="0.15">
      <c r="A610" s="9">
        <v>609</v>
      </c>
      <c r="B610" s="9" t="s">
        <v>9</v>
      </c>
      <c r="C610" s="9">
        <v>1916</v>
      </c>
      <c r="D610" s="10">
        <v>45646</v>
      </c>
      <c r="E610" s="13" t="str">
        <f>+HYPERLINK("http://trademark.i-assist.jp/data/china/image_1916th/80979704.pdf","80979704")</f>
        <v>80979704</v>
      </c>
      <c r="F610" s="12" t="s">
        <v>13</v>
      </c>
      <c r="G610" s="12" t="s">
        <v>1611</v>
      </c>
      <c r="H610" s="9" t="s">
        <v>1612</v>
      </c>
      <c r="I610" s="10">
        <v>45553</v>
      </c>
    </row>
    <row r="611" spans="1:9" x14ac:dyDescent="0.15">
      <c r="A611" s="9">
        <v>610</v>
      </c>
      <c r="B611" s="9" t="s">
        <v>9</v>
      </c>
      <c r="C611" s="9">
        <v>1916</v>
      </c>
      <c r="D611" s="10">
        <v>45646</v>
      </c>
      <c r="E611" s="13" t="str">
        <f>+HYPERLINK("http://trademark.i-assist.jp/data/china/image_1916th/80980058.pdf","80980058")</f>
        <v>80980058</v>
      </c>
      <c r="F611" s="9" t="s">
        <v>1723</v>
      </c>
      <c r="G611" s="9" t="s">
        <v>1724</v>
      </c>
      <c r="H611" s="9" t="s">
        <v>1725</v>
      </c>
      <c r="I611" s="10">
        <v>45553</v>
      </c>
    </row>
    <row r="612" spans="1:9" x14ac:dyDescent="0.15">
      <c r="A612" s="9">
        <v>611</v>
      </c>
      <c r="B612" s="9" t="s">
        <v>9</v>
      </c>
      <c r="C612" s="9">
        <v>1916</v>
      </c>
      <c r="D612" s="10">
        <v>45646</v>
      </c>
      <c r="E612" s="13" t="str">
        <f>+HYPERLINK("http://trademark.i-assist.jp/data/china/image_1916th/80980480.pdf","80980480")</f>
        <v>80980480</v>
      </c>
      <c r="F612" s="9" t="s">
        <v>1726</v>
      </c>
      <c r="G612" s="9" t="s">
        <v>1727</v>
      </c>
      <c r="H612" s="9" t="s">
        <v>1728</v>
      </c>
      <c r="I612" s="10">
        <v>45553</v>
      </c>
    </row>
    <row r="613" spans="1:9" x14ac:dyDescent="0.15">
      <c r="A613" s="9">
        <v>612</v>
      </c>
      <c r="B613" s="9" t="s">
        <v>9</v>
      </c>
      <c r="C613" s="9">
        <v>1916</v>
      </c>
      <c r="D613" s="10">
        <v>45646</v>
      </c>
      <c r="E613" s="13" t="str">
        <f>+HYPERLINK("http://trademark.i-assist.jp/data/china/image_1916th/80980733.pdf","80980733")</f>
        <v>80980733</v>
      </c>
      <c r="F613" s="9" t="s">
        <v>1729</v>
      </c>
      <c r="G613" s="9" t="s">
        <v>1730</v>
      </c>
      <c r="H613" s="9" t="s">
        <v>1731</v>
      </c>
      <c r="I613" s="10">
        <v>45553</v>
      </c>
    </row>
    <row r="614" spans="1:9" x14ac:dyDescent="0.15">
      <c r="A614" s="9">
        <v>613</v>
      </c>
      <c r="B614" s="9" t="s">
        <v>9</v>
      </c>
      <c r="C614" s="9">
        <v>1916</v>
      </c>
      <c r="D614" s="10">
        <v>45646</v>
      </c>
      <c r="E614" s="13" t="str">
        <f>+HYPERLINK("http://trademark.i-assist.jp/data/china/image_1916th/80981199.pdf","80981199")</f>
        <v>80981199</v>
      </c>
      <c r="F614" s="9" t="s">
        <v>1732</v>
      </c>
      <c r="G614" s="12" t="s">
        <v>1733</v>
      </c>
      <c r="H614" s="9" t="s">
        <v>1734</v>
      </c>
      <c r="I614" s="10">
        <v>45554</v>
      </c>
    </row>
    <row r="615" spans="1:9" x14ac:dyDescent="0.15">
      <c r="A615" s="9">
        <v>614</v>
      </c>
      <c r="B615" s="9" t="s">
        <v>9</v>
      </c>
      <c r="C615" s="9">
        <v>1916</v>
      </c>
      <c r="D615" s="10">
        <v>45646</v>
      </c>
      <c r="E615" s="13" t="str">
        <f>+HYPERLINK("http://trademark.i-assist.jp/data/china/image_1916th/80981614.pdf","80981614")</f>
        <v>80981614</v>
      </c>
      <c r="F615" s="9" t="s">
        <v>1735</v>
      </c>
      <c r="G615" s="12" t="s">
        <v>1736</v>
      </c>
      <c r="H615" s="9" t="s">
        <v>1737</v>
      </c>
      <c r="I615" s="10">
        <v>45554</v>
      </c>
    </row>
    <row r="616" spans="1:9" x14ac:dyDescent="0.15">
      <c r="A616" s="9">
        <v>615</v>
      </c>
      <c r="B616" s="9" t="s">
        <v>9</v>
      </c>
      <c r="C616" s="9">
        <v>1916</v>
      </c>
      <c r="D616" s="10">
        <v>45646</v>
      </c>
      <c r="E616" s="13" t="str">
        <f>+HYPERLINK("http://trademark.i-assist.jp/data/china/image_1916th/80982060.pdf","80982060")</f>
        <v>80982060</v>
      </c>
      <c r="F616" s="9" t="s">
        <v>1738</v>
      </c>
      <c r="G616" s="12" t="s">
        <v>1739</v>
      </c>
      <c r="H616" s="9" t="s">
        <v>1740</v>
      </c>
      <c r="I616" s="10">
        <v>45554</v>
      </c>
    </row>
    <row r="617" spans="1:9" x14ac:dyDescent="0.15">
      <c r="A617" s="9">
        <v>616</v>
      </c>
      <c r="B617" s="9" t="s">
        <v>9</v>
      </c>
      <c r="C617" s="9">
        <v>1916</v>
      </c>
      <c r="D617" s="10">
        <v>45646</v>
      </c>
      <c r="E617" s="13" t="str">
        <f>+HYPERLINK("http://trademark.i-assist.jp/data/china/image_1916th/80982679.pdf","80982679")</f>
        <v>80982679</v>
      </c>
      <c r="F617" s="9" t="s">
        <v>1741</v>
      </c>
      <c r="G617" s="12" t="s">
        <v>1742</v>
      </c>
      <c r="H617" s="12" t="s">
        <v>1743</v>
      </c>
      <c r="I617" s="10">
        <v>45554</v>
      </c>
    </row>
    <row r="618" spans="1:9" x14ac:dyDescent="0.15">
      <c r="A618" s="9">
        <v>617</v>
      </c>
      <c r="B618" s="9" t="s">
        <v>9</v>
      </c>
      <c r="C618" s="9">
        <v>1916</v>
      </c>
      <c r="D618" s="10">
        <v>45646</v>
      </c>
      <c r="E618" s="13" t="str">
        <f>+HYPERLINK("http://trademark.i-assist.jp/data/china/image_1916th/80982744.pdf","80982744")</f>
        <v>80982744</v>
      </c>
      <c r="F618" s="12" t="s">
        <v>13</v>
      </c>
      <c r="G618" s="9" t="s">
        <v>1744</v>
      </c>
      <c r="H618" s="9" t="s">
        <v>1745</v>
      </c>
      <c r="I618" s="10">
        <v>45554</v>
      </c>
    </row>
    <row r="619" spans="1:9" x14ac:dyDescent="0.15">
      <c r="A619" s="9">
        <v>618</v>
      </c>
      <c r="B619" s="9" t="s">
        <v>9</v>
      </c>
      <c r="C619" s="9">
        <v>1916</v>
      </c>
      <c r="D619" s="10">
        <v>45646</v>
      </c>
      <c r="E619" s="13" t="str">
        <f>+HYPERLINK("http://trademark.i-assist.jp/data/china/image_1916th/80983075.pdf","80983075")</f>
        <v>80983075</v>
      </c>
      <c r="F619" s="9" t="s">
        <v>1746</v>
      </c>
      <c r="G619" s="9" t="s">
        <v>1747</v>
      </c>
      <c r="H619" s="9" t="s">
        <v>1748</v>
      </c>
      <c r="I619" s="10">
        <v>45554</v>
      </c>
    </row>
    <row r="620" spans="1:9" x14ac:dyDescent="0.15">
      <c r="A620" s="9">
        <v>619</v>
      </c>
      <c r="B620" s="9" t="s">
        <v>9</v>
      </c>
      <c r="C620" s="9">
        <v>1916</v>
      </c>
      <c r="D620" s="10">
        <v>45646</v>
      </c>
      <c r="E620" s="13" t="str">
        <f>+HYPERLINK("http://trademark.i-assist.jp/data/china/image_1916th/80983097.pdf","80983097")</f>
        <v>80983097</v>
      </c>
      <c r="F620" s="9" t="s">
        <v>1749</v>
      </c>
      <c r="G620" s="9" t="s">
        <v>1750</v>
      </c>
      <c r="H620" s="9" t="s">
        <v>1751</v>
      </c>
      <c r="I620" s="10">
        <v>45554</v>
      </c>
    </row>
    <row r="621" spans="1:9" x14ac:dyDescent="0.15">
      <c r="A621" s="9">
        <v>620</v>
      </c>
      <c r="B621" s="9" t="s">
        <v>9</v>
      </c>
      <c r="C621" s="9">
        <v>1916</v>
      </c>
      <c r="D621" s="10">
        <v>45646</v>
      </c>
      <c r="E621" s="13" t="str">
        <f>+HYPERLINK("http://trademark.i-assist.jp/data/china/image_1916th/80984015.pdf","80984015")</f>
        <v>80984015</v>
      </c>
      <c r="F621" s="9" t="s">
        <v>1752</v>
      </c>
      <c r="G621" s="12" t="s">
        <v>1753</v>
      </c>
      <c r="H621" s="9" t="s">
        <v>1754</v>
      </c>
      <c r="I621" s="10">
        <v>45554</v>
      </c>
    </row>
    <row r="622" spans="1:9" x14ac:dyDescent="0.15">
      <c r="A622" s="9">
        <v>621</v>
      </c>
      <c r="B622" s="9" t="s">
        <v>9</v>
      </c>
      <c r="C622" s="9">
        <v>1916</v>
      </c>
      <c r="D622" s="10">
        <v>45646</v>
      </c>
      <c r="E622" s="13" t="str">
        <f>+HYPERLINK("http://trademark.i-assist.jp/data/china/image_1916th/80984217.pdf","80984217")</f>
        <v>80984217</v>
      </c>
      <c r="F622" s="9" t="s">
        <v>1755</v>
      </c>
      <c r="G622" s="12" t="s">
        <v>1756</v>
      </c>
      <c r="H622" s="9" t="s">
        <v>1757</v>
      </c>
      <c r="I622" s="10">
        <v>45554</v>
      </c>
    </row>
    <row r="623" spans="1:9" x14ac:dyDescent="0.15">
      <c r="A623" s="9">
        <v>622</v>
      </c>
      <c r="B623" s="9" t="s">
        <v>9</v>
      </c>
      <c r="C623" s="9">
        <v>1916</v>
      </c>
      <c r="D623" s="10">
        <v>45646</v>
      </c>
      <c r="E623" s="13" t="str">
        <f>+HYPERLINK("http://trademark.i-assist.jp/data/china/image_1916th/80985046.pdf","80985046")</f>
        <v>80985046</v>
      </c>
      <c r="F623" s="12" t="s">
        <v>1758</v>
      </c>
      <c r="G623" s="12" t="s">
        <v>1759</v>
      </c>
      <c r="H623" s="12" t="s">
        <v>1760</v>
      </c>
      <c r="I623" s="10">
        <v>45554</v>
      </c>
    </row>
    <row r="624" spans="1:9" x14ac:dyDescent="0.15">
      <c r="A624" s="9">
        <v>623</v>
      </c>
      <c r="B624" s="9" t="s">
        <v>9</v>
      </c>
      <c r="C624" s="9">
        <v>1916</v>
      </c>
      <c r="D624" s="10">
        <v>45646</v>
      </c>
      <c r="E624" s="13" t="str">
        <f>+HYPERLINK("http://trademark.i-assist.jp/data/china/image_1916th/80985061.pdf","80985061")</f>
        <v>80985061</v>
      </c>
      <c r="F624" s="9" t="s">
        <v>1761</v>
      </c>
      <c r="G624" s="9" t="s">
        <v>1762</v>
      </c>
      <c r="H624" s="9" t="s">
        <v>1763</v>
      </c>
      <c r="I624" s="10">
        <v>45554</v>
      </c>
    </row>
    <row r="625" spans="1:9" x14ac:dyDescent="0.15">
      <c r="A625" s="9">
        <v>624</v>
      </c>
      <c r="B625" s="9" t="s">
        <v>9</v>
      </c>
      <c r="C625" s="9">
        <v>1916</v>
      </c>
      <c r="D625" s="10">
        <v>45646</v>
      </c>
      <c r="E625" s="13" t="str">
        <f>+HYPERLINK("http://trademark.i-assist.jp/data/china/image_1916th/80985225.pdf","80985225")</f>
        <v>80985225</v>
      </c>
      <c r="F625" s="9" t="s">
        <v>1764</v>
      </c>
      <c r="G625" s="9" t="s">
        <v>1765</v>
      </c>
      <c r="H625" s="9" t="s">
        <v>1766</v>
      </c>
      <c r="I625" s="10">
        <v>45554</v>
      </c>
    </row>
    <row r="626" spans="1:9" x14ac:dyDescent="0.15">
      <c r="A626" s="9">
        <v>625</v>
      </c>
      <c r="B626" s="9" t="s">
        <v>9</v>
      </c>
      <c r="C626" s="9">
        <v>1916</v>
      </c>
      <c r="D626" s="10">
        <v>45646</v>
      </c>
      <c r="E626" s="13" t="str">
        <f>+HYPERLINK("http://trademark.i-assist.jp/data/china/image_1916th/80986066.pdf","80986066")</f>
        <v>80986066</v>
      </c>
      <c r="F626" s="9" t="s">
        <v>1767</v>
      </c>
      <c r="G626" s="9" t="s">
        <v>1768</v>
      </c>
      <c r="H626" s="9" t="s">
        <v>1769</v>
      </c>
      <c r="I626" s="10">
        <v>45554</v>
      </c>
    </row>
    <row r="627" spans="1:9" x14ac:dyDescent="0.15">
      <c r="A627" s="9">
        <v>626</v>
      </c>
      <c r="B627" s="9" t="s">
        <v>9</v>
      </c>
      <c r="C627" s="9">
        <v>1916</v>
      </c>
      <c r="D627" s="10">
        <v>45646</v>
      </c>
      <c r="E627" s="13" t="str">
        <f>+HYPERLINK("http://trademark.i-assist.jp/data/china/image_1916th/80986084.pdf","80986084")</f>
        <v>80986084</v>
      </c>
      <c r="F627" s="12" t="s">
        <v>1770</v>
      </c>
      <c r="G627" s="9" t="s">
        <v>1771</v>
      </c>
      <c r="H627" s="9" t="s">
        <v>1772</v>
      </c>
      <c r="I627" s="10">
        <v>45554</v>
      </c>
    </row>
    <row r="628" spans="1:9" x14ac:dyDescent="0.15">
      <c r="A628" s="9">
        <v>627</v>
      </c>
      <c r="B628" s="9" t="s">
        <v>9</v>
      </c>
      <c r="C628" s="9">
        <v>1916</v>
      </c>
      <c r="D628" s="10">
        <v>45646</v>
      </c>
      <c r="E628" s="13" t="str">
        <f>+HYPERLINK("http://trademark.i-assist.jp/data/china/image_1916th/80986399.pdf","80986399")</f>
        <v>80986399</v>
      </c>
      <c r="F628" s="9" t="s">
        <v>1773</v>
      </c>
      <c r="G628" s="9" t="s">
        <v>1774</v>
      </c>
      <c r="H628" s="9" t="s">
        <v>1775</v>
      </c>
      <c r="I628" s="10">
        <v>45554</v>
      </c>
    </row>
    <row r="629" spans="1:9" x14ac:dyDescent="0.15">
      <c r="A629" s="9">
        <v>628</v>
      </c>
      <c r="B629" s="9" t="s">
        <v>9</v>
      </c>
      <c r="C629" s="9">
        <v>1916</v>
      </c>
      <c r="D629" s="10">
        <v>45646</v>
      </c>
      <c r="E629" s="13" t="str">
        <f>+HYPERLINK("http://trademark.i-assist.jp/data/china/image_1916th/80986516.pdf","80986516")</f>
        <v>80986516</v>
      </c>
      <c r="F629" s="12" t="s">
        <v>1776</v>
      </c>
      <c r="G629" s="9" t="s">
        <v>1777</v>
      </c>
      <c r="H629" s="9" t="s">
        <v>1778</v>
      </c>
      <c r="I629" s="10">
        <v>45554</v>
      </c>
    </row>
    <row r="630" spans="1:9" x14ac:dyDescent="0.15">
      <c r="A630" s="9">
        <v>629</v>
      </c>
      <c r="B630" s="9" t="s">
        <v>9</v>
      </c>
      <c r="C630" s="9">
        <v>1916</v>
      </c>
      <c r="D630" s="10">
        <v>45646</v>
      </c>
      <c r="E630" s="13" t="str">
        <f>+HYPERLINK("http://trademark.i-assist.jp/data/china/image_1916th/80986874.pdf","80986874")</f>
        <v>80986874</v>
      </c>
      <c r="F630" s="9" t="s">
        <v>1779</v>
      </c>
      <c r="G630" s="9" t="s">
        <v>1780</v>
      </c>
      <c r="H630" s="9" t="s">
        <v>1781</v>
      </c>
      <c r="I630" s="10">
        <v>45554</v>
      </c>
    </row>
    <row r="631" spans="1:9" x14ac:dyDescent="0.15">
      <c r="A631" s="9">
        <v>630</v>
      </c>
      <c r="B631" s="9" t="s">
        <v>9</v>
      </c>
      <c r="C631" s="9">
        <v>1916</v>
      </c>
      <c r="D631" s="10">
        <v>45646</v>
      </c>
      <c r="E631" s="13" t="str">
        <f>+HYPERLINK("http://trademark.i-assist.jp/data/china/image_1916th/80987247.pdf","80987247")</f>
        <v>80987247</v>
      </c>
      <c r="F631" s="12" t="s">
        <v>1782</v>
      </c>
      <c r="G631" s="9" t="s">
        <v>1783</v>
      </c>
      <c r="H631" s="9" t="s">
        <v>1784</v>
      </c>
      <c r="I631" s="10">
        <v>45554</v>
      </c>
    </row>
    <row r="632" spans="1:9" x14ac:dyDescent="0.15">
      <c r="A632" s="9">
        <v>631</v>
      </c>
      <c r="B632" s="9" t="s">
        <v>9</v>
      </c>
      <c r="C632" s="9">
        <v>1916</v>
      </c>
      <c r="D632" s="10">
        <v>45646</v>
      </c>
      <c r="E632" s="13" t="str">
        <f>+HYPERLINK("http://trademark.i-assist.jp/data/china/image_1916th/80987260.pdf","80987260")</f>
        <v>80987260</v>
      </c>
      <c r="F632" s="9" t="s">
        <v>1785</v>
      </c>
      <c r="G632" s="9" t="s">
        <v>1786</v>
      </c>
      <c r="H632" s="12" t="s">
        <v>1787</v>
      </c>
      <c r="I632" s="10">
        <v>45554</v>
      </c>
    </row>
    <row r="633" spans="1:9" x14ac:dyDescent="0.15">
      <c r="A633" s="9">
        <v>632</v>
      </c>
      <c r="B633" s="9" t="s">
        <v>9</v>
      </c>
      <c r="C633" s="9">
        <v>1916</v>
      </c>
      <c r="D633" s="10">
        <v>45646</v>
      </c>
      <c r="E633" s="13" t="str">
        <f>+HYPERLINK("http://trademark.i-assist.jp/data/china/image_1916th/80987300.pdf","80987300")</f>
        <v>80987300</v>
      </c>
      <c r="F633" s="12" t="s">
        <v>1788</v>
      </c>
      <c r="G633" s="12" t="s">
        <v>1789</v>
      </c>
      <c r="H633" s="9" t="s">
        <v>1790</v>
      </c>
      <c r="I633" s="10">
        <v>45554</v>
      </c>
    </row>
    <row r="634" spans="1:9" x14ac:dyDescent="0.15">
      <c r="A634" s="9">
        <v>633</v>
      </c>
      <c r="B634" s="9" t="s">
        <v>9</v>
      </c>
      <c r="C634" s="9">
        <v>1916</v>
      </c>
      <c r="D634" s="10">
        <v>45646</v>
      </c>
      <c r="E634" s="13" t="str">
        <f>+HYPERLINK("http://trademark.i-assist.jp/data/china/image_1916th/80987528.pdf","80987528")</f>
        <v>80987528</v>
      </c>
      <c r="F634" s="9" t="s">
        <v>1791</v>
      </c>
      <c r="G634" s="9" t="s">
        <v>1792</v>
      </c>
      <c r="H634" s="9" t="s">
        <v>1793</v>
      </c>
      <c r="I634" s="10">
        <v>45554</v>
      </c>
    </row>
    <row r="635" spans="1:9" x14ac:dyDescent="0.15">
      <c r="A635" s="9">
        <v>634</v>
      </c>
      <c r="B635" s="9" t="s">
        <v>9</v>
      </c>
      <c r="C635" s="9">
        <v>1916</v>
      </c>
      <c r="D635" s="10">
        <v>45646</v>
      </c>
      <c r="E635" s="13" t="str">
        <f>+HYPERLINK("http://trademark.i-assist.jp/data/china/image_1916th/80987530.pdf","80987530")</f>
        <v>80987530</v>
      </c>
      <c r="F635" s="9" t="s">
        <v>1794</v>
      </c>
      <c r="G635" s="9" t="s">
        <v>1795</v>
      </c>
      <c r="H635" s="9" t="s">
        <v>1796</v>
      </c>
      <c r="I635" s="10">
        <v>45554</v>
      </c>
    </row>
    <row r="636" spans="1:9" x14ac:dyDescent="0.15">
      <c r="A636" s="9">
        <v>635</v>
      </c>
      <c r="B636" s="9" t="s">
        <v>9</v>
      </c>
      <c r="C636" s="9">
        <v>1916</v>
      </c>
      <c r="D636" s="10">
        <v>45646</v>
      </c>
      <c r="E636" s="13" t="str">
        <f>+HYPERLINK("http://trademark.i-assist.jp/data/china/image_1916th/80987977.pdf","80987977")</f>
        <v>80987977</v>
      </c>
      <c r="F636" s="9" t="s">
        <v>1797</v>
      </c>
      <c r="G636" s="12" t="s">
        <v>1798</v>
      </c>
      <c r="H636" s="9" t="s">
        <v>1799</v>
      </c>
      <c r="I636" s="10">
        <v>45554</v>
      </c>
    </row>
    <row r="637" spans="1:9" x14ac:dyDescent="0.15">
      <c r="A637" s="9">
        <v>636</v>
      </c>
      <c r="B637" s="9" t="s">
        <v>9</v>
      </c>
      <c r="C637" s="9">
        <v>1916</v>
      </c>
      <c r="D637" s="10">
        <v>45646</v>
      </c>
      <c r="E637" s="13" t="str">
        <f>+HYPERLINK("http://trademark.i-assist.jp/data/china/image_1916th/80988162.pdf","80988162")</f>
        <v>80988162</v>
      </c>
      <c r="F637" s="9" t="s">
        <v>1800</v>
      </c>
      <c r="G637" s="9" t="s">
        <v>1801</v>
      </c>
      <c r="H637" s="9" t="s">
        <v>1802</v>
      </c>
      <c r="I637" s="10">
        <v>45554</v>
      </c>
    </row>
    <row r="638" spans="1:9" x14ac:dyDescent="0.15">
      <c r="A638" s="9">
        <v>637</v>
      </c>
      <c r="B638" s="9" t="s">
        <v>9</v>
      </c>
      <c r="C638" s="9">
        <v>1916</v>
      </c>
      <c r="D638" s="10">
        <v>45646</v>
      </c>
      <c r="E638" s="13" t="str">
        <f>+HYPERLINK("http://trademark.i-assist.jp/data/china/image_1916th/80989079.pdf","80989079")</f>
        <v>80989079</v>
      </c>
      <c r="F638" s="9" t="s">
        <v>1803</v>
      </c>
      <c r="G638" s="12" t="s">
        <v>1804</v>
      </c>
      <c r="H638" s="9" t="s">
        <v>1805</v>
      </c>
      <c r="I638" s="10">
        <v>45554</v>
      </c>
    </row>
    <row r="639" spans="1:9" x14ac:dyDescent="0.15">
      <c r="A639" s="9">
        <v>638</v>
      </c>
      <c r="B639" s="9" t="s">
        <v>9</v>
      </c>
      <c r="C639" s="9">
        <v>1916</v>
      </c>
      <c r="D639" s="10">
        <v>45646</v>
      </c>
      <c r="E639" s="13" t="str">
        <f>+HYPERLINK("http://trademark.i-assist.jp/data/china/image_1916th/80989318.pdf","80989318")</f>
        <v>80989318</v>
      </c>
      <c r="F639" s="9" t="s">
        <v>1806</v>
      </c>
      <c r="G639" s="9" t="s">
        <v>1807</v>
      </c>
      <c r="H639" s="9" t="s">
        <v>1808</v>
      </c>
      <c r="I639" s="10">
        <v>45554</v>
      </c>
    </row>
    <row r="640" spans="1:9" x14ac:dyDescent="0.15">
      <c r="A640" s="9">
        <v>639</v>
      </c>
      <c r="B640" s="9" t="s">
        <v>9</v>
      </c>
      <c r="C640" s="9">
        <v>1916</v>
      </c>
      <c r="D640" s="10">
        <v>45646</v>
      </c>
      <c r="E640" s="13" t="str">
        <f>+HYPERLINK("http://trademark.i-assist.jp/data/china/image_1916th/80989424.pdf","80989424")</f>
        <v>80989424</v>
      </c>
      <c r="F640" s="9" t="s">
        <v>1809</v>
      </c>
      <c r="G640" s="9" t="s">
        <v>1810</v>
      </c>
      <c r="H640" s="9" t="s">
        <v>1811</v>
      </c>
      <c r="I640" s="10">
        <v>45554</v>
      </c>
    </row>
    <row r="641" spans="1:9" x14ac:dyDescent="0.15">
      <c r="A641" s="9">
        <v>640</v>
      </c>
      <c r="B641" s="9" t="s">
        <v>9</v>
      </c>
      <c r="C641" s="9">
        <v>1916</v>
      </c>
      <c r="D641" s="10">
        <v>45646</v>
      </c>
      <c r="E641" s="13" t="str">
        <f>+HYPERLINK("http://trademark.i-assist.jp/data/china/image_1916th/80990296.pdf","80990296")</f>
        <v>80990296</v>
      </c>
      <c r="F641" s="9" t="s">
        <v>1812</v>
      </c>
      <c r="G641" s="9" t="s">
        <v>1780</v>
      </c>
      <c r="H641" s="9" t="s">
        <v>1813</v>
      </c>
      <c r="I641" s="10">
        <v>45554</v>
      </c>
    </row>
    <row r="642" spans="1:9" x14ac:dyDescent="0.15">
      <c r="A642" s="9">
        <v>641</v>
      </c>
      <c r="B642" s="9" t="s">
        <v>9</v>
      </c>
      <c r="C642" s="9">
        <v>1916</v>
      </c>
      <c r="D642" s="10">
        <v>45646</v>
      </c>
      <c r="E642" s="13" t="str">
        <f>+HYPERLINK("http://trademark.i-assist.jp/data/china/image_1916th/80990635.pdf","80990635")</f>
        <v>80990635</v>
      </c>
      <c r="F642" s="9" t="s">
        <v>1814</v>
      </c>
      <c r="G642" s="12" t="s">
        <v>1736</v>
      </c>
      <c r="H642" s="9" t="s">
        <v>1815</v>
      </c>
      <c r="I642" s="10">
        <v>45554</v>
      </c>
    </row>
    <row r="643" spans="1:9" x14ac:dyDescent="0.15">
      <c r="A643" s="9">
        <v>642</v>
      </c>
      <c r="B643" s="9" t="s">
        <v>9</v>
      </c>
      <c r="C643" s="9">
        <v>1916</v>
      </c>
      <c r="D643" s="10">
        <v>45646</v>
      </c>
      <c r="E643" s="13" t="str">
        <f>+HYPERLINK("http://trademark.i-assist.jp/data/china/image_1916th/80991263.pdf","80991263")</f>
        <v>80991263</v>
      </c>
      <c r="F643" s="9" t="s">
        <v>1816</v>
      </c>
      <c r="G643" s="9" t="s">
        <v>1817</v>
      </c>
      <c r="H643" s="12" t="s">
        <v>1818</v>
      </c>
      <c r="I643" s="10">
        <v>45554</v>
      </c>
    </row>
    <row r="644" spans="1:9" x14ac:dyDescent="0.15">
      <c r="A644" s="9">
        <v>643</v>
      </c>
      <c r="B644" s="9" t="s">
        <v>9</v>
      </c>
      <c r="C644" s="9">
        <v>1916</v>
      </c>
      <c r="D644" s="10">
        <v>45646</v>
      </c>
      <c r="E644" s="13" t="str">
        <f>+HYPERLINK("http://trademark.i-assist.jp/data/china/image_1916th/80991560.pdf","80991560")</f>
        <v>80991560</v>
      </c>
      <c r="F644" s="12" t="s">
        <v>1819</v>
      </c>
      <c r="G644" s="12" t="s">
        <v>1820</v>
      </c>
      <c r="H644" s="9" t="s">
        <v>1821</v>
      </c>
      <c r="I644" s="10">
        <v>45554</v>
      </c>
    </row>
    <row r="645" spans="1:9" x14ac:dyDescent="0.15">
      <c r="A645" s="9">
        <v>644</v>
      </c>
      <c r="B645" s="9" t="s">
        <v>9</v>
      </c>
      <c r="C645" s="9">
        <v>1916</v>
      </c>
      <c r="D645" s="10">
        <v>45646</v>
      </c>
      <c r="E645" s="13" t="str">
        <f>+HYPERLINK("http://trademark.i-assist.jp/data/china/image_1916th/80991712.pdf","80991712")</f>
        <v>80991712</v>
      </c>
      <c r="F645" s="9" t="s">
        <v>1822</v>
      </c>
      <c r="G645" s="12" t="s">
        <v>1823</v>
      </c>
      <c r="H645" s="9" t="s">
        <v>1824</v>
      </c>
      <c r="I645" s="10">
        <v>45554</v>
      </c>
    </row>
    <row r="646" spans="1:9" x14ac:dyDescent="0.15">
      <c r="A646" s="9">
        <v>645</v>
      </c>
      <c r="B646" s="9" t="s">
        <v>9</v>
      </c>
      <c r="C646" s="9">
        <v>1916</v>
      </c>
      <c r="D646" s="10">
        <v>45646</v>
      </c>
      <c r="E646" s="13" t="str">
        <f>+HYPERLINK("http://trademark.i-assist.jp/data/china/image_1916th/80992354.pdf","80992354")</f>
        <v>80992354</v>
      </c>
      <c r="F646" s="12" t="s">
        <v>1825</v>
      </c>
      <c r="G646" s="9" t="s">
        <v>1826</v>
      </c>
      <c r="H646" s="9" t="s">
        <v>1827</v>
      </c>
      <c r="I646" s="10">
        <v>45554</v>
      </c>
    </row>
    <row r="647" spans="1:9" x14ac:dyDescent="0.15">
      <c r="A647" s="9">
        <v>646</v>
      </c>
      <c r="B647" s="9" t="s">
        <v>9</v>
      </c>
      <c r="C647" s="9">
        <v>1916</v>
      </c>
      <c r="D647" s="10">
        <v>45646</v>
      </c>
      <c r="E647" s="13" t="str">
        <f>+HYPERLINK("http://trademark.i-assist.jp/data/china/image_1916th/80992628.pdf","80992628")</f>
        <v>80992628</v>
      </c>
      <c r="F647" s="9" t="s">
        <v>1828</v>
      </c>
      <c r="G647" s="9" t="s">
        <v>1829</v>
      </c>
      <c r="H647" s="9" t="s">
        <v>1830</v>
      </c>
      <c r="I647" s="10">
        <v>45554</v>
      </c>
    </row>
    <row r="648" spans="1:9" x14ac:dyDescent="0.15">
      <c r="A648" s="9">
        <v>647</v>
      </c>
      <c r="B648" s="9" t="s">
        <v>9</v>
      </c>
      <c r="C648" s="9">
        <v>1916</v>
      </c>
      <c r="D648" s="10">
        <v>45646</v>
      </c>
      <c r="E648" s="13" t="str">
        <f>+HYPERLINK("http://trademark.i-assist.jp/data/china/image_1916th/80992811.pdf","80992811")</f>
        <v>80992811</v>
      </c>
      <c r="F648" s="9" t="s">
        <v>1831</v>
      </c>
      <c r="G648" s="12" t="s">
        <v>1832</v>
      </c>
      <c r="H648" s="9" t="s">
        <v>1833</v>
      </c>
      <c r="I648" s="10">
        <v>45554</v>
      </c>
    </row>
    <row r="649" spans="1:9" x14ac:dyDescent="0.15">
      <c r="A649" s="9">
        <v>648</v>
      </c>
      <c r="B649" s="9" t="s">
        <v>9</v>
      </c>
      <c r="C649" s="9">
        <v>1916</v>
      </c>
      <c r="D649" s="10">
        <v>45646</v>
      </c>
      <c r="E649" s="13" t="str">
        <f>+HYPERLINK("http://trademark.i-assist.jp/data/china/image_1916th/80992940.pdf","80992940")</f>
        <v>80992940</v>
      </c>
      <c r="F649" s="9" t="s">
        <v>1834</v>
      </c>
      <c r="G649" s="9" t="s">
        <v>1835</v>
      </c>
      <c r="H649" s="9" t="s">
        <v>1836</v>
      </c>
      <c r="I649" s="10">
        <v>45554</v>
      </c>
    </row>
    <row r="650" spans="1:9" x14ac:dyDescent="0.15">
      <c r="A650" s="9">
        <v>649</v>
      </c>
      <c r="B650" s="9" t="s">
        <v>9</v>
      </c>
      <c r="C650" s="9">
        <v>1916</v>
      </c>
      <c r="D650" s="10">
        <v>45646</v>
      </c>
      <c r="E650" s="13" t="str">
        <f>+HYPERLINK("http://trademark.i-assist.jp/data/china/image_1916th/80992991.pdf","80992991")</f>
        <v>80992991</v>
      </c>
      <c r="F650" s="9" t="s">
        <v>1837</v>
      </c>
      <c r="G650" s="12" t="s">
        <v>1838</v>
      </c>
      <c r="H650" s="9" t="s">
        <v>1839</v>
      </c>
      <c r="I650" s="10">
        <v>45554</v>
      </c>
    </row>
    <row r="651" spans="1:9" x14ac:dyDescent="0.15">
      <c r="A651" s="9">
        <v>650</v>
      </c>
      <c r="B651" s="9" t="s">
        <v>9</v>
      </c>
      <c r="C651" s="9">
        <v>1916</v>
      </c>
      <c r="D651" s="10">
        <v>45646</v>
      </c>
      <c r="E651" s="13" t="str">
        <f>+HYPERLINK("http://trademark.i-assist.jp/data/china/image_1916th/80993185.pdf","80993185")</f>
        <v>80993185</v>
      </c>
      <c r="F651" s="9" t="s">
        <v>1840</v>
      </c>
      <c r="G651" s="9" t="s">
        <v>1841</v>
      </c>
      <c r="H651" s="9" t="s">
        <v>1842</v>
      </c>
      <c r="I651" s="10">
        <v>45554</v>
      </c>
    </row>
    <row r="652" spans="1:9" x14ac:dyDescent="0.15">
      <c r="A652" s="9">
        <v>651</v>
      </c>
      <c r="B652" s="9" t="s">
        <v>9</v>
      </c>
      <c r="C652" s="9">
        <v>1916</v>
      </c>
      <c r="D652" s="10">
        <v>45646</v>
      </c>
      <c r="E652" s="13" t="str">
        <f>+HYPERLINK("http://trademark.i-assist.jp/data/china/image_1916th/80993228.pdf","80993228")</f>
        <v>80993228</v>
      </c>
      <c r="F652" s="9" t="s">
        <v>1843</v>
      </c>
      <c r="G652" s="9" t="s">
        <v>1844</v>
      </c>
      <c r="H652" s="9" t="s">
        <v>1845</v>
      </c>
      <c r="I652" s="10">
        <v>45554</v>
      </c>
    </row>
    <row r="653" spans="1:9" x14ac:dyDescent="0.15">
      <c r="A653" s="9">
        <v>652</v>
      </c>
      <c r="B653" s="9" t="s">
        <v>9</v>
      </c>
      <c r="C653" s="9">
        <v>1916</v>
      </c>
      <c r="D653" s="10">
        <v>45646</v>
      </c>
      <c r="E653" s="13" t="str">
        <f>+HYPERLINK("http://trademark.i-assist.jp/data/china/image_1916th/80993236.pdf","80993236")</f>
        <v>80993236</v>
      </c>
      <c r="F653" s="9" t="s">
        <v>1846</v>
      </c>
      <c r="G653" s="9" t="s">
        <v>1844</v>
      </c>
      <c r="H653" s="9" t="s">
        <v>1847</v>
      </c>
      <c r="I653" s="10">
        <v>45554</v>
      </c>
    </row>
    <row r="654" spans="1:9" x14ac:dyDescent="0.15">
      <c r="A654" s="9">
        <v>653</v>
      </c>
      <c r="B654" s="9" t="s">
        <v>9</v>
      </c>
      <c r="C654" s="9">
        <v>1916</v>
      </c>
      <c r="D654" s="10">
        <v>45646</v>
      </c>
      <c r="E654" s="13" t="str">
        <f>+HYPERLINK("http://trademark.i-assist.jp/data/china/image_1916th/80993596.pdf","80993596")</f>
        <v>80993596</v>
      </c>
      <c r="F654" s="9" t="s">
        <v>1848</v>
      </c>
      <c r="G654" s="9" t="s">
        <v>1849</v>
      </c>
      <c r="H654" s="9" t="s">
        <v>1850</v>
      </c>
      <c r="I654" s="10">
        <v>45554</v>
      </c>
    </row>
    <row r="655" spans="1:9" x14ac:dyDescent="0.15">
      <c r="A655" s="9">
        <v>654</v>
      </c>
      <c r="B655" s="9" t="s">
        <v>9</v>
      </c>
      <c r="C655" s="9">
        <v>1916</v>
      </c>
      <c r="D655" s="10">
        <v>45646</v>
      </c>
      <c r="E655" s="13" t="str">
        <f>+HYPERLINK("http://trademark.i-assist.jp/data/china/image_1916th/80994590.pdf","80994590")</f>
        <v>80994590</v>
      </c>
      <c r="F655" s="12" t="s">
        <v>1851</v>
      </c>
      <c r="G655" s="9" t="s">
        <v>1852</v>
      </c>
      <c r="H655" s="9" t="s">
        <v>1853</v>
      </c>
      <c r="I655" s="10">
        <v>45554</v>
      </c>
    </row>
    <row r="656" spans="1:9" x14ac:dyDescent="0.15">
      <c r="A656" s="9">
        <v>655</v>
      </c>
      <c r="B656" s="9" t="s">
        <v>9</v>
      </c>
      <c r="C656" s="9">
        <v>1916</v>
      </c>
      <c r="D656" s="10">
        <v>45646</v>
      </c>
      <c r="E656" s="13" t="str">
        <f>+HYPERLINK("http://trademark.i-assist.jp/data/china/image_1916th/80994857.pdf","80994857")</f>
        <v>80994857</v>
      </c>
      <c r="F656" s="12" t="s">
        <v>13</v>
      </c>
      <c r="G656" s="12" t="s">
        <v>1854</v>
      </c>
      <c r="H656" s="12" t="s">
        <v>1855</v>
      </c>
      <c r="I656" s="10">
        <v>45554</v>
      </c>
    </row>
    <row r="657" spans="1:9" x14ac:dyDescent="0.15">
      <c r="A657" s="9">
        <v>656</v>
      </c>
      <c r="B657" s="9" t="s">
        <v>9</v>
      </c>
      <c r="C657" s="9">
        <v>1916</v>
      </c>
      <c r="D657" s="10">
        <v>45646</v>
      </c>
      <c r="E657" s="13" t="str">
        <f>+HYPERLINK("http://trademark.i-assist.jp/data/china/image_1916th/80995019.pdf","80995019")</f>
        <v>80995019</v>
      </c>
      <c r="F657" s="9" t="s">
        <v>1856</v>
      </c>
      <c r="G657" s="9" t="s">
        <v>1857</v>
      </c>
      <c r="H657" s="9" t="s">
        <v>1858</v>
      </c>
      <c r="I657" s="10">
        <v>45554</v>
      </c>
    </row>
    <row r="658" spans="1:9" x14ac:dyDescent="0.15">
      <c r="A658" s="9">
        <v>657</v>
      </c>
      <c r="B658" s="9" t="s">
        <v>9</v>
      </c>
      <c r="C658" s="9">
        <v>1916</v>
      </c>
      <c r="D658" s="10">
        <v>45646</v>
      </c>
      <c r="E658" s="13" t="str">
        <f>+HYPERLINK("http://trademark.i-assist.jp/data/china/image_1916th/80995871.pdf","80995871")</f>
        <v>80995871</v>
      </c>
      <c r="F658" s="9" t="s">
        <v>1859</v>
      </c>
      <c r="G658" s="9" t="s">
        <v>1860</v>
      </c>
      <c r="H658" s="9" t="s">
        <v>1861</v>
      </c>
      <c r="I658" s="10">
        <v>45554</v>
      </c>
    </row>
    <row r="659" spans="1:9" x14ac:dyDescent="0.15">
      <c r="A659" s="9">
        <v>658</v>
      </c>
      <c r="B659" s="9" t="s">
        <v>9</v>
      </c>
      <c r="C659" s="9">
        <v>1916</v>
      </c>
      <c r="D659" s="10">
        <v>45646</v>
      </c>
      <c r="E659" s="13" t="str">
        <f>+HYPERLINK("http://trademark.i-assist.jp/data/china/image_1916th/80995981.pdf","80995981")</f>
        <v>80995981</v>
      </c>
      <c r="F659" s="9" t="s">
        <v>1862</v>
      </c>
      <c r="G659" s="9" t="s">
        <v>1835</v>
      </c>
      <c r="H659" s="9" t="s">
        <v>1863</v>
      </c>
      <c r="I659" s="10">
        <v>45554</v>
      </c>
    </row>
    <row r="660" spans="1:9" x14ac:dyDescent="0.15">
      <c r="A660" s="9">
        <v>659</v>
      </c>
      <c r="B660" s="9" t="s">
        <v>9</v>
      </c>
      <c r="C660" s="9">
        <v>1916</v>
      </c>
      <c r="D660" s="10">
        <v>45646</v>
      </c>
      <c r="E660" s="13" t="str">
        <f>+HYPERLINK("http://trademark.i-assist.jp/data/china/image_1916th/80996627.pdf","80996627")</f>
        <v>80996627</v>
      </c>
      <c r="F660" s="12" t="s">
        <v>1864</v>
      </c>
      <c r="G660" s="9" t="s">
        <v>55</v>
      </c>
      <c r="H660" s="9" t="s">
        <v>1865</v>
      </c>
      <c r="I660" s="10">
        <v>45554</v>
      </c>
    </row>
    <row r="661" spans="1:9" x14ac:dyDescent="0.15">
      <c r="A661" s="9">
        <v>660</v>
      </c>
      <c r="B661" s="9" t="s">
        <v>9</v>
      </c>
      <c r="C661" s="9">
        <v>1916</v>
      </c>
      <c r="D661" s="10">
        <v>45646</v>
      </c>
      <c r="E661" s="13" t="str">
        <f>+HYPERLINK("http://trademark.i-assist.jp/data/china/image_1916th/80997713.pdf","80997713")</f>
        <v>80997713</v>
      </c>
      <c r="F661" s="9" t="s">
        <v>1866</v>
      </c>
      <c r="G661" s="12" t="s">
        <v>1867</v>
      </c>
      <c r="H661" s="9" t="s">
        <v>1868</v>
      </c>
      <c r="I661" s="10">
        <v>45554</v>
      </c>
    </row>
    <row r="662" spans="1:9" x14ac:dyDescent="0.15">
      <c r="A662" s="9">
        <v>661</v>
      </c>
      <c r="B662" s="9" t="s">
        <v>9</v>
      </c>
      <c r="C662" s="9">
        <v>1916</v>
      </c>
      <c r="D662" s="10">
        <v>45646</v>
      </c>
      <c r="E662" s="13" t="str">
        <f>+HYPERLINK("http://trademark.i-assist.jp/data/china/image_1916th/80998014.pdf","80998014")</f>
        <v>80998014</v>
      </c>
      <c r="F662" s="9" t="s">
        <v>1869</v>
      </c>
      <c r="G662" s="12" t="s">
        <v>1736</v>
      </c>
      <c r="H662" s="9" t="s">
        <v>1870</v>
      </c>
      <c r="I662" s="10">
        <v>45554</v>
      </c>
    </row>
    <row r="663" spans="1:9" x14ac:dyDescent="0.15">
      <c r="A663" s="9">
        <v>662</v>
      </c>
      <c r="B663" s="9" t="s">
        <v>9</v>
      </c>
      <c r="C663" s="9">
        <v>1916</v>
      </c>
      <c r="D663" s="10">
        <v>45646</v>
      </c>
      <c r="E663" s="13" t="str">
        <f>+HYPERLINK("http://trademark.i-assist.jp/data/china/image_1916th/80998047.pdf","80998047")</f>
        <v>80998047</v>
      </c>
      <c r="F663" s="9" t="s">
        <v>1871</v>
      </c>
      <c r="G663" s="12" t="s">
        <v>1872</v>
      </c>
      <c r="H663" s="9" t="s">
        <v>1873</v>
      </c>
      <c r="I663" s="10">
        <v>45554</v>
      </c>
    </row>
    <row r="664" spans="1:9" x14ac:dyDescent="0.15">
      <c r="A664" s="9">
        <v>663</v>
      </c>
      <c r="B664" s="9" t="s">
        <v>9</v>
      </c>
      <c r="C664" s="9">
        <v>1916</v>
      </c>
      <c r="D664" s="10">
        <v>45646</v>
      </c>
      <c r="E664" s="13" t="str">
        <f>+HYPERLINK("http://trademark.i-assist.jp/data/china/image_1916th/80998125.pdf","80998125")</f>
        <v>80998125</v>
      </c>
      <c r="F664" s="9" t="s">
        <v>1874</v>
      </c>
      <c r="G664" s="12" t="s">
        <v>1875</v>
      </c>
      <c r="H664" s="9" t="s">
        <v>1876</v>
      </c>
      <c r="I664" s="10">
        <v>45554</v>
      </c>
    </row>
    <row r="665" spans="1:9" x14ac:dyDescent="0.15">
      <c r="A665" s="9">
        <v>664</v>
      </c>
      <c r="B665" s="9" t="s">
        <v>9</v>
      </c>
      <c r="C665" s="9">
        <v>1916</v>
      </c>
      <c r="D665" s="10">
        <v>45646</v>
      </c>
      <c r="E665" s="13" t="str">
        <f>+HYPERLINK("http://trademark.i-assist.jp/data/china/image_1916th/80998591.pdf","80998591")</f>
        <v>80998591</v>
      </c>
      <c r="F665" s="12" t="s">
        <v>1877</v>
      </c>
      <c r="G665" s="9" t="s">
        <v>1878</v>
      </c>
      <c r="H665" s="9" t="s">
        <v>1879</v>
      </c>
      <c r="I665" s="10">
        <v>45554</v>
      </c>
    </row>
    <row r="666" spans="1:9" x14ac:dyDescent="0.15">
      <c r="A666" s="9">
        <v>665</v>
      </c>
      <c r="B666" s="9" t="s">
        <v>9</v>
      </c>
      <c r="C666" s="9">
        <v>1916</v>
      </c>
      <c r="D666" s="10">
        <v>45646</v>
      </c>
      <c r="E666" s="13" t="str">
        <f>+HYPERLINK("http://trademark.i-assist.jp/data/china/image_1916th/80998822.pdf","80998822")</f>
        <v>80998822</v>
      </c>
      <c r="F666" s="9" t="s">
        <v>1880</v>
      </c>
      <c r="G666" s="9" t="s">
        <v>1881</v>
      </c>
      <c r="H666" s="9" t="s">
        <v>1882</v>
      </c>
      <c r="I666" s="10">
        <v>45554</v>
      </c>
    </row>
    <row r="667" spans="1:9" x14ac:dyDescent="0.15">
      <c r="A667" s="9">
        <v>666</v>
      </c>
      <c r="B667" s="9" t="s">
        <v>9</v>
      </c>
      <c r="C667" s="9">
        <v>1916</v>
      </c>
      <c r="D667" s="10">
        <v>45646</v>
      </c>
      <c r="E667" s="13" t="str">
        <f>+HYPERLINK("http://trademark.i-assist.jp/data/china/image_1916th/80999008.pdf","80999008")</f>
        <v>80999008</v>
      </c>
      <c r="F667" s="9" t="s">
        <v>1883</v>
      </c>
      <c r="G667" s="12" t="s">
        <v>1884</v>
      </c>
      <c r="H667" s="9" t="s">
        <v>1885</v>
      </c>
      <c r="I667" s="10">
        <v>45554</v>
      </c>
    </row>
    <row r="668" spans="1:9" x14ac:dyDescent="0.15">
      <c r="A668" s="9">
        <v>667</v>
      </c>
      <c r="B668" s="9" t="s">
        <v>9</v>
      </c>
      <c r="C668" s="9">
        <v>1916</v>
      </c>
      <c r="D668" s="10">
        <v>45646</v>
      </c>
      <c r="E668" s="13" t="str">
        <f>+HYPERLINK("http://trademark.i-assist.jp/data/china/image_1916th/80999013.pdf","80999013")</f>
        <v>80999013</v>
      </c>
      <c r="F668" s="9" t="s">
        <v>1886</v>
      </c>
      <c r="G668" s="9" t="s">
        <v>1887</v>
      </c>
      <c r="H668" s="12" t="s">
        <v>1888</v>
      </c>
      <c r="I668" s="10">
        <v>45554</v>
      </c>
    </row>
    <row r="669" spans="1:9" x14ac:dyDescent="0.15">
      <c r="A669" s="9">
        <v>668</v>
      </c>
      <c r="B669" s="9" t="s">
        <v>9</v>
      </c>
      <c r="C669" s="9">
        <v>1916</v>
      </c>
      <c r="D669" s="10">
        <v>45646</v>
      </c>
      <c r="E669" s="13" t="str">
        <f>+HYPERLINK("http://trademark.i-assist.jp/data/china/image_1916th/80999384.pdf","80999384")</f>
        <v>80999384</v>
      </c>
      <c r="F669" s="9" t="s">
        <v>1889</v>
      </c>
      <c r="G669" s="12" t="s">
        <v>1890</v>
      </c>
      <c r="H669" s="9" t="s">
        <v>1891</v>
      </c>
      <c r="I669" s="10">
        <v>45554</v>
      </c>
    </row>
    <row r="670" spans="1:9" x14ac:dyDescent="0.15">
      <c r="A670" s="9">
        <v>669</v>
      </c>
      <c r="B670" s="9" t="s">
        <v>9</v>
      </c>
      <c r="C670" s="9">
        <v>1916</v>
      </c>
      <c r="D670" s="10">
        <v>45646</v>
      </c>
      <c r="E670" s="13" t="str">
        <f>+HYPERLINK("http://trademark.i-assist.jp/data/china/image_1916th/80999584.pdf","80999584")</f>
        <v>80999584</v>
      </c>
      <c r="F670" s="9" t="s">
        <v>1892</v>
      </c>
      <c r="G670" s="9" t="s">
        <v>1893</v>
      </c>
      <c r="H670" s="9" t="s">
        <v>1894</v>
      </c>
      <c r="I670" s="10">
        <v>45554</v>
      </c>
    </row>
    <row r="671" spans="1:9" x14ac:dyDescent="0.15">
      <c r="A671" s="9">
        <v>670</v>
      </c>
      <c r="B671" s="9" t="s">
        <v>9</v>
      </c>
      <c r="C671" s="9">
        <v>1916</v>
      </c>
      <c r="D671" s="10">
        <v>45646</v>
      </c>
      <c r="E671" s="13" t="str">
        <f>+HYPERLINK("http://trademark.i-assist.jp/data/china/image_1916th/80999757.pdf","80999757")</f>
        <v>80999757</v>
      </c>
      <c r="F671" s="9" t="s">
        <v>1895</v>
      </c>
      <c r="G671" s="9" t="s">
        <v>1896</v>
      </c>
      <c r="H671" s="9" t="s">
        <v>1897</v>
      </c>
      <c r="I671" s="10">
        <v>45554</v>
      </c>
    </row>
    <row r="672" spans="1:9" x14ac:dyDescent="0.15">
      <c r="A672" s="9">
        <v>671</v>
      </c>
      <c r="B672" s="9" t="s">
        <v>9</v>
      </c>
      <c r="C672" s="9">
        <v>1916</v>
      </c>
      <c r="D672" s="10">
        <v>45646</v>
      </c>
      <c r="E672" s="13" t="str">
        <f>+HYPERLINK("http://trademark.i-assist.jp/data/china/image_1916th/80999841.pdf","80999841")</f>
        <v>80999841</v>
      </c>
      <c r="F672" s="9" t="s">
        <v>1898</v>
      </c>
      <c r="G672" s="12" t="s">
        <v>1798</v>
      </c>
      <c r="H672" s="9" t="s">
        <v>1899</v>
      </c>
      <c r="I672" s="10">
        <v>45554</v>
      </c>
    </row>
    <row r="673" spans="1:9" x14ac:dyDescent="0.15">
      <c r="A673" s="9">
        <v>672</v>
      </c>
      <c r="B673" s="9" t="s">
        <v>9</v>
      </c>
      <c r="C673" s="9">
        <v>1916</v>
      </c>
      <c r="D673" s="10">
        <v>45646</v>
      </c>
      <c r="E673" s="13" t="str">
        <f>+HYPERLINK("http://trademark.i-assist.jp/data/china/image_1916th/81001058.pdf","81001058")</f>
        <v>81001058</v>
      </c>
      <c r="F673" s="9" t="s">
        <v>1900</v>
      </c>
      <c r="G673" s="9" t="s">
        <v>1901</v>
      </c>
      <c r="H673" s="12" t="s">
        <v>1902</v>
      </c>
      <c r="I673" s="10">
        <v>45554</v>
      </c>
    </row>
    <row r="674" spans="1:9" x14ac:dyDescent="0.15">
      <c r="A674" s="9">
        <v>673</v>
      </c>
      <c r="B674" s="9" t="s">
        <v>9</v>
      </c>
      <c r="C674" s="9">
        <v>1916</v>
      </c>
      <c r="D674" s="10">
        <v>45646</v>
      </c>
      <c r="E674" s="13" t="str">
        <f>+HYPERLINK("http://trademark.i-assist.jp/data/china/image_1916th/81001132.pdf","81001132")</f>
        <v>81001132</v>
      </c>
      <c r="F674" s="9" t="s">
        <v>1903</v>
      </c>
      <c r="G674" s="9" t="s">
        <v>1904</v>
      </c>
      <c r="H674" s="9" t="s">
        <v>1905</v>
      </c>
      <c r="I674" s="10">
        <v>45554</v>
      </c>
    </row>
    <row r="675" spans="1:9" x14ac:dyDescent="0.15">
      <c r="A675" s="9">
        <v>674</v>
      </c>
      <c r="B675" s="9" t="s">
        <v>9</v>
      </c>
      <c r="C675" s="9">
        <v>1916</v>
      </c>
      <c r="D675" s="10">
        <v>45646</v>
      </c>
      <c r="E675" s="13" t="str">
        <f>+HYPERLINK("http://trademark.i-assist.jp/data/china/image_1916th/81001438.pdf","81001438")</f>
        <v>81001438</v>
      </c>
      <c r="F675" s="9" t="s">
        <v>1906</v>
      </c>
      <c r="G675" s="12" t="s">
        <v>1907</v>
      </c>
      <c r="H675" s="12" t="s">
        <v>1908</v>
      </c>
      <c r="I675" s="10">
        <v>45554</v>
      </c>
    </row>
    <row r="676" spans="1:9" x14ac:dyDescent="0.15">
      <c r="A676" s="9">
        <v>675</v>
      </c>
      <c r="B676" s="9" t="s">
        <v>9</v>
      </c>
      <c r="C676" s="9">
        <v>1916</v>
      </c>
      <c r="D676" s="10">
        <v>45646</v>
      </c>
      <c r="E676" s="13" t="str">
        <f>+HYPERLINK("http://trademark.i-assist.jp/data/china/image_1916th/81001613.pdf","81001613")</f>
        <v>81001613</v>
      </c>
      <c r="F676" s="9" t="s">
        <v>1909</v>
      </c>
      <c r="G676" s="9" t="s">
        <v>1910</v>
      </c>
      <c r="H676" s="9" t="s">
        <v>1911</v>
      </c>
      <c r="I676" s="10">
        <v>45554</v>
      </c>
    </row>
    <row r="677" spans="1:9" x14ac:dyDescent="0.15">
      <c r="A677" s="9">
        <v>676</v>
      </c>
      <c r="B677" s="9" t="s">
        <v>9</v>
      </c>
      <c r="C677" s="9">
        <v>1916</v>
      </c>
      <c r="D677" s="10">
        <v>45646</v>
      </c>
      <c r="E677" s="13" t="str">
        <f>+HYPERLINK("http://trademark.i-assist.jp/data/china/image_1916th/81002156.pdf","81002156")</f>
        <v>81002156</v>
      </c>
      <c r="F677" s="12" t="s">
        <v>1912</v>
      </c>
      <c r="G677" s="12" t="s">
        <v>1913</v>
      </c>
      <c r="H677" s="9" t="s">
        <v>1914</v>
      </c>
      <c r="I677" s="10">
        <v>45554</v>
      </c>
    </row>
    <row r="678" spans="1:9" x14ac:dyDescent="0.15">
      <c r="A678" s="9">
        <v>677</v>
      </c>
      <c r="B678" s="9" t="s">
        <v>9</v>
      </c>
      <c r="C678" s="9">
        <v>1916</v>
      </c>
      <c r="D678" s="10">
        <v>45646</v>
      </c>
      <c r="E678" s="13" t="str">
        <f>+HYPERLINK("http://trademark.i-assist.jp/data/china/image_1916th/81002539.pdf","81002539")</f>
        <v>81002539</v>
      </c>
      <c r="F678" s="9" t="s">
        <v>1915</v>
      </c>
      <c r="G678" s="9" t="s">
        <v>1916</v>
      </c>
      <c r="H678" s="9" t="s">
        <v>1917</v>
      </c>
      <c r="I678" s="10">
        <v>45554</v>
      </c>
    </row>
    <row r="679" spans="1:9" x14ac:dyDescent="0.15">
      <c r="A679" s="9">
        <v>678</v>
      </c>
      <c r="B679" s="9" t="s">
        <v>9</v>
      </c>
      <c r="C679" s="9">
        <v>1916</v>
      </c>
      <c r="D679" s="10">
        <v>45646</v>
      </c>
      <c r="E679" s="13" t="str">
        <f>+HYPERLINK("http://trademark.i-assist.jp/data/china/image_1916th/81002700.pdf","81002700")</f>
        <v>81002700</v>
      </c>
      <c r="F679" s="9" t="s">
        <v>1918</v>
      </c>
      <c r="G679" s="12" t="s">
        <v>1919</v>
      </c>
      <c r="H679" s="9" t="s">
        <v>1920</v>
      </c>
      <c r="I679" s="10">
        <v>45554</v>
      </c>
    </row>
    <row r="680" spans="1:9" x14ac:dyDescent="0.15">
      <c r="A680" s="9">
        <v>679</v>
      </c>
      <c r="B680" s="9" t="s">
        <v>9</v>
      </c>
      <c r="C680" s="9">
        <v>1916</v>
      </c>
      <c r="D680" s="10">
        <v>45646</v>
      </c>
      <c r="E680" s="13" t="str">
        <f>+HYPERLINK("http://trademark.i-assist.jp/data/china/image_1916th/81002740.pdf","81002740")</f>
        <v>81002740</v>
      </c>
      <c r="F680" s="9" t="s">
        <v>1801</v>
      </c>
      <c r="G680" s="9" t="s">
        <v>1801</v>
      </c>
      <c r="H680" s="9" t="s">
        <v>1921</v>
      </c>
      <c r="I680" s="10">
        <v>45554</v>
      </c>
    </row>
    <row r="681" spans="1:9" x14ac:dyDescent="0.15">
      <c r="A681" s="9">
        <v>680</v>
      </c>
      <c r="B681" s="9" t="s">
        <v>9</v>
      </c>
      <c r="C681" s="9">
        <v>1916</v>
      </c>
      <c r="D681" s="10">
        <v>45646</v>
      </c>
      <c r="E681" s="13" t="str">
        <f>+HYPERLINK("http://trademark.i-assist.jp/data/china/image_1916th/81003194.pdf","81003194")</f>
        <v>81003194</v>
      </c>
      <c r="F681" s="9" t="s">
        <v>1922</v>
      </c>
      <c r="G681" s="9" t="s">
        <v>1923</v>
      </c>
      <c r="H681" s="9" t="s">
        <v>1924</v>
      </c>
      <c r="I681" s="10">
        <v>45554</v>
      </c>
    </row>
    <row r="682" spans="1:9" x14ac:dyDescent="0.15">
      <c r="A682" s="9">
        <v>681</v>
      </c>
      <c r="B682" s="9" t="s">
        <v>9</v>
      </c>
      <c r="C682" s="9">
        <v>1916</v>
      </c>
      <c r="D682" s="10">
        <v>45646</v>
      </c>
      <c r="E682" s="13" t="str">
        <f>+HYPERLINK("http://trademark.i-assist.jp/data/china/image_1916th/81003830.pdf","81003830")</f>
        <v>81003830</v>
      </c>
      <c r="F682" s="9" t="s">
        <v>1925</v>
      </c>
      <c r="G682" s="12" t="s">
        <v>1926</v>
      </c>
      <c r="H682" s="9" t="s">
        <v>1927</v>
      </c>
      <c r="I682" s="10">
        <v>45554</v>
      </c>
    </row>
    <row r="683" spans="1:9" x14ac:dyDescent="0.15">
      <c r="A683" s="9">
        <v>682</v>
      </c>
      <c r="B683" s="9" t="s">
        <v>9</v>
      </c>
      <c r="C683" s="9">
        <v>1916</v>
      </c>
      <c r="D683" s="10">
        <v>45646</v>
      </c>
      <c r="E683" s="13" t="str">
        <f>+HYPERLINK("http://trademark.i-assist.jp/data/china/image_1916th/81003986.pdf","81003986")</f>
        <v>81003986</v>
      </c>
      <c r="F683" s="9" t="s">
        <v>1928</v>
      </c>
      <c r="G683" s="12" t="s">
        <v>1929</v>
      </c>
      <c r="H683" s="9" t="s">
        <v>1930</v>
      </c>
      <c r="I683" s="10">
        <v>45554</v>
      </c>
    </row>
    <row r="684" spans="1:9" x14ac:dyDescent="0.15">
      <c r="A684" s="9">
        <v>683</v>
      </c>
      <c r="B684" s="9" t="s">
        <v>9</v>
      </c>
      <c r="C684" s="9">
        <v>1916</v>
      </c>
      <c r="D684" s="10">
        <v>45646</v>
      </c>
      <c r="E684" s="13" t="str">
        <f>+HYPERLINK("http://trademark.i-assist.jp/data/china/image_1916th/81004074.pdf","81004074")</f>
        <v>81004074</v>
      </c>
      <c r="F684" s="9" t="s">
        <v>1931</v>
      </c>
      <c r="G684" s="12" t="s">
        <v>1932</v>
      </c>
      <c r="H684" s="9" t="s">
        <v>1933</v>
      </c>
      <c r="I684" s="10">
        <v>45554</v>
      </c>
    </row>
    <row r="685" spans="1:9" x14ac:dyDescent="0.15">
      <c r="A685" s="9">
        <v>684</v>
      </c>
      <c r="B685" s="9" t="s">
        <v>9</v>
      </c>
      <c r="C685" s="9">
        <v>1916</v>
      </c>
      <c r="D685" s="10">
        <v>45646</v>
      </c>
      <c r="E685" s="13" t="str">
        <f>+HYPERLINK("http://trademark.i-assist.jp/data/china/image_1916th/81004547.pdf","81004547")</f>
        <v>81004547</v>
      </c>
      <c r="F685" s="9" t="s">
        <v>1934</v>
      </c>
      <c r="G685" s="9" t="s">
        <v>1857</v>
      </c>
      <c r="H685" s="9" t="s">
        <v>1935</v>
      </c>
      <c r="I685" s="10">
        <v>45554</v>
      </c>
    </row>
    <row r="686" spans="1:9" x14ac:dyDescent="0.15">
      <c r="A686" s="9">
        <v>685</v>
      </c>
      <c r="B686" s="9" t="s">
        <v>9</v>
      </c>
      <c r="C686" s="9">
        <v>1916</v>
      </c>
      <c r="D686" s="10">
        <v>45646</v>
      </c>
      <c r="E686" s="13" t="str">
        <f>+HYPERLINK("http://trademark.i-assist.jp/data/china/image_1916th/81004811.pdf","81004811")</f>
        <v>81004811</v>
      </c>
      <c r="F686" s="9" t="s">
        <v>1936</v>
      </c>
      <c r="G686" s="9" t="s">
        <v>1937</v>
      </c>
      <c r="H686" s="9" t="s">
        <v>1938</v>
      </c>
      <c r="I686" s="10">
        <v>45554</v>
      </c>
    </row>
    <row r="687" spans="1:9" x14ac:dyDescent="0.15">
      <c r="A687" s="9">
        <v>686</v>
      </c>
      <c r="B687" s="9" t="s">
        <v>9</v>
      </c>
      <c r="C687" s="9">
        <v>1916</v>
      </c>
      <c r="D687" s="10">
        <v>45646</v>
      </c>
      <c r="E687" s="13" t="str">
        <f>+HYPERLINK("http://trademark.i-assist.jp/data/china/image_1916th/81005088.pdf","81005088")</f>
        <v>81005088</v>
      </c>
      <c r="F687" s="9" t="s">
        <v>1939</v>
      </c>
      <c r="G687" s="9" t="s">
        <v>1940</v>
      </c>
      <c r="H687" s="9" t="s">
        <v>1941</v>
      </c>
      <c r="I687" s="10">
        <v>45554</v>
      </c>
    </row>
    <row r="688" spans="1:9" x14ac:dyDescent="0.15">
      <c r="A688" s="9">
        <v>687</v>
      </c>
      <c r="B688" s="9" t="s">
        <v>9</v>
      </c>
      <c r="C688" s="9">
        <v>1916</v>
      </c>
      <c r="D688" s="10">
        <v>45646</v>
      </c>
      <c r="E688" s="13" t="str">
        <f>+HYPERLINK("http://trademark.i-assist.jp/data/china/image_1916th/81006224.pdf","81006224")</f>
        <v>81006224</v>
      </c>
      <c r="F688" s="9" t="s">
        <v>1942</v>
      </c>
      <c r="G688" s="12" t="s">
        <v>1943</v>
      </c>
      <c r="H688" s="9" t="s">
        <v>1944</v>
      </c>
      <c r="I688" s="10">
        <v>45555</v>
      </c>
    </row>
    <row r="689" spans="1:9" x14ac:dyDescent="0.15">
      <c r="A689" s="9">
        <v>688</v>
      </c>
      <c r="B689" s="9" t="s">
        <v>9</v>
      </c>
      <c r="C689" s="9">
        <v>1916</v>
      </c>
      <c r="D689" s="10">
        <v>45646</v>
      </c>
      <c r="E689" s="13" t="str">
        <f>+HYPERLINK("http://trademark.i-assist.jp/data/china/image_1916th/81006995.pdf","81006995")</f>
        <v>81006995</v>
      </c>
      <c r="F689" s="9" t="s">
        <v>1945</v>
      </c>
      <c r="G689" s="12" t="s">
        <v>24</v>
      </c>
      <c r="H689" s="9" t="s">
        <v>1946</v>
      </c>
      <c r="I689" s="10">
        <v>45555</v>
      </c>
    </row>
    <row r="690" spans="1:9" x14ac:dyDescent="0.15">
      <c r="A690" s="9">
        <v>689</v>
      </c>
      <c r="B690" s="9" t="s">
        <v>9</v>
      </c>
      <c r="C690" s="9">
        <v>1916</v>
      </c>
      <c r="D690" s="10">
        <v>45646</v>
      </c>
      <c r="E690" s="13" t="str">
        <f>+HYPERLINK("http://trademark.i-assist.jp/data/china/image_1916th/81007282.pdf","81007282")</f>
        <v>81007282</v>
      </c>
      <c r="F690" s="9" t="s">
        <v>1947</v>
      </c>
      <c r="G690" s="9" t="s">
        <v>1948</v>
      </c>
      <c r="H690" s="9" t="s">
        <v>1949</v>
      </c>
      <c r="I690" s="10">
        <v>45555</v>
      </c>
    </row>
    <row r="691" spans="1:9" x14ac:dyDescent="0.15">
      <c r="A691" s="9">
        <v>690</v>
      </c>
      <c r="B691" s="9" t="s">
        <v>9</v>
      </c>
      <c r="C691" s="9">
        <v>1916</v>
      </c>
      <c r="D691" s="10">
        <v>45646</v>
      </c>
      <c r="E691" s="13" t="str">
        <f>+HYPERLINK("http://trademark.i-assist.jp/data/china/image_1916th/81007425.pdf","81007425")</f>
        <v>81007425</v>
      </c>
      <c r="F691" s="9" t="s">
        <v>1950</v>
      </c>
      <c r="G691" s="9" t="s">
        <v>1951</v>
      </c>
      <c r="H691" s="12" t="s">
        <v>1952</v>
      </c>
      <c r="I691" s="10">
        <v>45555</v>
      </c>
    </row>
    <row r="692" spans="1:9" x14ac:dyDescent="0.15">
      <c r="A692" s="9">
        <v>691</v>
      </c>
      <c r="B692" s="9" t="s">
        <v>9</v>
      </c>
      <c r="C692" s="9">
        <v>1916</v>
      </c>
      <c r="D692" s="10">
        <v>45646</v>
      </c>
      <c r="E692" s="13" t="str">
        <f>+HYPERLINK("http://trademark.i-assist.jp/data/china/image_1916th/81007630.pdf","81007630")</f>
        <v>81007630</v>
      </c>
      <c r="F692" s="11" t="s">
        <v>1953</v>
      </c>
      <c r="G692" s="9" t="s">
        <v>1954</v>
      </c>
      <c r="H692" s="9" t="s">
        <v>1955</v>
      </c>
      <c r="I692" s="10">
        <v>45555</v>
      </c>
    </row>
    <row r="693" spans="1:9" x14ac:dyDescent="0.15">
      <c r="A693" s="9">
        <v>692</v>
      </c>
      <c r="B693" s="9" t="s">
        <v>9</v>
      </c>
      <c r="C693" s="9">
        <v>1916</v>
      </c>
      <c r="D693" s="10">
        <v>45646</v>
      </c>
      <c r="E693" s="13" t="str">
        <f>+HYPERLINK("http://trademark.i-assist.jp/data/china/image_1916th/81008410.pdf","81008410")</f>
        <v>81008410</v>
      </c>
      <c r="F693" s="9" t="s">
        <v>1956</v>
      </c>
      <c r="G693" s="9" t="s">
        <v>1957</v>
      </c>
      <c r="H693" s="9" t="s">
        <v>1958</v>
      </c>
      <c r="I693" s="10">
        <v>45555</v>
      </c>
    </row>
    <row r="694" spans="1:9" x14ac:dyDescent="0.15">
      <c r="A694" s="9">
        <v>693</v>
      </c>
      <c r="B694" s="9" t="s">
        <v>9</v>
      </c>
      <c r="C694" s="9">
        <v>1916</v>
      </c>
      <c r="D694" s="10">
        <v>45646</v>
      </c>
      <c r="E694" s="13" t="str">
        <f>+HYPERLINK("http://trademark.i-assist.jp/data/china/image_1916th/81008698.pdf","81008698")</f>
        <v>81008698</v>
      </c>
      <c r="F694" s="9" t="s">
        <v>1959</v>
      </c>
      <c r="G694" s="9" t="s">
        <v>1960</v>
      </c>
      <c r="H694" s="9" t="s">
        <v>1961</v>
      </c>
      <c r="I694" s="10">
        <v>45555</v>
      </c>
    </row>
    <row r="695" spans="1:9" x14ac:dyDescent="0.15">
      <c r="A695" s="9">
        <v>694</v>
      </c>
      <c r="B695" s="9" t="s">
        <v>9</v>
      </c>
      <c r="C695" s="9">
        <v>1916</v>
      </c>
      <c r="D695" s="10">
        <v>45646</v>
      </c>
      <c r="E695" s="13" t="str">
        <f>+HYPERLINK("http://trademark.i-assist.jp/data/china/image_1916th/81008771.pdf","81008771")</f>
        <v>81008771</v>
      </c>
      <c r="F695" s="9" t="s">
        <v>1962</v>
      </c>
      <c r="G695" s="9" t="s">
        <v>1957</v>
      </c>
      <c r="H695" s="9" t="s">
        <v>1963</v>
      </c>
      <c r="I695" s="10">
        <v>45555</v>
      </c>
    </row>
    <row r="696" spans="1:9" x14ac:dyDescent="0.15">
      <c r="A696" s="9">
        <v>695</v>
      </c>
      <c r="B696" s="9" t="s">
        <v>9</v>
      </c>
      <c r="C696" s="9">
        <v>1916</v>
      </c>
      <c r="D696" s="10">
        <v>45646</v>
      </c>
      <c r="E696" s="13" t="str">
        <f>+HYPERLINK("http://trademark.i-assist.jp/data/china/image_1916th/81009060.pdf","81009060")</f>
        <v>81009060</v>
      </c>
      <c r="F696" s="9" t="s">
        <v>1964</v>
      </c>
      <c r="G696" s="9" t="s">
        <v>1965</v>
      </c>
      <c r="H696" s="12" t="s">
        <v>1966</v>
      </c>
      <c r="I696" s="10">
        <v>45555</v>
      </c>
    </row>
    <row r="697" spans="1:9" x14ac:dyDescent="0.15">
      <c r="A697" s="9">
        <v>696</v>
      </c>
      <c r="B697" s="9" t="s">
        <v>9</v>
      </c>
      <c r="C697" s="9">
        <v>1916</v>
      </c>
      <c r="D697" s="10">
        <v>45646</v>
      </c>
      <c r="E697" s="13" t="str">
        <f>+HYPERLINK("http://trademark.i-assist.jp/data/china/image_1916th/81009221.pdf","81009221")</f>
        <v>81009221</v>
      </c>
      <c r="F697" s="12" t="s">
        <v>1967</v>
      </c>
      <c r="G697" s="12" t="s">
        <v>1968</v>
      </c>
      <c r="H697" s="9" t="s">
        <v>1969</v>
      </c>
      <c r="I697" s="10">
        <v>45555</v>
      </c>
    </row>
    <row r="698" spans="1:9" x14ac:dyDescent="0.15">
      <c r="A698" s="9">
        <v>697</v>
      </c>
      <c r="B698" s="9" t="s">
        <v>9</v>
      </c>
      <c r="C698" s="9">
        <v>1916</v>
      </c>
      <c r="D698" s="10">
        <v>45646</v>
      </c>
      <c r="E698" s="13" t="str">
        <f>+HYPERLINK("http://trademark.i-assist.jp/data/china/image_1916th/81010576.pdf","81010576")</f>
        <v>81010576</v>
      </c>
      <c r="F698" s="9" t="s">
        <v>1970</v>
      </c>
      <c r="G698" s="9" t="s">
        <v>1971</v>
      </c>
      <c r="H698" s="9" t="s">
        <v>1972</v>
      </c>
      <c r="I698" s="10">
        <v>45555</v>
      </c>
    </row>
    <row r="699" spans="1:9" x14ac:dyDescent="0.15">
      <c r="A699" s="9">
        <v>698</v>
      </c>
      <c r="B699" s="9" t="s">
        <v>9</v>
      </c>
      <c r="C699" s="9">
        <v>1916</v>
      </c>
      <c r="D699" s="10">
        <v>45646</v>
      </c>
      <c r="E699" s="13" t="str">
        <f>+HYPERLINK("http://trademark.i-assist.jp/data/china/image_1916th/81010625.pdf","81010625")</f>
        <v>81010625</v>
      </c>
      <c r="F699" s="9" t="s">
        <v>1973</v>
      </c>
      <c r="G699" s="9" t="s">
        <v>1974</v>
      </c>
      <c r="H699" s="12" t="s">
        <v>1975</v>
      </c>
      <c r="I699" s="10">
        <v>45555</v>
      </c>
    </row>
    <row r="700" spans="1:9" x14ac:dyDescent="0.15">
      <c r="A700" s="9">
        <v>699</v>
      </c>
      <c r="B700" s="9" t="s">
        <v>9</v>
      </c>
      <c r="C700" s="9">
        <v>1916</v>
      </c>
      <c r="D700" s="10">
        <v>45646</v>
      </c>
      <c r="E700" s="13" t="str">
        <f>+HYPERLINK("http://trademark.i-assist.jp/data/china/image_1916th/81011001.pdf","81011001")</f>
        <v>81011001</v>
      </c>
      <c r="F700" s="9" t="s">
        <v>1976</v>
      </c>
      <c r="G700" s="9" t="s">
        <v>1977</v>
      </c>
      <c r="H700" s="9" t="s">
        <v>1978</v>
      </c>
      <c r="I700" s="10">
        <v>45555</v>
      </c>
    </row>
    <row r="701" spans="1:9" x14ac:dyDescent="0.15">
      <c r="A701" s="9">
        <v>700</v>
      </c>
      <c r="B701" s="9" t="s">
        <v>9</v>
      </c>
      <c r="C701" s="9">
        <v>1916</v>
      </c>
      <c r="D701" s="10">
        <v>45646</v>
      </c>
      <c r="E701" s="13" t="str">
        <f>+HYPERLINK("http://trademark.i-assist.jp/data/china/image_1916th/81011515.pdf","81011515")</f>
        <v>81011515</v>
      </c>
      <c r="F701" s="9" t="s">
        <v>1979</v>
      </c>
      <c r="G701" s="9" t="s">
        <v>1980</v>
      </c>
      <c r="H701" s="9" t="s">
        <v>1981</v>
      </c>
      <c r="I701" s="10">
        <v>45555</v>
      </c>
    </row>
    <row r="702" spans="1:9" x14ac:dyDescent="0.15">
      <c r="A702" s="9">
        <v>701</v>
      </c>
      <c r="B702" s="9" t="s">
        <v>9</v>
      </c>
      <c r="C702" s="9">
        <v>1916</v>
      </c>
      <c r="D702" s="10">
        <v>45646</v>
      </c>
      <c r="E702" s="13" t="str">
        <f>+HYPERLINK("http://trademark.i-assist.jp/data/china/image_1916th/81011554.pdf","81011554")</f>
        <v>81011554</v>
      </c>
      <c r="F702" s="12" t="s">
        <v>1982</v>
      </c>
      <c r="G702" s="9" t="s">
        <v>1983</v>
      </c>
      <c r="H702" s="9" t="s">
        <v>1984</v>
      </c>
      <c r="I702" s="10">
        <v>45555</v>
      </c>
    </row>
    <row r="703" spans="1:9" x14ac:dyDescent="0.15">
      <c r="A703" s="9">
        <v>702</v>
      </c>
      <c r="B703" s="9" t="s">
        <v>9</v>
      </c>
      <c r="C703" s="9">
        <v>1916</v>
      </c>
      <c r="D703" s="10">
        <v>45646</v>
      </c>
      <c r="E703" s="13" t="str">
        <f>+HYPERLINK("http://trademark.i-assist.jp/data/china/image_1916th/81011649.pdf","81011649")</f>
        <v>81011649</v>
      </c>
      <c r="F703" s="9" t="s">
        <v>1985</v>
      </c>
      <c r="G703" s="12" t="s">
        <v>1986</v>
      </c>
      <c r="H703" s="9" t="s">
        <v>1987</v>
      </c>
      <c r="I703" s="10">
        <v>45555</v>
      </c>
    </row>
    <row r="704" spans="1:9" x14ac:dyDescent="0.15">
      <c r="A704" s="9">
        <v>703</v>
      </c>
      <c r="B704" s="9" t="s">
        <v>9</v>
      </c>
      <c r="C704" s="9">
        <v>1916</v>
      </c>
      <c r="D704" s="10">
        <v>45646</v>
      </c>
      <c r="E704" s="13" t="str">
        <f>+HYPERLINK("http://trademark.i-assist.jp/data/china/image_1916th/81012031.pdf","81012031")</f>
        <v>81012031</v>
      </c>
      <c r="F704" s="9" t="s">
        <v>1988</v>
      </c>
      <c r="G704" s="9" t="s">
        <v>1989</v>
      </c>
      <c r="H704" s="9" t="s">
        <v>1990</v>
      </c>
      <c r="I704" s="10">
        <v>45555</v>
      </c>
    </row>
    <row r="705" spans="1:9" x14ac:dyDescent="0.15">
      <c r="A705" s="9">
        <v>704</v>
      </c>
      <c r="B705" s="9" t="s">
        <v>9</v>
      </c>
      <c r="C705" s="9">
        <v>1916</v>
      </c>
      <c r="D705" s="10">
        <v>45646</v>
      </c>
      <c r="E705" s="13" t="str">
        <f>+HYPERLINK("http://trademark.i-assist.jp/data/china/image_1916th/81012121.pdf","81012121")</f>
        <v>81012121</v>
      </c>
      <c r="F705" s="9" t="s">
        <v>1991</v>
      </c>
      <c r="G705" s="12" t="s">
        <v>1992</v>
      </c>
      <c r="H705" s="9" t="s">
        <v>1993</v>
      </c>
      <c r="I705" s="10">
        <v>45555</v>
      </c>
    </row>
    <row r="706" spans="1:9" x14ac:dyDescent="0.15">
      <c r="A706" s="9">
        <v>705</v>
      </c>
      <c r="B706" s="9" t="s">
        <v>9</v>
      </c>
      <c r="C706" s="9">
        <v>1916</v>
      </c>
      <c r="D706" s="10">
        <v>45646</v>
      </c>
      <c r="E706" s="13" t="str">
        <f>+HYPERLINK("http://trademark.i-assist.jp/data/china/image_1916th/81012186.pdf","81012186")</f>
        <v>81012186</v>
      </c>
      <c r="F706" s="9" t="s">
        <v>1994</v>
      </c>
      <c r="G706" s="12" t="s">
        <v>42</v>
      </c>
      <c r="H706" s="9" t="s">
        <v>1995</v>
      </c>
      <c r="I706" s="10">
        <v>45555</v>
      </c>
    </row>
    <row r="707" spans="1:9" x14ac:dyDescent="0.15">
      <c r="A707" s="9">
        <v>706</v>
      </c>
      <c r="B707" s="9" t="s">
        <v>9</v>
      </c>
      <c r="C707" s="9">
        <v>1916</v>
      </c>
      <c r="D707" s="10">
        <v>45646</v>
      </c>
      <c r="E707" s="13" t="str">
        <f>+HYPERLINK("http://trademark.i-assist.jp/data/china/image_1916th/81012532.pdf","81012532")</f>
        <v>81012532</v>
      </c>
      <c r="F707" s="12" t="s">
        <v>1996</v>
      </c>
      <c r="G707" s="9" t="s">
        <v>1997</v>
      </c>
      <c r="H707" s="9" t="s">
        <v>1998</v>
      </c>
      <c r="I707" s="10">
        <v>45555</v>
      </c>
    </row>
    <row r="708" spans="1:9" x14ac:dyDescent="0.15">
      <c r="A708" s="9">
        <v>707</v>
      </c>
      <c r="B708" s="9" t="s">
        <v>9</v>
      </c>
      <c r="C708" s="9">
        <v>1916</v>
      </c>
      <c r="D708" s="10">
        <v>45646</v>
      </c>
      <c r="E708" s="13" t="str">
        <f>+HYPERLINK("http://trademark.i-assist.jp/data/china/image_1916th/81013897.pdf","81013897")</f>
        <v>81013897</v>
      </c>
      <c r="F708" s="9" t="s">
        <v>1999</v>
      </c>
      <c r="G708" s="12" t="s">
        <v>2000</v>
      </c>
      <c r="H708" s="9" t="s">
        <v>2001</v>
      </c>
      <c r="I708" s="10">
        <v>45555</v>
      </c>
    </row>
    <row r="709" spans="1:9" x14ac:dyDescent="0.15">
      <c r="A709" s="9">
        <v>708</v>
      </c>
      <c r="B709" s="9" t="s">
        <v>9</v>
      </c>
      <c r="C709" s="9">
        <v>1916</v>
      </c>
      <c r="D709" s="10">
        <v>45646</v>
      </c>
      <c r="E709" s="13" t="str">
        <f>+HYPERLINK("http://trademark.i-assist.jp/data/china/image_1916th/81013936.pdf","81013936")</f>
        <v>81013936</v>
      </c>
      <c r="F709" s="12" t="s">
        <v>13</v>
      </c>
      <c r="G709" s="9" t="s">
        <v>2002</v>
      </c>
      <c r="H709" s="9" t="s">
        <v>2003</v>
      </c>
      <c r="I709" s="10">
        <v>45555</v>
      </c>
    </row>
    <row r="710" spans="1:9" x14ac:dyDescent="0.15">
      <c r="A710" s="9">
        <v>709</v>
      </c>
      <c r="B710" s="9" t="s">
        <v>9</v>
      </c>
      <c r="C710" s="9">
        <v>1916</v>
      </c>
      <c r="D710" s="10">
        <v>45646</v>
      </c>
      <c r="E710" s="13" t="str">
        <f>+HYPERLINK("http://trademark.i-assist.jp/data/china/image_1916th/81013964.pdf","81013964")</f>
        <v>81013964</v>
      </c>
      <c r="F710" s="9" t="s">
        <v>2004</v>
      </c>
      <c r="G710" s="9" t="s">
        <v>2005</v>
      </c>
      <c r="H710" s="12" t="s">
        <v>2006</v>
      </c>
      <c r="I710" s="10">
        <v>45555</v>
      </c>
    </row>
    <row r="711" spans="1:9" x14ac:dyDescent="0.15">
      <c r="A711" s="9">
        <v>710</v>
      </c>
      <c r="B711" s="9" t="s">
        <v>9</v>
      </c>
      <c r="C711" s="9">
        <v>1916</v>
      </c>
      <c r="D711" s="10">
        <v>45646</v>
      </c>
      <c r="E711" s="13" t="str">
        <f>+HYPERLINK("http://trademark.i-assist.jp/data/china/image_1916th/81014095.pdf","81014095")</f>
        <v>81014095</v>
      </c>
      <c r="F711" s="9" t="s">
        <v>2007</v>
      </c>
      <c r="G711" s="9" t="s">
        <v>2008</v>
      </c>
      <c r="H711" s="9" t="s">
        <v>2009</v>
      </c>
      <c r="I711" s="10">
        <v>45555</v>
      </c>
    </row>
    <row r="712" spans="1:9" x14ac:dyDescent="0.15">
      <c r="A712" s="9">
        <v>711</v>
      </c>
      <c r="B712" s="9" t="s">
        <v>9</v>
      </c>
      <c r="C712" s="9">
        <v>1916</v>
      </c>
      <c r="D712" s="10">
        <v>45646</v>
      </c>
      <c r="E712" s="13" t="str">
        <f>+HYPERLINK("http://trademark.i-assist.jp/data/china/image_1916th/81014120.pdf","81014120")</f>
        <v>81014120</v>
      </c>
      <c r="F712" s="9" t="s">
        <v>2010</v>
      </c>
      <c r="G712" s="9" t="s">
        <v>2011</v>
      </c>
      <c r="H712" s="12" t="s">
        <v>2012</v>
      </c>
      <c r="I712" s="10">
        <v>45555</v>
      </c>
    </row>
    <row r="713" spans="1:9" x14ac:dyDescent="0.15">
      <c r="A713" s="9">
        <v>712</v>
      </c>
      <c r="B713" s="9" t="s">
        <v>9</v>
      </c>
      <c r="C713" s="9">
        <v>1916</v>
      </c>
      <c r="D713" s="10">
        <v>45646</v>
      </c>
      <c r="E713" s="13" t="str">
        <f>+HYPERLINK("http://trademark.i-assist.jp/data/china/image_1916th/81014654.pdf","81014654")</f>
        <v>81014654</v>
      </c>
      <c r="F713" s="9" t="s">
        <v>2013</v>
      </c>
      <c r="G713" s="12" t="s">
        <v>1986</v>
      </c>
      <c r="H713" s="9" t="s">
        <v>2014</v>
      </c>
      <c r="I713" s="10">
        <v>45555</v>
      </c>
    </row>
    <row r="714" spans="1:9" x14ac:dyDescent="0.15">
      <c r="A714" s="9">
        <v>713</v>
      </c>
      <c r="B714" s="9" t="s">
        <v>9</v>
      </c>
      <c r="C714" s="9">
        <v>1916</v>
      </c>
      <c r="D714" s="10">
        <v>45646</v>
      </c>
      <c r="E714" s="13" t="str">
        <f>+HYPERLINK("http://trademark.i-assist.jp/data/china/image_1916th/81014771.pdf","81014771")</f>
        <v>81014771</v>
      </c>
      <c r="F714" s="9" t="s">
        <v>2015</v>
      </c>
      <c r="G714" s="12" t="s">
        <v>2016</v>
      </c>
      <c r="H714" s="9" t="s">
        <v>2017</v>
      </c>
      <c r="I714" s="10">
        <v>45555</v>
      </c>
    </row>
    <row r="715" spans="1:9" x14ac:dyDescent="0.15">
      <c r="A715" s="9">
        <v>714</v>
      </c>
      <c r="B715" s="9" t="s">
        <v>9</v>
      </c>
      <c r="C715" s="9">
        <v>1916</v>
      </c>
      <c r="D715" s="10">
        <v>45646</v>
      </c>
      <c r="E715" s="13" t="str">
        <f>+HYPERLINK("http://trademark.i-assist.jp/data/china/image_1916th/81015079.pdf","81015079")</f>
        <v>81015079</v>
      </c>
      <c r="F715" s="12" t="s">
        <v>2018</v>
      </c>
      <c r="G715" s="9" t="s">
        <v>2019</v>
      </c>
      <c r="H715" s="9" t="s">
        <v>2020</v>
      </c>
      <c r="I715" s="10">
        <v>45555</v>
      </c>
    </row>
    <row r="716" spans="1:9" x14ac:dyDescent="0.15">
      <c r="A716" s="9">
        <v>715</v>
      </c>
      <c r="B716" s="9" t="s">
        <v>9</v>
      </c>
      <c r="C716" s="9">
        <v>1916</v>
      </c>
      <c r="D716" s="10">
        <v>45646</v>
      </c>
      <c r="E716" s="13" t="str">
        <f>+HYPERLINK("http://trademark.i-assist.jp/data/china/image_1916th/81015144.pdf","81015144")</f>
        <v>81015144</v>
      </c>
      <c r="F716" s="9" t="s">
        <v>2021</v>
      </c>
      <c r="G716" s="9" t="s">
        <v>2022</v>
      </c>
      <c r="H716" s="9" t="s">
        <v>2023</v>
      </c>
      <c r="I716" s="10">
        <v>45555</v>
      </c>
    </row>
    <row r="717" spans="1:9" x14ac:dyDescent="0.15">
      <c r="A717" s="9">
        <v>716</v>
      </c>
      <c r="B717" s="9" t="s">
        <v>9</v>
      </c>
      <c r="C717" s="9">
        <v>1916</v>
      </c>
      <c r="D717" s="10">
        <v>45646</v>
      </c>
      <c r="E717" s="13" t="str">
        <f>+HYPERLINK("http://trademark.i-assist.jp/data/china/image_1916th/81015502.pdf","81015502")</f>
        <v>81015502</v>
      </c>
      <c r="F717" s="9" t="s">
        <v>2024</v>
      </c>
      <c r="G717" s="12" t="s">
        <v>2025</v>
      </c>
      <c r="H717" s="9" t="s">
        <v>2026</v>
      </c>
      <c r="I717" s="10">
        <v>45555</v>
      </c>
    </row>
    <row r="718" spans="1:9" x14ac:dyDescent="0.15">
      <c r="A718" s="9">
        <v>717</v>
      </c>
      <c r="B718" s="9" t="s">
        <v>9</v>
      </c>
      <c r="C718" s="9">
        <v>1916</v>
      </c>
      <c r="D718" s="10">
        <v>45646</v>
      </c>
      <c r="E718" s="13" t="str">
        <f>+HYPERLINK("http://trademark.i-assist.jp/data/china/image_1916th/81015514.pdf","81015514")</f>
        <v>81015514</v>
      </c>
      <c r="F718" s="9" t="s">
        <v>2027</v>
      </c>
      <c r="G718" s="9" t="s">
        <v>2028</v>
      </c>
      <c r="H718" s="12" t="s">
        <v>2029</v>
      </c>
      <c r="I718" s="10">
        <v>45555</v>
      </c>
    </row>
    <row r="719" spans="1:9" x14ac:dyDescent="0.15">
      <c r="A719" s="9">
        <v>718</v>
      </c>
      <c r="B719" s="9" t="s">
        <v>9</v>
      </c>
      <c r="C719" s="9">
        <v>1916</v>
      </c>
      <c r="D719" s="10">
        <v>45646</v>
      </c>
      <c r="E719" s="13" t="str">
        <f>+HYPERLINK("http://trademark.i-assist.jp/data/china/image_1916th/81016230.pdf","81016230")</f>
        <v>81016230</v>
      </c>
      <c r="F719" s="9" t="s">
        <v>2030</v>
      </c>
      <c r="G719" s="12" t="s">
        <v>1986</v>
      </c>
      <c r="H719" s="9" t="s">
        <v>2031</v>
      </c>
      <c r="I719" s="10">
        <v>45555</v>
      </c>
    </row>
    <row r="720" spans="1:9" x14ac:dyDescent="0.15">
      <c r="A720" s="9">
        <v>719</v>
      </c>
      <c r="B720" s="9" t="s">
        <v>9</v>
      </c>
      <c r="C720" s="9">
        <v>1916</v>
      </c>
      <c r="D720" s="10">
        <v>45646</v>
      </c>
      <c r="E720" s="13" t="str">
        <f>+HYPERLINK("http://trademark.i-assist.jp/data/china/image_1916th/81016231.pdf","81016231")</f>
        <v>81016231</v>
      </c>
      <c r="F720" s="9" t="s">
        <v>2032</v>
      </c>
      <c r="G720" s="9" t="s">
        <v>2033</v>
      </c>
      <c r="H720" s="9" t="s">
        <v>2034</v>
      </c>
      <c r="I720" s="10">
        <v>45555</v>
      </c>
    </row>
    <row r="721" spans="1:9" x14ac:dyDescent="0.15">
      <c r="A721" s="9">
        <v>720</v>
      </c>
      <c r="B721" s="9" t="s">
        <v>9</v>
      </c>
      <c r="C721" s="9">
        <v>1916</v>
      </c>
      <c r="D721" s="10">
        <v>45646</v>
      </c>
      <c r="E721" s="13" t="str">
        <f>+HYPERLINK("http://trademark.i-assist.jp/data/china/image_1916th/81017761.pdf","81017761")</f>
        <v>81017761</v>
      </c>
      <c r="F721" s="9" t="s">
        <v>2035</v>
      </c>
      <c r="G721" s="9" t="s">
        <v>2036</v>
      </c>
      <c r="H721" s="9" t="s">
        <v>2037</v>
      </c>
      <c r="I721" s="10">
        <v>45555</v>
      </c>
    </row>
    <row r="722" spans="1:9" x14ac:dyDescent="0.15">
      <c r="A722" s="9">
        <v>721</v>
      </c>
      <c r="B722" s="9" t="s">
        <v>9</v>
      </c>
      <c r="C722" s="9">
        <v>1916</v>
      </c>
      <c r="D722" s="10">
        <v>45646</v>
      </c>
      <c r="E722" s="13" t="str">
        <f>+HYPERLINK("http://trademark.i-assist.jp/data/china/image_1916th/81017808.pdf","81017808")</f>
        <v>81017808</v>
      </c>
      <c r="F722" s="12" t="s">
        <v>2038</v>
      </c>
      <c r="G722" s="9" t="s">
        <v>2039</v>
      </c>
      <c r="H722" s="12" t="s">
        <v>2040</v>
      </c>
      <c r="I722" s="10">
        <v>45555</v>
      </c>
    </row>
    <row r="723" spans="1:9" x14ac:dyDescent="0.15">
      <c r="A723" s="9">
        <v>722</v>
      </c>
      <c r="B723" s="9" t="s">
        <v>9</v>
      </c>
      <c r="C723" s="9">
        <v>1916</v>
      </c>
      <c r="D723" s="10">
        <v>45646</v>
      </c>
      <c r="E723" s="13" t="str">
        <f>+HYPERLINK("http://trademark.i-assist.jp/data/china/image_1916th/81017998.pdf","81017998")</f>
        <v>81017998</v>
      </c>
      <c r="F723" s="9" t="s">
        <v>2041</v>
      </c>
      <c r="G723" s="9" t="s">
        <v>2042</v>
      </c>
      <c r="H723" s="12" t="s">
        <v>2043</v>
      </c>
      <c r="I723" s="10">
        <v>45555</v>
      </c>
    </row>
    <row r="724" spans="1:9" x14ac:dyDescent="0.15">
      <c r="A724" s="9">
        <v>723</v>
      </c>
      <c r="B724" s="9" t="s">
        <v>9</v>
      </c>
      <c r="C724" s="9">
        <v>1916</v>
      </c>
      <c r="D724" s="10">
        <v>45646</v>
      </c>
      <c r="E724" s="13" t="str">
        <f>+HYPERLINK("http://trademark.i-assist.jp/data/china/image_1916th/81018198.pdf","81018198")</f>
        <v>81018198</v>
      </c>
      <c r="F724" s="9" t="s">
        <v>2044</v>
      </c>
      <c r="G724" s="9" t="s">
        <v>1954</v>
      </c>
      <c r="H724" s="9" t="s">
        <v>2045</v>
      </c>
      <c r="I724" s="10">
        <v>45555</v>
      </c>
    </row>
    <row r="725" spans="1:9" x14ac:dyDescent="0.15">
      <c r="A725" s="9">
        <v>724</v>
      </c>
      <c r="B725" s="9" t="s">
        <v>9</v>
      </c>
      <c r="C725" s="9">
        <v>1916</v>
      </c>
      <c r="D725" s="10">
        <v>45646</v>
      </c>
      <c r="E725" s="13" t="str">
        <f>+HYPERLINK("http://trademark.i-assist.jp/data/china/image_1916th/81018477.pdf","81018477")</f>
        <v>81018477</v>
      </c>
      <c r="F725" s="9" t="s">
        <v>2046</v>
      </c>
      <c r="G725" s="9" t="s">
        <v>2047</v>
      </c>
      <c r="H725" s="9" t="s">
        <v>2048</v>
      </c>
      <c r="I725" s="10">
        <v>45555</v>
      </c>
    </row>
    <row r="726" spans="1:9" x14ac:dyDescent="0.15">
      <c r="A726" s="9">
        <v>725</v>
      </c>
      <c r="B726" s="9" t="s">
        <v>9</v>
      </c>
      <c r="C726" s="9">
        <v>1916</v>
      </c>
      <c r="D726" s="10">
        <v>45646</v>
      </c>
      <c r="E726" s="13" t="str">
        <f>+HYPERLINK("http://trademark.i-assist.jp/data/china/image_1916th/81019638.pdf","81019638")</f>
        <v>81019638</v>
      </c>
      <c r="F726" s="12" t="s">
        <v>2049</v>
      </c>
      <c r="G726" s="12" t="s">
        <v>2050</v>
      </c>
      <c r="H726" s="12" t="s">
        <v>2051</v>
      </c>
      <c r="I726" s="10">
        <v>45555</v>
      </c>
    </row>
    <row r="727" spans="1:9" x14ac:dyDescent="0.15">
      <c r="A727" s="9">
        <v>726</v>
      </c>
      <c r="B727" s="9" t="s">
        <v>9</v>
      </c>
      <c r="C727" s="9">
        <v>1916</v>
      </c>
      <c r="D727" s="10">
        <v>45646</v>
      </c>
      <c r="E727" s="13" t="str">
        <f>+HYPERLINK("http://trademark.i-assist.jp/data/china/image_1916th/81020299.pdf","81020299")</f>
        <v>81020299</v>
      </c>
      <c r="F727" s="9" t="s">
        <v>2052</v>
      </c>
      <c r="G727" s="12" t="s">
        <v>2053</v>
      </c>
      <c r="H727" s="9" t="s">
        <v>2054</v>
      </c>
      <c r="I727" s="10">
        <v>45555</v>
      </c>
    </row>
    <row r="728" spans="1:9" x14ac:dyDescent="0.15">
      <c r="A728" s="9">
        <v>727</v>
      </c>
      <c r="B728" s="9" t="s">
        <v>9</v>
      </c>
      <c r="C728" s="9">
        <v>1916</v>
      </c>
      <c r="D728" s="10">
        <v>45646</v>
      </c>
      <c r="E728" s="13" t="str">
        <f>+HYPERLINK("http://trademark.i-assist.jp/data/china/image_1916th/81020622.pdf","81020622")</f>
        <v>81020622</v>
      </c>
      <c r="F728" s="9" t="s">
        <v>2055</v>
      </c>
      <c r="G728" s="12" t="s">
        <v>1986</v>
      </c>
      <c r="H728" s="9" t="s">
        <v>2056</v>
      </c>
      <c r="I728" s="10">
        <v>45555</v>
      </c>
    </row>
    <row r="729" spans="1:9" x14ac:dyDescent="0.15">
      <c r="A729" s="9">
        <v>728</v>
      </c>
      <c r="B729" s="9" t="s">
        <v>9</v>
      </c>
      <c r="C729" s="9">
        <v>1916</v>
      </c>
      <c r="D729" s="10">
        <v>45646</v>
      </c>
      <c r="E729" s="13" t="str">
        <f>+HYPERLINK("http://trademark.i-assist.jp/data/china/image_1916th/81020666.pdf","81020666")</f>
        <v>81020666</v>
      </c>
      <c r="F729" s="9" t="s">
        <v>2057</v>
      </c>
      <c r="G729" s="12" t="s">
        <v>2058</v>
      </c>
      <c r="H729" s="9" t="s">
        <v>2059</v>
      </c>
      <c r="I729" s="10">
        <v>45555</v>
      </c>
    </row>
    <row r="730" spans="1:9" x14ac:dyDescent="0.15">
      <c r="A730" s="9">
        <v>729</v>
      </c>
      <c r="B730" s="9" t="s">
        <v>9</v>
      </c>
      <c r="C730" s="9">
        <v>1916</v>
      </c>
      <c r="D730" s="10">
        <v>45646</v>
      </c>
      <c r="E730" s="13" t="str">
        <f>+HYPERLINK("http://trademark.i-assist.jp/data/china/image_1916th/81021259.pdf","81021259")</f>
        <v>81021259</v>
      </c>
      <c r="F730" s="9" t="s">
        <v>2060</v>
      </c>
      <c r="G730" s="9" t="s">
        <v>2061</v>
      </c>
      <c r="H730" s="12" t="s">
        <v>2062</v>
      </c>
      <c r="I730" s="10">
        <v>45555</v>
      </c>
    </row>
    <row r="731" spans="1:9" x14ac:dyDescent="0.15">
      <c r="A731" s="9">
        <v>730</v>
      </c>
      <c r="B731" s="9" t="s">
        <v>9</v>
      </c>
      <c r="C731" s="9">
        <v>1916</v>
      </c>
      <c r="D731" s="10">
        <v>45646</v>
      </c>
      <c r="E731" s="13" t="str">
        <f>+HYPERLINK("http://trademark.i-assist.jp/data/china/image_1916th/81021370.pdf","81021370")</f>
        <v>81021370</v>
      </c>
      <c r="F731" s="12" t="s">
        <v>2063</v>
      </c>
      <c r="G731" s="9" t="s">
        <v>2064</v>
      </c>
      <c r="H731" s="12" t="s">
        <v>2065</v>
      </c>
      <c r="I731" s="10">
        <v>45555</v>
      </c>
    </row>
    <row r="732" spans="1:9" x14ac:dyDescent="0.15">
      <c r="A732" s="9">
        <v>731</v>
      </c>
      <c r="B732" s="9" t="s">
        <v>9</v>
      </c>
      <c r="C732" s="9">
        <v>1916</v>
      </c>
      <c r="D732" s="10">
        <v>45646</v>
      </c>
      <c r="E732" s="13" t="str">
        <f>+HYPERLINK("http://trademark.i-assist.jp/data/china/image_1916th/81021538.pdf","81021538")</f>
        <v>81021538</v>
      </c>
      <c r="F732" s="9" t="s">
        <v>2066</v>
      </c>
      <c r="G732" s="9" t="s">
        <v>2067</v>
      </c>
      <c r="H732" s="12" t="s">
        <v>2068</v>
      </c>
      <c r="I732" s="10">
        <v>45555</v>
      </c>
    </row>
    <row r="733" spans="1:9" x14ac:dyDescent="0.15">
      <c r="A733" s="9">
        <v>732</v>
      </c>
      <c r="B733" s="9" t="s">
        <v>9</v>
      </c>
      <c r="C733" s="9">
        <v>1916</v>
      </c>
      <c r="D733" s="10">
        <v>45646</v>
      </c>
      <c r="E733" s="13" t="str">
        <f>+HYPERLINK("http://trademark.i-assist.jp/data/china/image_1916th/81021919.pdf","81021919")</f>
        <v>81021919</v>
      </c>
      <c r="F733" s="9" t="s">
        <v>2069</v>
      </c>
      <c r="G733" s="9" t="s">
        <v>2008</v>
      </c>
      <c r="H733" s="9" t="s">
        <v>2070</v>
      </c>
      <c r="I733" s="10">
        <v>45555</v>
      </c>
    </row>
    <row r="734" spans="1:9" x14ac:dyDescent="0.15">
      <c r="A734" s="9">
        <v>733</v>
      </c>
      <c r="B734" s="9" t="s">
        <v>9</v>
      </c>
      <c r="C734" s="9">
        <v>1916</v>
      </c>
      <c r="D734" s="10">
        <v>45646</v>
      </c>
      <c r="E734" s="13" t="str">
        <f>+HYPERLINK("http://trademark.i-assist.jp/data/china/image_1916th/81022147.pdf","81022147")</f>
        <v>81022147</v>
      </c>
      <c r="F734" s="9" t="s">
        <v>2071</v>
      </c>
      <c r="G734" s="12" t="s">
        <v>2072</v>
      </c>
      <c r="H734" s="9" t="s">
        <v>2073</v>
      </c>
      <c r="I734" s="10">
        <v>45555</v>
      </c>
    </row>
    <row r="735" spans="1:9" x14ac:dyDescent="0.15">
      <c r="A735" s="9">
        <v>734</v>
      </c>
      <c r="B735" s="9" t="s">
        <v>9</v>
      </c>
      <c r="C735" s="9">
        <v>1916</v>
      </c>
      <c r="D735" s="10">
        <v>45646</v>
      </c>
      <c r="E735" s="13" t="str">
        <f>+HYPERLINK("http://trademark.i-assist.jp/data/china/image_1916th/81022185.pdf","81022185")</f>
        <v>81022185</v>
      </c>
      <c r="F735" s="9" t="s">
        <v>2074</v>
      </c>
      <c r="G735" s="12" t="s">
        <v>1986</v>
      </c>
      <c r="H735" s="9" t="s">
        <v>2075</v>
      </c>
      <c r="I735" s="10">
        <v>45555</v>
      </c>
    </row>
    <row r="736" spans="1:9" x14ac:dyDescent="0.15">
      <c r="A736" s="9">
        <v>735</v>
      </c>
      <c r="B736" s="9" t="s">
        <v>9</v>
      </c>
      <c r="C736" s="9">
        <v>1916</v>
      </c>
      <c r="D736" s="10">
        <v>45646</v>
      </c>
      <c r="E736" s="13" t="str">
        <f>+HYPERLINK("http://trademark.i-assist.jp/data/china/image_1916th/81022205.pdf","81022205")</f>
        <v>81022205</v>
      </c>
      <c r="F736" s="9" t="s">
        <v>2076</v>
      </c>
      <c r="G736" s="12" t="s">
        <v>1986</v>
      </c>
      <c r="H736" s="9" t="s">
        <v>2077</v>
      </c>
      <c r="I736" s="10">
        <v>45555</v>
      </c>
    </row>
    <row r="737" spans="1:9" x14ac:dyDescent="0.15">
      <c r="A737" s="9">
        <v>736</v>
      </c>
      <c r="B737" s="9" t="s">
        <v>9</v>
      </c>
      <c r="C737" s="9">
        <v>1916</v>
      </c>
      <c r="D737" s="10">
        <v>45646</v>
      </c>
      <c r="E737" s="13" t="str">
        <f>+HYPERLINK("http://trademark.i-assist.jp/data/china/image_1916th/81022215.pdf","81022215")</f>
        <v>81022215</v>
      </c>
      <c r="F737" s="9" t="s">
        <v>2078</v>
      </c>
      <c r="G737" s="12" t="s">
        <v>2079</v>
      </c>
      <c r="H737" s="9" t="s">
        <v>2080</v>
      </c>
      <c r="I737" s="10">
        <v>45555</v>
      </c>
    </row>
    <row r="738" spans="1:9" x14ac:dyDescent="0.15">
      <c r="A738" s="9">
        <v>737</v>
      </c>
      <c r="B738" s="9" t="s">
        <v>9</v>
      </c>
      <c r="C738" s="9">
        <v>1916</v>
      </c>
      <c r="D738" s="10">
        <v>45646</v>
      </c>
      <c r="E738" s="13" t="str">
        <f>+HYPERLINK("http://trademark.i-assist.jp/data/china/image_1916th/81022245.pdf","81022245")</f>
        <v>81022245</v>
      </c>
      <c r="F738" s="9" t="s">
        <v>2081</v>
      </c>
      <c r="G738" s="12" t="s">
        <v>2058</v>
      </c>
      <c r="H738" s="9" t="s">
        <v>2082</v>
      </c>
      <c r="I738" s="10">
        <v>45555</v>
      </c>
    </row>
    <row r="739" spans="1:9" x14ac:dyDescent="0.15">
      <c r="A739" s="9">
        <v>738</v>
      </c>
      <c r="B739" s="9" t="s">
        <v>9</v>
      </c>
      <c r="C739" s="9">
        <v>1916</v>
      </c>
      <c r="D739" s="10">
        <v>45646</v>
      </c>
      <c r="E739" s="13" t="str">
        <f>+HYPERLINK("http://trademark.i-assist.jp/data/china/image_1916th/81023198.pdf","81023198")</f>
        <v>81023198</v>
      </c>
      <c r="F739" s="9" t="s">
        <v>2083</v>
      </c>
      <c r="G739" s="9" t="s">
        <v>1960</v>
      </c>
      <c r="H739" s="9" t="s">
        <v>2084</v>
      </c>
      <c r="I739" s="10">
        <v>45555</v>
      </c>
    </row>
    <row r="740" spans="1:9" x14ac:dyDescent="0.15">
      <c r="A740" s="9">
        <v>739</v>
      </c>
      <c r="B740" s="9" t="s">
        <v>9</v>
      </c>
      <c r="C740" s="9">
        <v>1916</v>
      </c>
      <c r="D740" s="10">
        <v>45646</v>
      </c>
      <c r="E740" s="13" t="str">
        <f>+HYPERLINK("http://trademark.i-assist.jp/data/china/image_1916th/81023369.pdf","81023369")</f>
        <v>81023369</v>
      </c>
      <c r="F740" s="9" t="s">
        <v>2085</v>
      </c>
      <c r="G740" s="12" t="s">
        <v>1992</v>
      </c>
      <c r="H740" s="9" t="s">
        <v>2086</v>
      </c>
      <c r="I740" s="10">
        <v>45555</v>
      </c>
    </row>
    <row r="741" spans="1:9" x14ac:dyDescent="0.15">
      <c r="A741" s="9">
        <v>740</v>
      </c>
      <c r="B741" s="9" t="s">
        <v>9</v>
      </c>
      <c r="C741" s="9">
        <v>1916</v>
      </c>
      <c r="D741" s="10">
        <v>45646</v>
      </c>
      <c r="E741" s="13" t="str">
        <f>+HYPERLINK("http://trademark.i-assist.jp/data/china/image_1916th/81023377.pdf","81023377")</f>
        <v>81023377</v>
      </c>
      <c r="F741" s="9" t="s">
        <v>2087</v>
      </c>
      <c r="G741" s="12" t="s">
        <v>1992</v>
      </c>
      <c r="H741" s="9" t="s">
        <v>2088</v>
      </c>
      <c r="I741" s="10">
        <v>45555</v>
      </c>
    </row>
    <row r="742" spans="1:9" x14ac:dyDescent="0.15">
      <c r="A742" s="9">
        <v>741</v>
      </c>
      <c r="B742" s="9" t="s">
        <v>9</v>
      </c>
      <c r="C742" s="9">
        <v>1916</v>
      </c>
      <c r="D742" s="10">
        <v>45646</v>
      </c>
      <c r="E742" s="13" t="str">
        <f>+HYPERLINK("http://trademark.i-assist.jp/data/china/image_1916th/81024095.pdf","81024095")</f>
        <v>81024095</v>
      </c>
      <c r="F742" s="9" t="s">
        <v>2089</v>
      </c>
      <c r="G742" s="9" t="s">
        <v>2090</v>
      </c>
      <c r="H742" s="9" t="s">
        <v>2091</v>
      </c>
      <c r="I742" s="10">
        <v>45555</v>
      </c>
    </row>
    <row r="743" spans="1:9" x14ac:dyDescent="0.15">
      <c r="A743" s="9">
        <v>742</v>
      </c>
      <c r="B743" s="9" t="s">
        <v>9</v>
      </c>
      <c r="C743" s="9">
        <v>1916</v>
      </c>
      <c r="D743" s="10">
        <v>45646</v>
      </c>
      <c r="E743" s="13" t="str">
        <f>+HYPERLINK("http://trademark.i-assist.jp/data/china/image_1916th/81024918.pdf","81024918")</f>
        <v>81024918</v>
      </c>
      <c r="F743" s="9" t="s">
        <v>2092</v>
      </c>
      <c r="G743" s="9" t="s">
        <v>2093</v>
      </c>
      <c r="H743" s="9" t="s">
        <v>2094</v>
      </c>
      <c r="I743" s="10">
        <v>45555</v>
      </c>
    </row>
    <row r="744" spans="1:9" x14ac:dyDescent="0.15">
      <c r="A744" s="9">
        <v>743</v>
      </c>
      <c r="B744" s="9" t="s">
        <v>9</v>
      </c>
      <c r="C744" s="9">
        <v>1916</v>
      </c>
      <c r="D744" s="10">
        <v>45646</v>
      </c>
      <c r="E744" s="13" t="str">
        <f>+HYPERLINK("http://trademark.i-assist.jp/data/china/image_1916th/81025272.pdf","81025272")</f>
        <v>81025272</v>
      </c>
      <c r="F744" s="12" t="s">
        <v>2095</v>
      </c>
      <c r="G744" s="9" t="s">
        <v>2096</v>
      </c>
      <c r="H744" s="9" t="s">
        <v>2097</v>
      </c>
      <c r="I744" s="10">
        <v>45555</v>
      </c>
    </row>
    <row r="745" spans="1:9" x14ac:dyDescent="0.15">
      <c r="A745" s="9">
        <v>744</v>
      </c>
      <c r="B745" s="9" t="s">
        <v>9</v>
      </c>
      <c r="C745" s="9">
        <v>1916</v>
      </c>
      <c r="D745" s="10">
        <v>45646</v>
      </c>
      <c r="E745" s="13" t="str">
        <f>+HYPERLINK("http://trademark.i-assist.jp/data/china/image_1916th/81025379.pdf","81025379")</f>
        <v>81025379</v>
      </c>
      <c r="F745" s="9" t="s">
        <v>2098</v>
      </c>
      <c r="G745" s="9" t="s">
        <v>2099</v>
      </c>
      <c r="H745" s="9" t="s">
        <v>2100</v>
      </c>
      <c r="I745" s="10">
        <v>45555</v>
      </c>
    </row>
    <row r="746" spans="1:9" x14ac:dyDescent="0.15">
      <c r="A746" s="9">
        <v>745</v>
      </c>
      <c r="B746" s="9" t="s">
        <v>9</v>
      </c>
      <c r="C746" s="9">
        <v>1916</v>
      </c>
      <c r="D746" s="10">
        <v>45646</v>
      </c>
      <c r="E746" s="13" t="str">
        <f>+HYPERLINK("http://trademark.i-assist.jp/data/china/image_1916th/81025475.pdf","81025475")</f>
        <v>81025475</v>
      </c>
      <c r="F746" s="9" t="s">
        <v>2101</v>
      </c>
      <c r="G746" s="9" t="s">
        <v>2102</v>
      </c>
      <c r="H746" s="9" t="s">
        <v>2103</v>
      </c>
      <c r="I746" s="10">
        <v>45555</v>
      </c>
    </row>
    <row r="747" spans="1:9" x14ac:dyDescent="0.15">
      <c r="A747" s="9">
        <v>746</v>
      </c>
      <c r="B747" s="9" t="s">
        <v>9</v>
      </c>
      <c r="C747" s="9">
        <v>1916</v>
      </c>
      <c r="D747" s="10">
        <v>45646</v>
      </c>
      <c r="E747" s="13" t="str">
        <f>+HYPERLINK("http://trademark.i-assist.jp/data/china/image_1916th/81025504.pdf","81025504")</f>
        <v>81025504</v>
      </c>
      <c r="F747" s="9" t="s">
        <v>2104</v>
      </c>
      <c r="G747" s="9" t="s">
        <v>2067</v>
      </c>
      <c r="H747" s="9" t="s">
        <v>2105</v>
      </c>
      <c r="I747" s="10">
        <v>45555</v>
      </c>
    </row>
    <row r="748" spans="1:9" x14ac:dyDescent="0.15">
      <c r="A748" s="9">
        <v>747</v>
      </c>
      <c r="B748" s="9" t="s">
        <v>9</v>
      </c>
      <c r="C748" s="9">
        <v>1916</v>
      </c>
      <c r="D748" s="10">
        <v>45646</v>
      </c>
      <c r="E748" s="13" t="str">
        <f>+HYPERLINK("http://trademark.i-assist.jp/data/china/image_1916th/81025549.pdf","81025549")</f>
        <v>81025549</v>
      </c>
      <c r="F748" s="9" t="s">
        <v>2106</v>
      </c>
      <c r="G748" s="9" t="s">
        <v>2107</v>
      </c>
      <c r="H748" s="9" t="s">
        <v>2108</v>
      </c>
      <c r="I748" s="10">
        <v>45555</v>
      </c>
    </row>
    <row r="749" spans="1:9" x14ac:dyDescent="0.15">
      <c r="A749" s="9">
        <v>748</v>
      </c>
      <c r="B749" s="9" t="s">
        <v>9</v>
      </c>
      <c r="C749" s="9">
        <v>1916</v>
      </c>
      <c r="D749" s="10">
        <v>45646</v>
      </c>
      <c r="E749" s="13" t="str">
        <f>+HYPERLINK("http://trademark.i-assist.jp/data/china/image_1916th/81025643.pdf","81025643")</f>
        <v>81025643</v>
      </c>
      <c r="F749" s="9" t="s">
        <v>2109</v>
      </c>
      <c r="G749" s="12" t="s">
        <v>1986</v>
      </c>
      <c r="H749" s="9" t="s">
        <v>2110</v>
      </c>
      <c r="I749" s="10">
        <v>45555</v>
      </c>
    </row>
    <row r="750" spans="1:9" x14ac:dyDescent="0.15">
      <c r="A750" s="9">
        <v>749</v>
      </c>
      <c r="B750" s="9" t="s">
        <v>9</v>
      </c>
      <c r="C750" s="9">
        <v>1916</v>
      </c>
      <c r="D750" s="10">
        <v>45646</v>
      </c>
      <c r="E750" s="13" t="str">
        <f>+HYPERLINK("http://trademark.i-assist.jp/data/china/image_1916th/81025652.pdf","81025652")</f>
        <v>81025652</v>
      </c>
      <c r="F750" s="9" t="s">
        <v>2111</v>
      </c>
      <c r="G750" s="12" t="s">
        <v>1986</v>
      </c>
      <c r="H750" s="9" t="s">
        <v>2112</v>
      </c>
      <c r="I750" s="10">
        <v>45555</v>
      </c>
    </row>
    <row r="751" spans="1:9" x14ac:dyDescent="0.15">
      <c r="A751" s="9">
        <v>750</v>
      </c>
      <c r="B751" s="9" t="s">
        <v>9</v>
      </c>
      <c r="C751" s="9">
        <v>1916</v>
      </c>
      <c r="D751" s="10">
        <v>45646</v>
      </c>
      <c r="E751" s="13" t="str">
        <f>+HYPERLINK("http://trademark.i-assist.jp/data/china/image_1916th/81026026.pdf","81026026")</f>
        <v>81026026</v>
      </c>
      <c r="F751" s="9" t="s">
        <v>2113</v>
      </c>
      <c r="G751" s="12" t="s">
        <v>2114</v>
      </c>
      <c r="H751" s="9" t="s">
        <v>2115</v>
      </c>
      <c r="I751" s="10">
        <v>45555</v>
      </c>
    </row>
    <row r="752" spans="1:9" x14ac:dyDescent="0.15">
      <c r="A752" s="9">
        <v>751</v>
      </c>
      <c r="B752" s="9" t="s">
        <v>9</v>
      </c>
      <c r="C752" s="9">
        <v>1916</v>
      </c>
      <c r="D752" s="10">
        <v>45646</v>
      </c>
      <c r="E752" s="13" t="str">
        <f>+HYPERLINK("http://trademark.i-assist.jp/data/china/image_1916th/81026060.pdf","81026060")</f>
        <v>81026060</v>
      </c>
      <c r="F752" s="9" t="s">
        <v>2116</v>
      </c>
      <c r="G752" s="12" t="s">
        <v>2114</v>
      </c>
      <c r="H752" s="9" t="s">
        <v>2117</v>
      </c>
      <c r="I752" s="10">
        <v>45555</v>
      </c>
    </row>
    <row r="753" spans="1:9" x14ac:dyDescent="0.15">
      <c r="A753" s="9">
        <v>752</v>
      </c>
      <c r="B753" s="9" t="s">
        <v>9</v>
      </c>
      <c r="C753" s="9">
        <v>1916</v>
      </c>
      <c r="D753" s="10">
        <v>45646</v>
      </c>
      <c r="E753" s="13" t="str">
        <f>+HYPERLINK("http://trademark.i-assist.jp/data/china/image_1916th/81026196.pdf","81026196")</f>
        <v>81026196</v>
      </c>
      <c r="F753" s="9" t="s">
        <v>2118</v>
      </c>
      <c r="G753" s="9" t="s">
        <v>2119</v>
      </c>
      <c r="H753" s="9" t="s">
        <v>2120</v>
      </c>
      <c r="I753" s="10">
        <v>45555</v>
      </c>
    </row>
    <row r="754" spans="1:9" x14ac:dyDescent="0.15">
      <c r="A754" s="9">
        <v>753</v>
      </c>
      <c r="B754" s="9" t="s">
        <v>9</v>
      </c>
      <c r="C754" s="9">
        <v>1916</v>
      </c>
      <c r="D754" s="10">
        <v>45646</v>
      </c>
      <c r="E754" s="13" t="str">
        <f>+HYPERLINK("http://trademark.i-assist.jp/data/china/image_1916th/81026466.pdf","81026466")</f>
        <v>81026466</v>
      </c>
      <c r="F754" s="9" t="s">
        <v>2121</v>
      </c>
      <c r="G754" s="9" t="s">
        <v>2122</v>
      </c>
      <c r="H754" s="9" t="s">
        <v>2123</v>
      </c>
      <c r="I754" s="10">
        <v>45555</v>
      </c>
    </row>
    <row r="755" spans="1:9" x14ac:dyDescent="0.15">
      <c r="A755" s="9">
        <v>754</v>
      </c>
      <c r="B755" s="9" t="s">
        <v>9</v>
      </c>
      <c r="C755" s="9">
        <v>1916</v>
      </c>
      <c r="D755" s="10">
        <v>45646</v>
      </c>
      <c r="E755" s="13" t="str">
        <f>+HYPERLINK("http://trademark.i-assist.jp/data/china/image_1916th/81026488.pdf","81026488")</f>
        <v>81026488</v>
      </c>
      <c r="F755" s="12" t="s">
        <v>2124</v>
      </c>
      <c r="G755" s="12" t="s">
        <v>2125</v>
      </c>
      <c r="H755" s="9" t="s">
        <v>2126</v>
      </c>
      <c r="I755" s="10">
        <v>45555</v>
      </c>
    </row>
    <row r="756" spans="1:9" x14ac:dyDescent="0.15">
      <c r="A756" s="9">
        <v>755</v>
      </c>
      <c r="B756" s="9" t="s">
        <v>9</v>
      </c>
      <c r="C756" s="9">
        <v>1916</v>
      </c>
      <c r="D756" s="10">
        <v>45646</v>
      </c>
      <c r="E756" s="13" t="str">
        <f>+HYPERLINK("http://trademark.i-assist.jp/data/china/image_1916th/81026573.pdf","81026573")</f>
        <v>81026573</v>
      </c>
      <c r="F756" s="12" t="s">
        <v>13</v>
      </c>
      <c r="G756" s="9" t="s">
        <v>2127</v>
      </c>
      <c r="H756" s="9" t="s">
        <v>2128</v>
      </c>
      <c r="I756" s="10">
        <v>45555</v>
      </c>
    </row>
    <row r="757" spans="1:9" x14ac:dyDescent="0.15">
      <c r="A757" s="9">
        <v>756</v>
      </c>
      <c r="B757" s="9" t="s">
        <v>9</v>
      </c>
      <c r="C757" s="9">
        <v>1916</v>
      </c>
      <c r="D757" s="10">
        <v>45646</v>
      </c>
      <c r="E757" s="13" t="str">
        <f>+HYPERLINK("http://trademark.i-assist.jp/data/china/image_1916th/81026713.pdf","81026713")</f>
        <v>81026713</v>
      </c>
      <c r="F757" s="9" t="s">
        <v>2129</v>
      </c>
      <c r="G757" s="12" t="s">
        <v>1986</v>
      </c>
      <c r="H757" s="9" t="s">
        <v>2130</v>
      </c>
      <c r="I757" s="10">
        <v>45555</v>
      </c>
    </row>
    <row r="758" spans="1:9" x14ac:dyDescent="0.15">
      <c r="A758" s="9">
        <v>757</v>
      </c>
      <c r="B758" s="9" t="s">
        <v>9</v>
      </c>
      <c r="C758" s="9">
        <v>1916</v>
      </c>
      <c r="D758" s="10">
        <v>45646</v>
      </c>
      <c r="E758" s="13" t="str">
        <f>+HYPERLINK("http://trademark.i-assist.jp/data/china/image_1916th/81027347.pdf","81027347")</f>
        <v>81027347</v>
      </c>
      <c r="F758" s="9" t="s">
        <v>2131</v>
      </c>
      <c r="G758" s="12" t="s">
        <v>1986</v>
      </c>
      <c r="H758" s="9" t="s">
        <v>2132</v>
      </c>
      <c r="I758" s="10">
        <v>45555</v>
      </c>
    </row>
    <row r="759" spans="1:9" x14ac:dyDescent="0.15">
      <c r="A759" s="9">
        <v>758</v>
      </c>
      <c r="B759" s="9" t="s">
        <v>9</v>
      </c>
      <c r="C759" s="9">
        <v>1916</v>
      </c>
      <c r="D759" s="10">
        <v>45646</v>
      </c>
      <c r="E759" s="13" t="str">
        <f>+HYPERLINK("http://trademark.i-assist.jp/data/china/image_1916th/81027519.pdf","81027519")</f>
        <v>81027519</v>
      </c>
      <c r="F759" s="9" t="s">
        <v>2133</v>
      </c>
      <c r="G759" s="9" t="s">
        <v>2134</v>
      </c>
      <c r="H759" s="9" t="s">
        <v>2135</v>
      </c>
      <c r="I759" s="10">
        <v>45555</v>
      </c>
    </row>
    <row r="760" spans="1:9" x14ac:dyDescent="0.15">
      <c r="A760" s="9">
        <v>759</v>
      </c>
      <c r="B760" s="9" t="s">
        <v>9</v>
      </c>
      <c r="C760" s="9">
        <v>1916</v>
      </c>
      <c r="D760" s="10">
        <v>45646</v>
      </c>
      <c r="E760" s="13" t="str">
        <f>+HYPERLINK("http://trademark.i-assist.jp/data/china/image_1916th/81027770.pdf","81027770")</f>
        <v>81027770</v>
      </c>
      <c r="F760" s="9" t="s">
        <v>2136</v>
      </c>
      <c r="G760" s="9" t="s">
        <v>2137</v>
      </c>
      <c r="H760" s="9" t="s">
        <v>2138</v>
      </c>
      <c r="I760" s="10">
        <v>45555</v>
      </c>
    </row>
    <row r="761" spans="1:9" x14ac:dyDescent="0.15">
      <c r="A761" s="9">
        <v>760</v>
      </c>
      <c r="B761" s="9" t="s">
        <v>9</v>
      </c>
      <c r="C761" s="9">
        <v>1916</v>
      </c>
      <c r="D761" s="10">
        <v>45646</v>
      </c>
      <c r="E761" s="13" t="str">
        <f>+HYPERLINK("http://trademark.i-assist.jp/data/china/image_1916th/81028140.pdf","81028140")</f>
        <v>81028140</v>
      </c>
      <c r="F761" s="12" t="s">
        <v>2139</v>
      </c>
      <c r="G761" s="12" t="s">
        <v>2140</v>
      </c>
      <c r="H761" s="9" t="s">
        <v>2141</v>
      </c>
      <c r="I761" s="10">
        <v>45555</v>
      </c>
    </row>
    <row r="762" spans="1:9" x14ac:dyDescent="0.15">
      <c r="A762" s="9">
        <v>761</v>
      </c>
      <c r="B762" s="9" t="s">
        <v>9</v>
      </c>
      <c r="C762" s="9">
        <v>1916</v>
      </c>
      <c r="D762" s="10">
        <v>45646</v>
      </c>
      <c r="E762" s="13" t="str">
        <f>+HYPERLINK("http://trademark.i-assist.jp/data/china/image_1916th/81028449.pdf","81028449")</f>
        <v>81028449</v>
      </c>
      <c r="F762" s="9" t="s">
        <v>2142</v>
      </c>
      <c r="G762" s="12" t="s">
        <v>2143</v>
      </c>
      <c r="H762" s="12" t="s">
        <v>2144</v>
      </c>
      <c r="I762" s="10">
        <v>45555</v>
      </c>
    </row>
    <row r="763" spans="1:9" x14ac:dyDescent="0.15">
      <c r="A763" s="9">
        <v>762</v>
      </c>
      <c r="B763" s="9" t="s">
        <v>9</v>
      </c>
      <c r="C763" s="9">
        <v>1916</v>
      </c>
      <c r="D763" s="10">
        <v>45646</v>
      </c>
      <c r="E763" s="13" t="str">
        <f>+HYPERLINK("http://trademark.i-assist.jp/data/china/image_1916th/81029779.pdf","81029779")</f>
        <v>81029779</v>
      </c>
      <c r="F763" s="12" t="s">
        <v>2145</v>
      </c>
      <c r="G763" s="9" t="s">
        <v>1960</v>
      </c>
      <c r="H763" s="9" t="s">
        <v>2146</v>
      </c>
      <c r="I763" s="10">
        <v>45555</v>
      </c>
    </row>
    <row r="764" spans="1:9" x14ac:dyDescent="0.15">
      <c r="A764" s="9">
        <v>763</v>
      </c>
      <c r="B764" s="9" t="s">
        <v>9</v>
      </c>
      <c r="C764" s="9">
        <v>1916</v>
      </c>
      <c r="D764" s="10">
        <v>45646</v>
      </c>
      <c r="E764" s="13" t="str">
        <f>+HYPERLINK("http://trademark.i-assist.jp/data/china/image_1916th/81030299.pdf","81030299")</f>
        <v>81030299</v>
      </c>
      <c r="F764" s="9" t="s">
        <v>2147</v>
      </c>
      <c r="G764" s="12" t="s">
        <v>2148</v>
      </c>
      <c r="H764" s="9" t="s">
        <v>2149</v>
      </c>
      <c r="I764" s="10">
        <v>45555</v>
      </c>
    </row>
    <row r="765" spans="1:9" x14ac:dyDescent="0.15">
      <c r="A765" s="9">
        <v>764</v>
      </c>
      <c r="B765" s="9" t="s">
        <v>9</v>
      </c>
      <c r="C765" s="9">
        <v>1916</v>
      </c>
      <c r="D765" s="10">
        <v>45646</v>
      </c>
      <c r="E765" s="13" t="str">
        <f>+HYPERLINK("http://trademark.i-assist.jp/data/china/image_1916th/81030489.pdf","81030489")</f>
        <v>81030489</v>
      </c>
      <c r="F765" s="9" t="s">
        <v>2150</v>
      </c>
      <c r="G765" s="12" t="s">
        <v>2151</v>
      </c>
      <c r="H765" s="9" t="s">
        <v>2152</v>
      </c>
      <c r="I765" s="10">
        <v>45555</v>
      </c>
    </row>
    <row r="766" spans="1:9" x14ac:dyDescent="0.15">
      <c r="A766" s="9">
        <v>765</v>
      </c>
      <c r="B766" s="9" t="s">
        <v>9</v>
      </c>
      <c r="C766" s="9">
        <v>1916</v>
      </c>
      <c r="D766" s="10">
        <v>45646</v>
      </c>
      <c r="E766" s="13" t="str">
        <f>+HYPERLINK("http://trademark.i-assist.jp/data/china/image_1916th/81030493.pdf","81030493")</f>
        <v>81030493</v>
      </c>
      <c r="F766" s="9" t="s">
        <v>2153</v>
      </c>
      <c r="G766" s="12" t="s">
        <v>2154</v>
      </c>
      <c r="H766" s="9" t="s">
        <v>2155</v>
      </c>
      <c r="I766" s="10">
        <v>45555</v>
      </c>
    </row>
    <row r="767" spans="1:9" x14ac:dyDescent="0.15">
      <c r="A767" s="9">
        <v>766</v>
      </c>
      <c r="B767" s="9" t="s">
        <v>9</v>
      </c>
      <c r="C767" s="9">
        <v>1916</v>
      </c>
      <c r="D767" s="10">
        <v>45646</v>
      </c>
      <c r="E767" s="13" t="str">
        <f>+HYPERLINK("http://trademark.i-assist.jp/data/china/image_1916th/81030603.pdf","81030603")</f>
        <v>81030603</v>
      </c>
      <c r="F767" s="9" t="s">
        <v>2156</v>
      </c>
      <c r="G767" s="9" t="s">
        <v>1965</v>
      </c>
      <c r="H767" s="12" t="s">
        <v>2157</v>
      </c>
      <c r="I767" s="10">
        <v>45555</v>
      </c>
    </row>
    <row r="768" spans="1:9" x14ac:dyDescent="0.15">
      <c r="A768" s="9">
        <v>767</v>
      </c>
      <c r="B768" s="9" t="s">
        <v>9</v>
      </c>
      <c r="C768" s="9">
        <v>1916</v>
      </c>
      <c r="D768" s="10">
        <v>45646</v>
      </c>
      <c r="E768" s="13" t="str">
        <f>+HYPERLINK("http://trademark.i-assist.jp/data/china/image_1916th/81030653.pdf","81030653")</f>
        <v>81030653</v>
      </c>
      <c r="F768" s="9" t="s">
        <v>2158</v>
      </c>
      <c r="G768" s="9" t="s">
        <v>2159</v>
      </c>
      <c r="H768" s="9" t="s">
        <v>2160</v>
      </c>
      <c r="I768" s="10">
        <v>45555</v>
      </c>
    </row>
    <row r="769" spans="1:9" x14ac:dyDescent="0.15">
      <c r="A769" s="9">
        <v>768</v>
      </c>
      <c r="B769" s="9" t="s">
        <v>9</v>
      </c>
      <c r="C769" s="9">
        <v>1916</v>
      </c>
      <c r="D769" s="10">
        <v>45646</v>
      </c>
      <c r="E769" s="13" t="str">
        <f>+HYPERLINK("http://trademark.i-assist.jp/data/china/image_1916th/81031604.pdf","81031604")</f>
        <v>81031604</v>
      </c>
      <c r="F769" s="9" t="s">
        <v>2161</v>
      </c>
      <c r="G769" s="12" t="s">
        <v>2162</v>
      </c>
      <c r="H769" s="12" t="s">
        <v>2163</v>
      </c>
      <c r="I769" s="10">
        <v>45555</v>
      </c>
    </row>
    <row r="770" spans="1:9" x14ac:dyDescent="0.15">
      <c r="A770" s="9">
        <v>769</v>
      </c>
      <c r="B770" s="9" t="s">
        <v>9</v>
      </c>
      <c r="C770" s="9">
        <v>1916</v>
      </c>
      <c r="D770" s="10">
        <v>45646</v>
      </c>
      <c r="E770" s="13" t="str">
        <f>+HYPERLINK("http://trademark.i-assist.jp/data/china/image_1916th/81031760.pdf","81031760")</f>
        <v>81031760</v>
      </c>
      <c r="F770" s="9" t="s">
        <v>2164</v>
      </c>
      <c r="G770" s="12" t="s">
        <v>2165</v>
      </c>
      <c r="H770" s="9" t="s">
        <v>2166</v>
      </c>
      <c r="I770" s="10">
        <v>45555</v>
      </c>
    </row>
    <row r="771" spans="1:9" x14ac:dyDescent="0.15">
      <c r="A771" s="9">
        <v>770</v>
      </c>
      <c r="B771" s="9" t="s">
        <v>9</v>
      </c>
      <c r="C771" s="9">
        <v>1916</v>
      </c>
      <c r="D771" s="10">
        <v>45646</v>
      </c>
      <c r="E771" s="13" t="str">
        <f>+HYPERLINK("http://trademark.i-assist.jp/data/china/image_1916th/81031808.pdf","81031808")</f>
        <v>81031808</v>
      </c>
      <c r="F771" s="9" t="s">
        <v>2167</v>
      </c>
      <c r="G771" s="12" t="s">
        <v>1986</v>
      </c>
      <c r="H771" s="9" t="s">
        <v>2168</v>
      </c>
      <c r="I771" s="10">
        <v>45555</v>
      </c>
    </row>
    <row r="772" spans="1:9" x14ac:dyDescent="0.15">
      <c r="A772" s="9">
        <v>771</v>
      </c>
      <c r="B772" s="9" t="s">
        <v>9</v>
      </c>
      <c r="C772" s="9">
        <v>1916</v>
      </c>
      <c r="D772" s="10">
        <v>45646</v>
      </c>
      <c r="E772" s="13" t="str">
        <f>+HYPERLINK("http://trademark.i-assist.jp/data/china/image_1916th/81031844.pdf","81031844")</f>
        <v>81031844</v>
      </c>
      <c r="F772" s="9" t="s">
        <v>2169</v>
      </c>
      <c r="G772" s="12" t="s">
        <v>2143</v>
      </c>
      <c r="H772" s="9" t="s">
        <v>2170</v>
      </c>
      <c r="I772" s="10">
        <v>45555</v>
      </c>
    </row>
    <row r="773" spans="1:9" x14ac:dyDescent="0.15">
      <c r="A773" s="9">
        <v>772</v>
      </c>
      <c r="B773" s="9" t="s">
        <v>9</v>
      </c>
      <c r="C773" s="9">
        <v>1916</v>
      </c>
      <c r="D773" s="10">
        <v>45646</v>
      </c>
      <c r="E773" s="13" t="str">
        <f>+HYPERLINK("http://trademark.i-assist.jp/data/china/image_1916th/81032202.pdf","81032202")</f>
        <v>81032202</v>
      </c>
      <c r="F773" s="12" t="s">
        <v>2171</v>
      </c>
      <c r="G773" s="9" t="s">
        <v>2172</v>
      </c>
      <c r="H773" s="12" t="s">
        <v>2173</v>
      </c>
      <c r="I773" s="10">
        <v>45556</v>
      </c>
    </row>
    <row r="774" spans="1:9" x14ac:dyDescent="0.15">
      <c r="A774" s="9">
        <v>773</v>
      </c>
      <c r="B774" s="9" t="s">
        <v>9</v>
      </c>
      <c r="C774" s="9">
        <v>1916</v>
      </c>
      <c r="D774" s="10">
        <v>45646</v>
      </c>
      <c r="E774" s="13" t="str">
        <f>+HYPERLINK("http://trademark.i-assist.jp/data/china/image_1916th/81032770.pdf","81032770")</f>
        <v>81032770</v>
      </c>
      <c r="F774" s="9" t="s">
        <v>2174</v>
      </c>
      <c r="G774" s="9" t="s">
        <v>2175</v>
      </c>
      <c r="H774" s="9" t="s">
        <v>2176</v>
      </c>
      <c r="I774" s="10">
        <v>45556</v>
      </c>
    </row>
    <row r="775" spans="1:9" x14ac:dyDescent="0.15">
      <c r="A775" s="9">
        <v>774</v>
      </c>
      <c r="B775" s="9" t="s">
        <v>9</v>
      </c>
      <c r="C775" s="9">
        <v>1916</v>
      </c>
      <c r="D775" s="10">
        <v>45646</v>
      </c>
      <c r="E775" s="13" t="str">
        <f>+HYPERLINK("http://trademark.i-assist.jp/data/china/image_1916th/81033236.pdf","81033236")</f>
        <v>81033236</v>
      </c>
      <c r="F775" s="9" t="s">
        <v>2177</v>
      </c>
      <c r="G775" s="9" t="s">
        <v>2178</v>
      </c>
      <c r="H775" s="9" t="s">
        <v>2179</v>
      </c>
      <c r="I775" s="10">
        <v>45556</v>
      </c>
    </row>
    <row r="776" spans="1:9" x14ac:dyDescent="0.15">
      <c r="A776" s="9">
        <v>775</v>
      </c>
      <c r="B776" s="9" t="s">
        <v>9</v>
      </c>
      <c r="C776" s="9">
        <v>1916</v>
      </c>
      <c r="D776" s="10">
        <v>45646</v>
      </c>
      <c r="E776" s="13" t="str">
        <f>+HYPERLINK("http://trademark.i-assist.jp/data/china/image_1916th/81034100.pdf","81034100")</f>
        <v>81034100</v>
      </c>
      <c r="F776" s="9" t="s">
        <v>2180</v>
      </c>
      <c r="G776" s="9" t="s">
        <v>2181</v>
      </c>
      <c r="H776" s="9" t="s">
        <v>2182</v>
      </c>
      <c r="I776" s="10">
        <v>45556</v>
      </c>
    </row>
    <row r="777" spans="1:9" x14ac:dyDescent="0.15">
      <c r="A777" s="9">
        <v>776</v>
      </c>
      <c r="B777" s="9" t="s">
        <v>9</v>
      </c>
      <c r="C777" s="9">
        <v>1916</v>
      </c>
      <c r="D777" s="10">
        <v>45646</v>
      </c>
      <c r="E777" s="13" t="str">
        <f>+HYPERLINK("http://trademark.i-assist.jp/data/china/image_1916th/81034718.pdf","81034718")</f>
        <v>81034718</v>
      </c>
      <c r="F777" s="9" t="s">
        <v>2183</v>
      </c>
      <c r="G777" s="9" t="s">
        <v>2184</v>
      </c>
      <c r="H777" s="9" t="s">
        <v>2185</v>
      </c>
      <c r="I777" s="10">
        <v>45556</v>
      </c>
    </row>
    <row r="778" spans="1:9" x14ac:dyDescent="0.15">
      <c r="A778" s="9">
        <v>777</v>
      </c>
      <c r="B778" s="9" t="s">
        <v>9</v>
      </c>
      <c r="C778" s="9">
        <v>1916</v>
      </c>
      <c r="D778" s="10">
        <v>45646</v>
      </c>
      <c r="E778" s="13" t="str">
        <f>+HYPERLINK("http://trademark.i-assist.jp/data/china/image_1916th/81034852.pdf","81034852")</f>
        <v>81034852</v>
      </c>
      <c r="F778" s="12" t="s">
        <v>13</v>
      </c>
      <c r="G778" s="9" t="s">
        <v>2186</v>
      </c>
      <c r="H778" s="9" t="s">
        <v>2187</v>
      </c>
      <c r="I778" s="10">
        <v>45556</v>
      </c>
    </row>
    <row r="779" spans="1:9" x14ac:dyDescent="0.15">
      <c r="A779" s="9">
        <v>778</v>
      </c>
      <c r="B779" s="9" t="s">
        <v>9</v>
      </c>
      <c r="C779" s="9">
        <v>1916</v>
      </c>
      <c r="D779" s="10">
        <v>45646</v>
      </c>
      <c r="E779" s="13" t="str">
        <f>+HYPERLINK("http://trademark.i-assist.jp/data/china/image_1916th/81035029.pdf","81035029")</f>
        <v>81035029</v>
      </c>
      <c r="F779" s="9" t="s">
        <v>2188</v>
      </c>
      <c r="G779" s="9" t="s">
        <v>2189</v>
      </c>
      <c r="H779" s="9" t="s">
        <v>2190</v>
      </c>
      <c r="I779" s="10">
        <v>45556</v>
      </c>
    </row>
    <row r="780" spans="1:9" x14ac:dyDescent="0.15">
      <c r="A780" s="9">
        <v>779</v>
      </c>
      <c r="B780" s="9" t="s">
        <v>9</v>
      </c>
      <c r="C780" s="9">
        <v>1916</v>
      </c>
      <c r="D780" s="10">
        <v>45646</v>
      </c>
      <c r="E780" s="13" t="str">
        <f>+HYPERLINK("http://trademark.i-assist.jp/data/china/image_1916th/81035031.pdf","81035031")</f>
        <v>81035031</v>
      </c>
      <c r="F780" s="9" t="s">
        <v>2191</v>
      </c>
      <c r="G780" s="9" t="s">
        <v>2192</v>
      </c>
      <c r="H780" s="9" t="s">
        <v>2193</v>
      </c>
      <c r="I780" s="10">
        <v>45556</v>
      </c>
    </row>
    <row r="781" spans="1:9" x14ac:dyDescent="0.15">
      <c r="A781" s="9">
        <v>780</v>
      </c>
      <c r="B781" s="9" t="s">
        <v>9</v>
      </c>
      <c r="C781" s="9">
        <v>1916</v>
      </c>
      <c r="D781" s="10">
        <v>45646</v>
      </c>
      <c r="E781" s="13" t="str">
        <f>+HYPERLINK("http://trademark.i-assist.jp/data/china/image_1916th/81035617.pdf","81035617")</f>
        <v>81035617</v>
      </c>
      <c r="F781" s="9" t="s">
        <v>2194</v>
      </c>
      <c r="G781" s="12" t="s">
        <v>2195</v>
      </c>
      <c r="H781" s="9" t="s">
        <v>2196</v>
      </c>
      <c r="I781" s="10">
        <v>45556</v>
      </c>
    </row>
    <row r="782" spans="1:9" x14ac:dyDescent="0.15">
      <c r="A782" s="9">
        <v>781</v>
      </c>
      <c r="B782" s="9" t="s">
        <v>9</v>
      </c>
      <c r="C782" s="9">
        <v>1916</v>
      </c>
      <c r="D782" s="10">
        <v>45646</v>
      </c>
      <c r="E782" s="13" t="str">
        <f>+HYPERLINK("http://trademark.i-assist.jp/data/china/image_1916th/81035629.pdf","81035629")</f>
        <v>81035629</v>
      </c>
      <c r="F782" s="9" t="s">
        <v>2197</v>
      </c>
      <c r="G782" s="9" t="s">
        <v>2198</v>
      </c>
      <c r="H782" s="9" t="s">
        <v>2199</v>
      </c>
      <c r="I782" s="10">
        <v>45556</v>
      </c>
    </row>
    <row r="783" spans="1:9" x14ac:dyDescent="0.15">
      <c r="A783" s="9">
        <v>782</v>
      </c>
      <c r="B783" s="9" t="s">
        <v>9</v>
      </c>
      <c r="C783" s="9">
        <v>1916</v>
      </c>
      <c r="D783" s="10">
        <v>45646</v>
      </c>
      <c r="E783" s="13" t="str">
        <f>+HYPERLINK("http://trademark.i-assist.jp/data/china/image_1916th/81036535.pdf","81036535")</f>
        <v>81036535</v>
      </c>
      <c r="F783" s="9" t="s">
        <v>2200</v>
      </c>
      <c r="G783" s="9" t="s">
        <v>2201</v>
      </c>
      <c r="H783" s="9" t="s">
        <v>2202</v>
      </c>
      <c r="I783" s="10">
        <v>45556</v>
      </c>
    </row>
    <row r="784" spans="1:9" x14ac:dyDescent="0.15">
      <c r="A784" s="9">
        <v>783</v>
      </c>
      <c r="B784" s="9" t="s">
        <v>9</v>
      </c>
      <c r="C784" s="9">
        <v>1916</v>
      </c>
      <c r="D784" s="10">
        <v>45646</v>
      </c>
      <c r="E784" s="13" t="str">
        <f>+HYPERLINK("http://trademark.i-assist.jp/data/china/image_1916th/81036879.pdf","81036879")</f>
        <v>81036879</v>
      </c>
      <c r="F784" s="11" t="s">
        <v>2203</v>
      </c>
      <c r="G784" s="9" t="s">
        <v>2204</v>
      </c>
      <c r="H784" s="9" t="s">
        <v>2205</v>
      </c>
      <c r="I784" s="10">
        <v>45556</v>
      </c>
    </row>
    <row r="785" spans="1:9" x14ac:dyDescent="0.15">
      <c r="A785" s="9">
        <v>784</v>
      </c>
      <c r="B785" s="9" t="s">
        <v>9</v>
      </c>
      <c r="C785" s="9">
        <v>1916</v>
      </c>
      <c r="D785" s="10">
        <v>45646</v>
      </c>
      <c r="E785" s="13" t="str">
        <f>+HYPERLINK("http://trademark.i-assist.jp/data/china/image_1916th/81037761.pdf","81037761")</f>
        <v>81037761</v>
      </c>
      <c r="F785" s="9" t="s">
        <v>2206</v>
      </c>
      <c r="G785" s="9" t="s">
        <v>2207</v>
      </c>
      <c r="H785" s="9" t="s">
        <v>2208</v>
      </c>
      <c r="I785" s="10">
        <v>45556</v>
      </c>
    </row>
    <row r="786" spans="1:9" x14ac:dyDescent="0.15">
      <c r="A786" s="9">
        <v>785</v>
      </c>
      <c r="B786" s="9" t="s">
        <v>9</v>
      </c>
      <c r="C786" s="9">
        <v>1916</v>
      </c>
      <c r="D786" s="10">
        <v>45646</v>
      </c>
      <c r="E786" s="13" t="str">
        <f>+HYPERLINK("http://trademark.i-assist.jp/data/china/image_1916th/81037794.pdf","81037794")</f>
        <v>81037794</v>
      </c>
      <c r="F786" s="9" t="s">
        <v>2209</v>
      </c>
      <c r="G786" s="9" t="s">
        <v>2210</v>
      </c>
      <c r="H786" s="9" t="s">
        <v>2211</v>
      </c>
      <c r="I786" s="10">
        <v>45556</v>
      </c>
    </row>
    <row r="787" spans="1:9" x14ac:dyDescent="0.15">
      <c r="A787" s="9">
        <v>786</v>
      </c>
      <c r="B787" s="9" t="s">
        <v>9</v>
      </c>
      <c r="C787" s="9">
        <v>1916</v>
      </c>
      <c r="D787" s="10">
        <v>45646</v>
      </c>
      <c r="E787" s="13" t="str">
        <f>+HYPERLINK("http://trademark.i-assist.jp/data/china/image_1916th/81038275.pdf","81038275")</f>
        <v>81038275</v>
      </c>
      <c r="F787" s="9" t="s">
        <v>2212</v>
      </c>
      <c r="G787" s="9" t="s">
        <v>2213</v>
      </c>
      <c r="H787" s="9" t="s">
        <v>2214</v>
      </c>
      <c r="I787" s="10">
        <v>45556</v>
      </c>
    </row>
    <row r="788" spans="1:9" x14ac:dyDescent="0.15">
      <c r="A788" s="9">
        <v>787</v>
      </c>
      <c r="B788" s="9" t="s">
        <v>9</v>
      </c>
      <c r="C788" s="9">
        <v>1916</v>
      </c>
      <c r="D788" s="10">
        <v>45646</v>
      </c>
      <c r="E788" s="13" t="str">
        <f>+HYPERLINK("http://trademark.i-assist.jp/data/china/image_1916th/81038740.pdf","81038740")</f>
        <v>81038740</v>
      </c>
      <c r="F788" s="12" t="s">
        <v>2215</v>
      </c>
      <c r="G788" s="9" t="s">
        <v>2216</v>
      </c>
      <c r="H788" s="9" t="s">
        <v>2217</v>
      </c>
      <c r="I788" s="10">
        <v>45556</v>
      </c>
    </row>
    <row r="789" spans="1:9" x14ac:dyDescent="0.15">
      <c r="A789" s="9">
        <v>788</v>
      </c>
      <c r="B789" s="9" t="s">
        <v>9</v>
      </c>
      <c r="C789" s="9">
        <v>1916</v>
      </c>
      <c r="D789" s="10">
        <v>45646</v>
      </c>
      <c r="E789" s="13" t="str">
        <f>+HYPERLINK("http://trademark.i-assist.jp/data/china/image_1916th/81038820.pdf","81038820")</f>
        <v>81038820</v>
      </c>
      <c r="F789" s="9" t="s">
        <v>2218</v>
      </c>
      <c r="G789" s="12" t="s">
        <v>2219</v>
      </c>
      <c r="H789" s="9" t="s">
        <v>2220</v>
      </c>
      <c r="I789" s="10">
        <v>45556</v>
      </c>
    </row>
    <row r="790" spans="1:9" x14ac:dyDescent="0.15">
      <c r="A790" s="9">
        <v>789</v>
      </c>
      <c r="B790" s="9" t="s">
        <v>9</v>
      </c>
      <c r="C790" s="9">
        <v>1916</v>
      </c>
      <c r="D790" s="10">
        <v>45646</v>
      </c>
      <c r="E790" s="13" t="str">
        <f>+HYPERLINK("http://trademark.i-assist.jp/data/china/image_1916th/81038957.pdf","81038957")</f>
        <v>81038957</v>
      </c>
      <c r="F790" s="9" t="s">
        <v>2221</v>
      </c>
      <c r="G790" s="9" t="s">
        <v>2222</v>
      </c>
      <c r="H790" s="9" t="s">
        <v>2223</v>
      </c>
      <c r="I790" s="10">
        <v>45556</v>
      </c>
    </row>
    <row r="791" spans="1:9" x14ac:dyDescent="0.15">
      <c r="A791" s="9">
        <v>790</v>
      </c>
      <c r="B791" s="9" t="s">
        <v>9</v>
      </c>
      <c r="C791" s="9">
        <v>1916</v>
      </c>
      <c r="D791" s="10">
        <v>45646</v>
      </c>
      <c r="E791" s="13" t="str">
        <f>+HYPERLINK("http://trademark.i-assist.jp/data/china/image_1916th/81039563.pdf","81039563")</f>
        <v>81039563</v>
      </c>
      <c r="F791" s="12" t="s">
        <v>2224</v>
      </c>
      <c r="G791" s="9" t="s">
        <v>2225</v>
      </c>
      <c r="H791" s="9" t="s">
        <v>2226</v>
      </c>
      <c r="I791" s="10">
        <v>45557</v>
      </c>
    </row>
    <row r="792" spans="1:9" x14ac:dyDescent="0.15">
      <c r="A792" s="9">
        <v>791</v>
      </c>
      <c r="B792" s="9" t="s">
        <v>9</v>
      </c>
      <c r="C792" s="9">
        <v>1916</v>
      </c>
      <c r="D792" s="10">
        <v>45646</v>
      </c>
      <c r="E792" s="13" t="str">
        <f>+HYPERLINK("http://trademark.i-assist.jp/data/china/image_1916th/81039853.pdf","81039853")</f>
        <v>81039853</v>
      </c>
      <c r="F792" s="9" t="s">
        <v>2227</v>
      </c>
      <c r="G792" s="12" t="s">
        <v>2228</v>
      </c>
      <c r="H792" s="9" t="s">
        <v>2229</v>
      </c>
      <c r="I792" s="10">
        <v>45557</v>
      </c>
    </row>
    <row r="793" spans="1:9" x14ac:dyDescent="0.15">
      <c r="A793" s="9">
        <v>792</v>
      </c>
      <c r="B793" s="9" t="s">
        <v>9</v>
      </c>
      <c r="C793" s="9">
        <v>1916</v>
      </c>
      <c r="D793" s="10">
        <v>45646</v>
      </c>
      <c r="E793" s="13" t="str">
        <f>+HYPERLINK("http://trademark.i-assist.jp/data/china/image_1916th/81040075.pdf","81040075")</f>
        <v>81040075</v>
      </c>
      <c r="F793" s="9" t="s">
        <v>2230</v>
      </c>
      <c r="G793" s="9" t="s">
        <v>2225</v>
      </c>
      <c r="H793" s="12" t="s">
        <v>2231</v>
      </c>
      <c r="I793" s="10">
        <v>45557</v>
      </c>
    </row>
    <row r="794" spans="1:9" x14ac:dyDescent="0.15">
      <c r="A794" s="9">
        <v>793</v>
      </c>
      <c r="B794" s="9" t="s">
        <v>9</v>
      </c>
      <c r="C794" s="9">
        <v>1916</v>
      </c>
      <c r="D794" s="10">
        <v>45646</v>
      </c>
      <c r="E794" s="13" t="str">
        <f>+HYPERLINK("http://trademark.i-assist.jp/data/china/image_1916th/81040101.pdf","81040101")</f>
        <v>81040101</v>
      </c>
      <c r="F794" s="9" t="s">
        <v>2232</v>
      </c>
      <c r="G794" s="9" t="s">
        <v>2233</v>
      </c>
      <c r="H794" s="9" t="s">
        <v>2234</v>
      </c>
      <c r="I794" s="10">
        <v>45557</v>
      </c>
    </row>
    <row r="795" spans="1:9" x14ac:dyDescent="0.15">
      <c r="A795" s="9">
        <v>794</v>
      </c>
      <c r="B795" s="9" t="s">
        <v>9</v>
      </c>
      <c r="C795" s="9">
        <v>1916</v>
      </c>
      <c r="D795" s="10">
        <v>45646</v>
      </c>
      <c r="E795" s="13" t="str">
        <f>+HYPERLINK("http://trademark.i-assist.jp/data/china/image_1916th/81040352.pdf","81040352")</f>
        <v>81040352</v>
      </c>
      <c r="F795" s="9" t="s">
        <v>2235</v>
      </c>
      <c r="G795" s="9" t="s">
        <v>2236</v>
      </c>
      <c r="H795" s="9" t="s">
        <v>2237</v>
      </c>
      <c r="I795" s="10">
        <v>45557</v>
      </c>
    </row>
    <row r="796" spans="1:9" x14ac:dyDescent="0.15">
      <c r="A796" s="9">
        <v>795</v>
      </c>
      <c r="B796" s="9" t="s">
        <v>9</v>
      </c>
      <c r="C796" s="9">
        <v>1916</v>
      </c>
      <c r="D796" s="10">
        <v>45646</v>
      </c>
      <c r="E796" s="13" t="str">
        <f>+HYPERLINK("http://trademark.i-assist.jp/data/china/image_1916th/81040394.pdf","81040394")</f>
        <v>81040394</v>
      </c>
      <c r="F796" s="12" t="s">
        <v>2238</v>
      </c>
      <c r="G796" s="9" t="s">
        <v>2239</v>
      </c>
      <c r="H796" s="9" t="s">
        <v>2240</v>
      </c>
      <c r="I796" s="10">
        <v>45557</v>
      </c>
    </row>
    <row r="797" spans="1:9" x14ac:dyDescent="0.15">
      <c r="A797" s="9">
        <v>796</v>
      </c>
      <c r="B797" s="9" t="s">
        <v>9</v>
      </c>
      <c r="C797" s="9">
        <v>1916</v>
      </c>
      <c r="D797" s="10">
        <v>45646</v>
      </c>
      <c r="E797" s="13" t="str">
        <f>+HYPERLINK("http://trademark.i-assist.jp/data/china/image_1916th/81040890.pdf","81040890")</f>
        <v>81040890</v>
      </c>
      <c r="F797" s="9" t="s">
        <v>2241</v>
      </c>
      <c r="G797" s="9" t="s">
        <v>2242</v>
      </c>
      <c r="H797" s="9" t="s">
        <v>2243</v>
      </c>
      <c r="I797" s="10">
        <v>45557</v>
      </c>
    </row>
    <row r="798" spans="1:9" x14ac:dyDescent="0.15">
      <c r="A798" s="9">
        <v>797</v>
      </c>
      <c r="B798" s="9" t="s">
        <v>9</v>
      </c>
      <c r="C798" s="9">
        <v>1916</v>
      </c>
      <c r="D798" s="10">
        <v>45646</v>
      </c>
      <c r="E798" s="13" t="str">
        <f>+HYPERLINK("http://trademark.i-assist.jp/data/china/image_1916th/81040964.pdf","81040964")</f>
        <v>81040964</v>
      </c>
      <c r="F798" s="9" t="s">
        <v>2244</v>
      </c>
      <c r="G798" s="12" t="s">
        <v>2245</v>
      </c>
      <c r="H798" s="9" t="s">
        <v>2246</v>
      </c>
      <c r="I798" s="10">
        <v>45557</v>
      </c>
    </row>
    <row r="799" spans="1:9" x14ac:dyDescent="0.15">
      <c r="A799" s="9">
        <v>798</v>
      </c>
      <c r="B799" s="9" t="s">
        <v>9</v>
      </c>
      <c r="C799" s="9">
        <v>1916</v>
      </c>
      <c r="D799" s="10">
        <v>45646</v>
      </c>
      <c r="E799" s="13" t="str">
        <f>+HYPERLINK("http://trademark.i-assist.jp/data/china/image_1916th/81041212.pdf","81041212")</f>
        <v>81041212</v>
      </c>
      <c r="F799" s="9" t="s">
        <v>2247</v>
      </c>
      <c r="G799" s="9" t="s">
        <v>2248</v>
      </c>
      <c r="H799" s="9" t="s">
        <v>2249</v>
      </c>
      <c r="I799" s="10">
        <v>45557</v>
      </c>
    </row>
    <row r="800" spans="1:9" x14ac:dyDescent="0.15">
      <c r="A800" s="9">
        <v>799</v>
      </c>
      <c r="B800" s="9" t="s">
        <v>9</v>
      </c>
      <c r="C800" s="9">
        <v>1916</v>
      </c>
      <c r="D800" s="10">
        <v>45646</v>
      </c>
      <c r="E800" s="13" t="str">
        <f>+HYPERLINK("http://trademark.i-assist.jp/data/china/image_1916th/81041416.pdf","81041416")</f>
        <v>81041416</v>
      </c>
      <c r="F800" s="9" t="s">
        <v>2250</v>
      </c>
      <c r="G800" s="9" t="s">
        <v>2198</v>
      </c>
      <c r="H800" s="9" t="s">
        <v>2251</v>
      </c>
      <c r="I800" s="10">
        <v>45557</v>
      </c>
    </row>
    <row r="801" spans="1:9" x14ac:dyDescent="0.15">
      <c r="A801" s="9">
        <v>800</v>
      </c>
      <c r="B801" s="9" t="s">
        <v>9</v>
      </c>
      <c r="C801" s="9">
        <v>1916</v>
      </c>
      <c r="D801" s="10">
        <v>45646</v>
      </c>
      <c r="E801" s="13" t="str">
        <f>+HYPERLINK("http://trademark.i-assist.jp/data/china/image_1916th/81041477.pdf","81041477")</f>
        <v>81041477</v>
      </c>
      <c r="F801" s="9" t="s">
        <v>2252</v>
      </c>
      <c r="G801" s="9" t="s">
        <v>2253</v>
      </c>
      <c r="H801" s="12" t="s">
        <v>2254</v>
      </c>
      <c r="I801" s="10">
        <v>45557</v>
      </c>
    </row>
    <row r="802" spans="1:9" x14ac:dyDescent="0.15">
      <c r="A802" s="9">
        <v>801</v>
      </c>
      <c r="B802" s="9" t="s">
        <v>9</v>
      </c>
      <c r="C802" s="9">
        <v>1916</v>
      </c>
      <c r="D802" s="10">
        <v>45646</v>
      </c>
      <c r="E802" s="13" t="str">
        <f>+HYPERLINK("http://trademark.i-assist.jp/data/china/image_1916th/81041486.pdf","81041486")</f>
        <v>81041486</v>
      </c>
      <c r="F802" s="9" t="s">
        <v>2255</v>
      </c>
      <c r="G802" s="9" t="s">
        <v>2256</v>
      </c>
      <c r="H802" s="9" t="s">
        <v>2257</v>
      </c>
      <c r="I802" s="10">
        <v>45557</v>
      </c>
    </row>
    <row r="803" spans="1:9" x14ac:dyDescent="0.15">
      <c r="A803" s="9">
        <v>802</v>
      </c>
      <c r="B803" s="9" t="s">
        <v>9</v>
      </c>
      <c r="C803" s="9">
        <v>1916</v>
      </c>
      <c r="D803" s="10">
        <v>45646</v>
      </c>
      <c r="E803" s="13" t="str">
        <f>+HYPERLINK("http://trademark.i-assist.jp/data/china/image_1916th/81041613.pdf","81041613")</f>
        <v>81041613</v>
      </c>
      <c r="F803" s="9" t="s">
        <v>2258</v>
      </c>
      <c r="G803" s="9" t="s">
        <v>2259</v>
      </c>
      <c r="H803" s="12" t="s">
        <v>2260</v>
      </c>
      <c r="I803" s="10">
        <v>45557</v>
      </c>
    </row>
    <row r="804" spans="1:9" x14ac:dyDescent="0.15">
      <c r="A804" s="9">
        <v>803</v>
      </c>
      <c r="B804" s="9" t="s">
        <v>9</v>
      </c>
      <c r="C804" s="9">
        <v>1916</v>
      </c>
      <c r="D804" s="10">
        <v>45646</v>
      </c>
      <c r="E804" s="13" t="str">
        <f>+HYPERLINK("http://trademark.i-assist.jp/data/china/image_1916th/81042157.pdf","81042157")</f>
        <v>81042157</v>
      </c>
      <c r="F804" s="9" t="s">
        <v>2261</v>
      </c>
      <c r="G804" s="9" t="s">
        <v>2262</v>
      </c>
      <c r="H804" s="12" t="s">
        <v>2263</v>
      </c>
      <c r="I804" s="10">
        <v>45557</v>
      </c>
    </row>
    <row r="805" spans="1:9" x14ac:dyDescent="0.15">
      <c r="A805" s="9">
        <v>804</v>
      </c>
      <c r="B805" s="9" t="s">
        <v>9</v>
      </c>
      <c r="C805" s="9">
        <v>1916</v>
      </c>
      <c r="D805" s="10">
        <v>45646</v>
      </c>
      <c r="E805" s="13" t="str">
        <f>+HYPERLINK("http://trademark.i-assist.jp/data/china/image_1916th/81042251.pdf","81042251")</f>
        <v>81042251</v>
      </c>
      <c r="F805" s="9" t="s">
        <v>2264</v>
      </c>
      <c r="G805" s="12" t="s">
        <v>2265</v>
      </c>
      <c r="H805" s="9" t="s">
        <v>2266</v>
      </c>
      <c r="I805" s="10">
        <v>45557</v>
      </c>
    </row>
    <row r="806" spans="1:9" x14ac:dyDescent="0.15">
      <c r="A806" s="9">
        <v>805</v>
      </c>
      <c r="B806" s="9" t="s">
        <v>9</v>
      </c>
      <c r="C806" s="9">
        <v>1916</v>
      </c>
      <c r="D806" s="10">
        <v>45646</v>
      </c>
      <c r="E806" s="13" t="str">
        <f>+HYPERLINK("http://trademark.i-assist.jp/data/china/image_1916th/81042550.pdf","81042550")</f>
        <v>81042550</v>
      </c>
      <c r="F806" s="9" t="s">
        <v>2267</v>
      </c>
      <c r="G806" s="12" t="s">
        <v>2268</v>
      </c>
      <c r="H806" s="9" t="s">
        <v>2269</v>
      </c>
      <c r="I806" s="10">
        <v>45557</v>
      </c>
    </row>
    <row r="807" spans="1:9" x14ac:dyDescent="0.15">
      <c r="A807" s="9">
        <v>806</v>
      </c>
      <c r="B807" s="9" t="s">
        <v>9</v>
      </c>
      <c r="C807" s="9">
        <v>1916</v>
      </c>
      <c r="D807" s="10">
        <v>45646</v>
      </c>
      <c r="E807" s="13" t="str">
        <f>+HYPERLINK("http://trademark.i-assist.jp/data/china/image_1916th/81042848.pdf","81042848")</f>
        <v>81042848</v>
      </c>
      <c r="F807" s="9" t="s">
        <v>2270</v>
      </c>
      <c r="G807" s="9" t="s">
        <v>2271</v>
      </c>
      <c r="H807" s="9" t="s">
        <v>2272</v>
      </c>
      <c r="I807" s="10">
        <v>45558</v>
      </c>
    </row>
    <row r="808" spans="1:9" x14ac:dyDescent="0.15">
      <c r="A808" s="9">
        <v>807</v>
      </c>
      <c r="B808" s="9" t="s">
        <v>9</v>
      </c>
      <c r="C808" s="9">
        <v>1916</v>
      </c>
      <c r="D808" s="10">
        <v>45646</v>
      </c>
      <c r="E808" s="13" t="str">
        <f>+HYPERLINK("http://trademark.i-assist.jp/data/china/image_1916th/81043253.pdf","81043253")</f>
        <v>81043253</v>
      </c>
      <c r="F808" s="9" t="s">
        <v>2273</v>
      </c>
      <c r="G808" s="9" t="s">
        <v>2274</v>
      </c>
      <c r="H808" s="12" t="s">
        <v>2275</v>
      </c>
      <c r="I808" s="10">
        <v>45558</v>
      </c>
    </row>
    <row r="809" spans="1:9" x14ac:dyDescent="0.15">
      <c r="A809" s="9">
        <v>808</v>
      </c>
      <c r="B809" s="9" t="s">
        <v>9</v>
      </c>
      <c r="C809" s="9">
        <v>1916</v>
      </c>
      <c r="D809" s="10">
        <v>45646</v>
      </c>
      <c r="E809" s="13" t="str">
        <f>+HYPERLINK("http://trademark.i-assist.jp/data/china/image_1916th/81043410.pdf","81043410")</f>
        <v>81043410</v>
      </c>
      <c r="F809" s="9" t="s">
        <v>2276</v>
      </c>
      <c r="G809" s="9" t="s">
        <v>2277</v>
      </c>
      <c r="H809" s="9" t="s">
        <v>2278</v>
      </c>
      <c r="I809" s="10">
        <v>45558</v>
      </c>
    </row>
    <row r="810" spans="1:9" x14ac:dyDescent="0.15">
      <c r="A810" s="9">
        <v>809</v>
      </c>
      <c r="B810" s="9" t="s">
        <v>9</v>
      </c>
      <c r="C810" s="9">
        <v>1916</v>
      </c>
      <c r="D810" s="10">
        <v>45646</v>
      </c>
      <c r="E810" s="13" t="str">
        <f>+HYPERLINK("http://trademark.i-assist.jp/data/china/image_1916th/81043888.pdf","81043888")</f>
        <v>81043888</v>
      </c>
      <c r="F810" s="9" t="s">
        <v>2279</v>
      </c>
      <c r="G810" s="9" t="s">
        <v>2280</v>
      </c>
      <c r="H810" s="9" t="s">
        <v>2281</v>
      </c>
      <c r="I810" s="10">
        <v>45558</v>
      </c>
    </row>
    <row r="811" spans="1:9" x14ac:dyDescent="0.15">
      <c r="A811" s="9">
        <v>810</v>
      </c>
      <c r="B811" s="9" t="s">
        <v>9</v>
      </c>
      <c r="C811" s="9">
        <v>1916</v>
      </c>
      <c r="D811" s="10">
        <v>45646</v>
      </c>
      <c r="E811" s="13" t="str">
        <f>+HYPERLINK("http://trademark.i-assist.jp/data/china/image_1916th/81044589.pdf","81044589")</f>
        <v>81044589</v>
      </c>
      <c r="F811" s="11" t="s">
        <v>2282</v>
      </c>
      <c r="G811" s="9" t="s">
        <v>2283</v>
      </c>
      <c r="H811" s="9" t="s">
        <v>2284</v>
      </c>
      <c r="I811" s="10">
        <v>45558</v>
      </c>
    </row>
    <row r="812" spans="1:9" x14ac:dyDescent="0.15">
      <c r="A812" s="9">
        <v>811</v>
      </c>
      <c r="B812" s="9" t="s">
        <v>9</v>
      </c>
      <c r="C812" s="9">
        <v>1916</v>
      </c>
      <c r="D812" s="10">
        <v>45646</v>
      </c>
      <c r="E812" s="13" t="str">
        <f>+HYPERLINK("http://trademark.i-assist.jp/data/china/image_1916th/81045120.pdf","81045120")</f>
        <v>81045120</v>
      </c>
      <c r="F812" s="12" t="s">
        <v>2285</v>
      </c>
      <c r="G812" s="9" t="s">
        <v>2286</v>
      </c>
      <c r="H812" s="9" t="s">
        <v>2287</v>
      </c>
      <c r="I812" s="10">
        <v>45558</v>
      </c>
    </row>
    <row r="813" spans="1:9" x14ac:dyDescent="0.15">
      <c r="A813" s="9">
        <v>812</v>
      </c>
      <c r="B813" s="9" t="s">
        <v>9</v>
      </c>
      <c r="C813" s="9">
        <v>1916</v>
      </c>
      <c r="D813" s="10">
        <v>45646</v>
      </c>
      <c r="E813" s="13" t="str">
        <f>+HYPERLINK("http://trademark.i-assist.jp/data/china/image_1916th/81045158.pdf","81045158")</f>
        <v>81045158</v>
      </c>
      <c r="F813" s="9" t="s">
        <v>2288</v>
      </c>
      <c r="G813" s="9" t="s">
        <v>2289</v>
      </c>
      <c r="H813" s="9" t="s">
        <v>2290</v>
      </c>
      <c r="I813" s="10">
        <v>45558</v>
      </c>
    </row>
    <row r="814" spans="1:9" x14ac:dyDescent="0.15">
      <c r="A814" s="9">
        <v>813</v>
      </c>
      <c r="B814" s="9" t="s">
        <v>9</v>
      </c>
      <c r="C814" s="9">
        <v>1916</v>
      </c>
      <c r="D814" s="10">
        <v>45646</v>
      </c>
      <c r="E814" s="13" t="str">
        <f>+HYPERLINK("http://trademark.i-assist.jp/data/china/image_1916th/81046085.pdf","81046085")</f>
        <v>81046085</v>
      </c>
      <c r="F814" s="9" t="s">
        <v>2291</v>
      </c>
      <c r="G814" s="9" t="s">
        <v>2292</v>
      </c>
      <c r="H814" s="9" t="s">
        <v>2293</v>
      </c>
      <c r="I814" s="10">
        <v>45558</v>
      </c>
    </row>
    <row r="815" spans="1:9" x14ac:dyDescent="0.15">
      <c r="A815" s="9">
        <v>814</v>
      </c>
      <c r="B815" s="9" t="s">
        <v>9</v>
      </c>
      <c r="C815" s="9">
        <v>1916</v>
      </c>
      <c r="D815" s="10">
        <v>45646</v>
      </c>
      <c r="E815" s="13" t="str">
        <f>+HYPERLINK("http://trademark.i-assist.jp/data/china/image_1916th/81046513.pdf","81046513")</f>
        <v>81046513</v>
      </c>
      <c r="F815" s="9" t="s">
        <v>2294</v>
      </c>
      <c r="G815" s="12" t="s">
        <v>2295</v>
      </c>
      <c r="H815" s="12" t="s">
        <v>2296</v>
      </c>
      <c r="I815" s="10">
        <v>45558</v>
      </c>
    </row>
    <row r="816" spans="1:9" x14ac:dyDescent="0.15">
      <c r="A816" s="9">
        <v>815</v>
      </c>
      <c r="B816" s="9" t="s">
        <v>9</v>
      </c>
      <c r="C816" s="9">
        <v>1916</v>
      </c>
      <c r="D816" s="10">
        <v>45646</v>
      </c>
      <c r="E816" s="13" t="str">
        <f>+HYPERLINK("http://trademark.i-assist.jp/data/china/image_1916th/81046586.pdf","81046586")</f>
        <v>81046586</v>
      </c>
      <c r="F816" s="9" t="s">
        <v>2297</v>
      </c>
      <c r="G816" s="9" t="s">
        <v>2298</v>
      </c>
      <c r="H816" s="12" t="s">
        <v>2299</v>
      </c>
      <c r="I816" s="10">
        <v>45558</v>
      </c>
    </row>
    <row r="817" spans="1:9" x14ac:dyDescent="0.15">
      <c r="A817" s="9">
        <v>816</v>
      </c>
      <c r="B817" s="9" t="s">
        <v>9</v>
      </c>
      <c r="C817" s="9">
        <v>1916</v>
      </c>
      <c r="D817" s="10">
        <v>45646</v>
      </c>
      <c r="E817" s="13" t="str">
        <f>+HYPERLINK("http://trademark.i-assist.jp/data/china/image_1916th/81046773.pdf","81046773")</f>
        <v>81046773</v>
      </c>
      <c r="F817" s="9" t="s">
        <v>2300</v>
      </c>
      <c r="G817" s="9" t="s">
        <v>2301</v>
      </c>
      <c r="H817" s="9" t="s">
        <v>2302</v>
      </c>
      <c r="I817" s="10">
        <v>45558</v>
      </c>
    </row>
    <row r="818" spans="1:9" x14ac:dyDescent="0.15">
      <c r="A818" s="9">
        <v>817</v>
      </c>
      <c r="B818" s="9" t="s">
        <v>9</v>
      </c>
      <c r="C818" s="9">
        <v>1916</v>
      </c>
      <c r="D818" s="10">
        <v>45646</v>
      </c>
      <c r="E818" s="13" t="str">
        <f>+HYPERLINK("http://trademark.i-assist.jp/data/china/image_1916th/81047109.pdf","81047109")</f>
        <v>81047109</v>
      </c>
      <c r="F818" s="9" t="s">
        <v>2303</v>
      </c>
      <c r="G818" s="9" t="s">
        <v>40</v>
      </c>
      <c r="H818" s="9" t="s">
        <v>2304</v>
      </c>
      <c r="I818" s="10">
        <v>45558</v>
      </c>
    </row>
    <row r="819" spans="1:9" x14ac:dyDescent="0.15">
      <c r="A819" s="9">
        <v>818</v>
      </c>
      <c r="B819" s="9" t="s">
        <v>9</v>
      </c>
      <c r="C819" s="9">
        <v>1916</v>
      </c>
      <c r="D819" s="10">
        <v>45646</v>
      </c>
      <c r="E819" s="13" t="str">
        <f>+HYPERLINK("http://trademark.i-assist.jp/data/china/image_1916th/81047199.pdf","81047199")</f>
        <v>81047199</v>
      </c>
      <c r="F819" s="9" t="s">
        <v>2305</v>
      </c>
      <c r="G819" s="9" t="s">
        <v>2306</v>
      </c>
      <c r="H819" s="9" t="s">
        <v>2307</v>
      </c>
      <c r="I819" s="10">
        <v>45558</v>
      </c>
    </row>
    <row r="820" spans="1:9" x14ac:dyDescent="0.15">
      <c r="A820" s="9">
        <v>819</v>
      </c>
      <c r="B820" s="9" t="s">
        <v>9</v>
      </c>
      <c r="C820" s="9">
        <v>1916</v>
      </c>
      <c r="D820" s="10">
        <v>45646</v>
      </c>
      <c r="E820" s="13" t="str">
        <f>+HYPERLINK("http://trademark.i-assist.jp/data/china/image_1916th/81047609.pdf","81047609")</f>
        <v>81047609</v>
      </c>
      <c r="F820" s="12" t="s">
        <v>13</v>
      </c>
      <c r="G820" s="9" t="s">
        <v>2308</v>
      </c>
      <c r="H820" s="9" t="s">
        <v>2309</v>
      </c>
      <c r="I820" s="10">
        <v>45558</v>
      </c>
    </row>
    <row r="821" spans="1:9" x14ac:dyDescent="0.15">
      <c r="A821" s="9">
        <v>820</v>
      </c>
      <c r="B821" s="9" t="s">
        <v>9</v>
      </c>
      <c r="C821" s="9">
        <v>1916</v>
      </c>
      <c r="D821" s="10">
        <v>45646</v>
      </c>
      <c r="E821" s="13" t="str">
        <f>+HYPERLINK("http://trademark.i-assist.jp/data/china/image_1916th/81048110.pdf","81048110")</f>
        <v>81048110</v>
      </c>
      <c r="F821" s="9" t="s">
        <v>2310</v>
      </c>
      <c r="G821" s="9" t="s">
        <v>2311</v>
      </c>
      <c r="H821" s="9" t="s">
        <v>2312</v>
      </c>
      <c r="I821" s="10">
        <v>45558</v>
      </c>
    </row>
    <row r="822" spans="1:9" x14ac:dyDescent="0.15">
      <c r="A822" s="9">
        <v>821</v>
      </c>
      <c r="B822" s="9" t="s">
        <v>9</v>
      </c>
      <c r="C822" s="9">
        <v>1916</v>
      </c>
      <c r="D822" s="10">
        <v>45646</v>
      </c>
      <c r="E822" s="13" t="str">
        <f>+HYPERLINK("http://trademark.i-assist.jp/data/china/image_1916th/81048215.pdf","81048215")</f>
        <v>81048215</v>
      </c>
      <c r="F822" s="9" t="s">
        <v>2313</v>
      </c>
      <c r="G822" s="9" t="s">
        <v>2314</v>
      </c>
      <c r="H822" s="12" t="s">
        <v>2315</v>
      </c>
      <c r="I822" s="10">
        <v>45558</v>
      </c>
    </row>
    <row r="823" spans="1:9" x14ac:dyDescent="0.15">
      <c r="A823" s="9">
        <v>822</v>
      </c>
      <c r="B823" s="9" t="s">
        <v>9</v>
      </c>
      <c r="C823" s="9">
        <v>1916</v>
      </c>
      <c r="D823" s="10">
        <v>45646</v>
      </c>
      <c r="E823" s="13" t="str">
        <f>+HYPERLINK("http://trademark.i-assist.jp/data/china/image_1916th/81048268.pdf","81048268")</f>
        <v>81048268</v>
      </c>
      <c r="F823" s="9" t="s">
        <v>2316</v>
      </c>
      <c r="G823" s="9" t="s">
        <v>2317</v>
      </c>
      <c r="H823" s="9" t="s">
        <v>2318</v>
      </c>
      <c r="I823" s="10">
        <v>45558</v>
      </c>
    </row>
    <row r="824" spans="1:9" x14ac:dyDescent="0.15">
      <c r="A824" s="9">
        <v>823</v>
      </c>
      <c r="B824" s="9" t="s">
        <v>9</v>
      </c>
      <c r="C824" s="9">
        <v>1916</v>
      </c>
      <c r="D824" s="10">
        <v>45646</v>
      </c>
      <c r="E824" s="13" t="str">
        <f>+HYPERLINK("http://trademark.i-assist.jp/data/china/image_1916th/81048453.pdf","81048453")</f>
        <v>81048453</v>
      </c>
      <c r="F824" s="9" t="s">
        <v>2319</v>
      </c>
      <c r="G824" s="9" t="s">
        <v>2314</v>
      </c>
      <c r="H824" s="12" t="s">
        <v>2320</v>
      </c>
      <c r="I824" s="10">
        <v>45558</v>
      </c>
    </row>
    <row r="825" spans="1:9" x14ac:dyDescent="0.15">
      <c r="A825" s="9">
        <v>824</v>
      </c>
      <c r="B825" s="9" t="s">
        <v>9</v>
      </c>
      <c r="C825" s="9">
        <v>1916</v>
      </c>
      <c r="D825" s="10">
        <v>45646</v>
      </c>
      <c r="E825" s="13" t="str">
        <f>+HYPERLINK("http://trademark.i-assist.jp/data/china/image_1916th/81048459.pdf","81048459")</f>
        <v>81048459</v>
      </c>
      <c r="F825" s="9" t="s">
        <v>2321</v>
      </c>
      <c r="G825" s="9" t="s">
        <v>2322</v>
      </c>
      <c r="H825" s="12" t="s">
        <v>2323</v>
      </c>
      <c r="I825" s="10">
        <v>45558</v>
      </c>
    </row>
    <row r="826" spans="1:9" x14ac:dyDescent="0.15">
      <c r="A826" s="9">
        <v>825</v>
      </c>
      <c r="B826" s="9" t="s">
        <v>9</v>
      </c>
      <c r="C826" s="9">
        <v>1916</v>
      </c>
      <c r="D826" s="10">
        <v>45646</v>
      </c>
      <c r="E826" s="13" t="str">
        <f>+HYPERLINK("http://trademark.i-assist.jp/data/china/image_1916th/81048553.pdf","81048553")</f>
        <v>81048553</v>
      </c>
      <c r="F826" s="9" t="s">
        <v>2324</v>
      </c>
      <c r="G826" s="9" t="s">
        <v>2325</v>
      </c>
      <c r="H826" s="12" t="s">
        <v>2326</v>
      </c>
      <c r="I826" s="10">
        <v>45558</v>
      </c>
    </row>
    <row r="827" spans="1:9" x14ac:dyDescent="0.15">
      <c r="A827" s="9">
        <v>826</v>
      </c>
      <c r="B827" s="9" t="s">
        <v>9</v>
      </c>
      <c r="C827" s="9">
        <v>1916</v>
      </c>
      <c r="D827" s="10">
        <v>45646</v>
      </c>
      <c r="E827" s="13" t="str">
        <f>+HYPERLINK("http://trademark.i-assist.jp/data/china/image_1916th/81048634.pdf","81048634")</f>
        <v>81048634</v>
      </c>
      <c r="F827" s="12" t="s">
        <v>2327</v>
      </c>
      <c r="G827" s="9" t="s">
        <v>2328</v>
      </c>
      <c r="H827" s="12" t="s">
        <v>2329</v>
      </c>
      <c r="I827" s="10">
        <v>45558</v>
      </c>
    </row>
    <row r="828" spans="1:9" x14ac:dyDescent="0.15">
      <c r="A828" s="9">
        <v>827</v>
      </c>
      <c r="B828" s="9" t="s">
        <v>9</v>
      </c>
      <c r="C828" s="9">
        <v>1916</v>
      </c>
      <c r="D828" s="10">
        <v>45646</v>
      </c>
      <c r="E828" s="13" t="str">
        <f>+HYPERLINK("http://trademark.i-assist.jp/data/china/image_1916th/81048952.pdf","81048952")</f>
        <v>81048952</v>
      </c>
      <c r="F828" s="12" t="s">
        <v>2330</v>
      </c>
      <c r="G828" s="9" t="s">
        <v>2331</v>
      </c>
      <c r="H828" s="9" t="s">
        <v>2332</v>
      </c>
      <c r="I828" s="10">
        <v>45558</v>
      </c>
    </row>
    <row r="829" spans="1:9" x14ac:dyDescent="0.15">
      <c r="A829" s="9">
        <v>828</v>
      </c>
      <c r="B829" s="9" t="s">
        <v>9</v>
      </c>
      <c r="C829" s="9">
        <v>1916</v>
      </c>
      <c r="D829" s="10">
        <v>45646</v>
      </c>
      <c r="E829" s="13" t="str">
        <f>+HYPERLINK("http://trademark.i-assist.jp/data/china/image_1916th/81049441.pdf","81049441")</f>
        <v>81049441</v>
      </c>
      <c r="F829" s="9" t="s">
        <v>2333</v>
      </c>
      <c r="G829" s="9" t="s">
        <v>2334</v>
      </c>
      <c r="H829" s="9" t="s">
        <v>2335</v>
      </c>
      <c r="I829" s="10">
        <v>45558</v>
      </c>
    </row>
    <row r="830" spans="1:9" x14ac:dyDescent="0.15">
      <c r="A830" s="9">
        <v>829</v>
      </c>
      <c r="B830" s="9" t="s">
        <v>9</v>
      </c>
      <c r="C830" s="9">
        <v>1916</v>
      </c>
      <c r="D830" s="10">
        <v>45646</v>
      </c>
      <c r="E830" s="13" t="str">
        <f>+HYPERLINK("http://trademark.i-assist.jp/data/china/image_1916th/81049758.pdf","81049758")</f>
        <v>81049758</v>
      </c>
      <c r="F830" s="9" t="s">
        <v>2336</v>
      </c>
      <c r="G830" s="9" t="s">
        <v>2337</v>
      </c>
      <c r="H830" s="9" t="s">
        <v>2338</v>
      </c>
      <c r="I830" s="10">
        <v>45558</v>
      </c>
    </row>
    <row r="831" spans="1:9" x14ac:dyDescent="0.15">
      <c r="A831" s="9">
        <v>830</v>
      </c>
      <c r="B831" s="9" t="s">
        <v>9</v>
      </c>
      <c r="C831" s="9">
        <v>1916</v>
      </c>
      <c r="D831" s="10">
        <v>45646</v>
      </c>
      <c r="E831" s="13" t="str">
        <f>+HYPERLINK("http://trademark.i-assist.jp/data/china/image_1916th/81050032.pdf","81050032")</f>
        <v>81050032</v>
      </c>
      <c r="F831" s="9" t="s">
        <v>2339</v>
      </c>
      <c r="G831" s="9" t="s">
        <v>2340</v>
      </c>
      <c r="H831" s="9" t="s">
        <v>2341</v>
      </c>
      <c r="I831" s="10">
        <v>45558</v>
      </c>
    </row>
    <row r="832" spans="1:9" x14ac:dyDescent="0.15">
      <c r="A832" s="9">
        <v>831</v>
      </c>
      <c r="B832" s="9" t="s">
        <v>9</v>
      </c>
      <c r="C832" s="9">
        <v>1916</v>
      </c>
      <c r="D832" s="10">
        <v>45646</v>
      </c>
      <c r="E832" s="13" t="str">
        <f>+HYPERLINK("http://trademark.i-assist.jp/data/china/image_1916th/81050075.pdf","81050075")</f>
        <v>81050075</v>
      </c>
      <c r="F832" s="9" t="s">
        <v>2342</v>
      </c>
      <c r="G832" s="12" t="s">
        <v>2343</v>
      </c>
      <c r="H832" s="9" t="s">
        <v>2344</v>
      </c>
      <c r="I832" s="10">
        <v>45558</v>
      </c>
    </row>
    <row r="833" spans="1:9" x14ac:dyDescent="0.15">
      <c r="A833" s="9">
        <v>832</v>
      </c>
      <c r="B833" s="9" t="s">
        <v>9</v>
      </c>
      <c r="C833" s="9">
        <v>1916</v>
      </c>
      <c r="D833" s="10">
        <v>45646</v>
      </c>
      <c r="E833" s="13" t="str">
        <f>+HYPERLINK("http://trademark.i-assist.jp/data/china/image_1916th/81050116.pdf","81050116")</f>
        <v>81050116</v>
      </c>
      <c r="F833" s="9" t="s">
        <v>2345</v>
      </c>
      <c r="G833" s="9" t="s">
        <v>2346</v>
      </c>
      <c r="H833" s="12" t="s">
        <v>2347</v>
      </c>
      <c r="I833" s="10">
        <v>45558</v>
      </c>
    </row>
    <row r="834" spans="1:9" x14ac:dyDescent="0.15">
      <c r="A834" s="9">
        <v>833</v>
      </c>
      <c r="B834" s="9" t="s">
        <v>9</v>
      </c>
      <c r="C834" s="9">
        <v>1916</v>
      </c>
      <c r="D834" s="10">
        <v>45646</v>
      </c>
      <c r="E834" s="13" t="str">
        <f>+HYPERLINK("http://trademark.i-assist.jp/data/china/image_1916th/81050479.pdf","81050479")</f>
        <v>81050479</v>
      </c>
      <c r="F834" s="9" t="s">
        <v>2348</v>
      </c>
      <c r="G834" s="12" t="s">
        <v>2349</v>
      </c>
      <c r="H834" s="9" t="s">
        <v>2350</v>
      </c>
      <c r="I834" s="10">
        <v>45558</v>
      </c>
    </row>
    <row r="835" spans="1:9" x14ac:dyDescent="0.15">
      <c r="A835" s="9">
        <v>834</v>
      </c>
      <c r="B835" s="9" t="s">
        <v>9</v>
      </c>
      <c r="C835" s="9">
        <v>1916</v>
      </c>
      <c r="D835" s="10">
        <v>45646</v>
      </c>
      <c r="E835" s="13" t="str">
        <f>+HYPERLINK("http://trademark.i-assist.jp/data/china/image_1916th/81050580.pdf","81050580")</f>
        <v>81050580</v>
      </c>
      <c r="F835" s="9" t="s">
        <v>2351</v>
      </c>
      <c r="G835" s="12" t="s">
        <v>2352</v>
      </c>
      <c r="H835" s="12" t="s">
        <v>2353</v>
      </c>
      <c r="I835" s="10">
        <v>45558</v>
      </c>
    </row>
    <row r="836" spans="1:9" x14ac:dyDescent="0.15">
      <c r="A836" s="9">
        <v>835</v>
      </c>
      <c r="B836" s="9" t="s">
        <v>9</v>
      </c>
      <c r="C836" s="9">
        <v>1916</v>
      </c>
      <c r="D836" s="10">
        <v>45646</v>
      </c>
      <c r="E836" s="13" t="str">
        <f>+HYPERLINK("http://trademark.i-assist.jp/data/china/image_1916th/81050818.pdf","81050818")</f>
        <v>81050818</v>
      </c>
      <c r="F836" s="12" t="s">
        <v>2354</v>
      </c>
      <c r="G836" s="9" t="s">
        <v>2355</v>
      </c>
      <c r="H836" s="9" t="s">
        <v>2356</v>
      </c>
      <c r="I836" s="10">
        <v>45558</v>
      </c>
    </row>
    <row r="837" spans="1:9" x14ac:dyDescent="0.15">
      <c r="A837" s="9">
        <v>836</v>
      </c>
      <c r="B837" s="9" t="s">
        <v>9</v>
      </c>
      <c r="C837" s="9">
        <v>1916</v>
      </c>
      <c r="D837" s="10">
        <v>45646</v>
      </c>
      <c r="E837" s="13" t="str">
        <f>+HYPERLINK("http://trademark.i-assist.jp/data/china/image_1916th/81050987.pdf","81050987")</f>
        <v>81050987</v>
      </c>
      <c r="F837" s="12" t="s">
        <v>2357</v>
      </c>
      <c r="G837" s="9" t="s">
        <v>2358</v>
      </c>
      <c r="H837" s="9" t="s">
        <v>2359</v>
      </c>
      <c r="I837" s="10">
        <v>45558</v>
      </c>
    </row>
    <row r="838" spans="1:9" x14ac:dyDescent="0.15">
      <c r="A838" s="9">
        <v>837</v>
      </c>
      <c r="B838" s="9" t="s">
        <v>9</v>
      </c>
      <c r="C838" s="9">
        <v>1916</v>
      </c>
      <c r="D838" s="10">
        <v>45646</v>
      </c>
      <c r="E838" s="13" t="str">
        <f>+HYPERLINK("http://trademark.i-assist.jp/data/china/image_1916th/81051036.pdf","81051036")</f>
        <v>81051036</v>
      </c>
      <c r="F838" s="9" t="s">
        <v>2360</v>
      </c>
      <c r="G838" s="9" t="s">
        <v>2361</v>
      </c>
      <c r="H838" s="9" t="s">
        <v>2362</v>
      </c>
      <c r="I838" s="10">
        <v>45558</v>
      </c>
    </row>
    <row r="839" spans="1:9" x14ac:dyDescent="0.15">
      <c r="A839" s="9">
        <v>838</v>
      </c>
      <c r="B839" s="9" t="s">
        <v>9</v>
      </c>
      <c r="C839" s="9">
        <v>1916</v>
      </c>
      <c r="D839" s="10">
        <v>45646</v>
      </c>
      <c r="E839" s="13" t="str">
        <f>+HYPERLINK("http://trademark.i-assist.jp/data/china/image_1916th/81051996.pdf","81051996")</f>
        <v>81051996</v>
      </c>
      <c r="F839" s="12" t="s">
        <v>2363</v>
      </c>
      <c r="G839" s="9" t="s">
        <v>2364</v>
      </c>
      <c r="H839" s="9" t="s">
        <v>2365</v>
      </c>
      <c r="I839" s="10">
        <v>45558</v>
      </c>
    </row>
    <row r="840" spans="1:9" x14ac:dyDescent="0.15">
      <c r="A840" s="9">
        <v>839</v>
      </c>
      <c r="B840" s="9" t="s">
        <v>9</v>
      </c>
      <c r="C840" s="9">
        <v>1916</v>
      </c>
      <c r="D840" s="10">
        <v>45646</v>
      </c>
      <c r="E840" s="13" t="str">
        <f>+HYPERLINK("http://trademark.i-assist.jp/data/china/image_1916th/81052056.pdf","81052056")</f>
        <v>81052056</v>
      </c>
      <c r="F840" s="9" t="s">
        <v>2366</v>
      </c>
      <c r="G840" s="9" t="s">
        <v>2367</v>
      </c>
      <c r="H840" s="9" t="s">
        <v>2368</v>
      </c>
      <c r="I840" s="10">
        <v>45558</v>
      </c>
    </row>
    <row r="841" spans="1:9" x14ac:dyDescent="0.15">
      <c r="A841" s="9">
        <v>840</v>
      </c>
      <c r="B841" s="9" t="s">
        <v>9</v>
      </c>
      <c r="C841" s="9">
        <v>1916</v>
      </c>
      <c r="D841" s="10">
        <v>45646</v>
      </c>
      <c r="E841" s="13" t="str">
        <f>+HYPERLINK("http://trademark.i-assist.jp/data/china/image_1916th/81052109.pdf","81052109")</f>
        <v>81052109</v>
      </c>
      <c r="F841" s="9" t="s">
        <v>2369</v>
      </c>
      <c r="G841" s="9" t="s">
        <v>2370</v>
      </c>
      <c r="H841" s="12" t="s">
        <v>2371</v>
      </c>
      <c r="I841" s="10">
        <v>45558</v>
      </c>
    </row>
    <row r="842" spans="1:9" x14ac:dyDescent="0.15">
      <c r="A842" s="9">
        <v>841</v>
      </c>
      <c r="B842" s="9" t="s">
        <v>9</v>
      </c>
      <c r="C842" s="9">
        <v>1916</v>
      </c>
      <c r="D842" s="10">
        <v>45646</v>
      </c>
      <c r="E842" s="13" t="str">
        <f>+HYPERLINK("http://trademark.i-assist.jp/data/china/image_1916th/81052344.pdf","81052344")</f>
        <v>81052344</v>
      </c>
      <c r="F842" s="9" t="s">
        <v>2372</v>
      </c>
      <c r="G842" s="12" t="s">
        <v>2373</v>
      </c>
      <c r="H842" s="9" t="s">
        <v>2374</v>
      </c>
      <c r="I842" s="10">
        <v>45558</v>
      </c>
    </row>
    <row r="843" spans="1:9" x14ac:dyDescent="0.15">
      <c r="A843" s="9">
        <v>842</v>
      </c>
      <c r="B843" s="9" t="s">
        <v>9</v>
      </c>
      <c r="C843" s="9">
        <v>1916</v>
      </c>
      <c r="D843" s="10">
        <v>45646</v>
      </c>
      <c r="E843" s="13" t="str">
        <f>+HYPERLINK("http://trademark.i-assist.jp/data/china/image_1916th/81052523.pdf","81052523")</f>
        <v>81052523</v>
      </c>
      <c r="F843" s="12" t="s">
        <v>2375</v>
      </c>
      <c r="G843" s="12" t="s">
        <v>2376</v>
      </c>
      <c r="H843" s="9" t="s">
        <v>2377</v>
      </c>
      <c r="I843" s="10">
        <v>45558</v>
      </c>
    </row>
    <row r="844" spans="1:9" x14ac:dyDescent="0.15">
      <c r="A844" s="9">
        <v>843</v>
      </c>
      <c r="B844" s="9" t="s">
        <v>9</v>
      </c>
      <c r="C844" s="9">
        <v>1916</v>
      </c>
      <c r="D844" s="10">
        <v>45646</v>
      </c>
      <c r="E844" s="13" t="str">
        <f>+HYPERLINK("http://trademark.i-assist.jp/data/china/image_1916th/81052687.pdf","81052687")</f>
        <v>81052687</v>
      </c>
      <c r="F844" s="9" t="s">
        <v>2378</v>
      </c>
      <c r="G844" s="9" t="s">
        <v>2379</v>
      </c>
      <c r="H844" s="9" t="s">
        <v>2380</v>
      </c>
      <c r="I844" s="10">
        <v>45558</v>
      </c>
    </row>
    <row r="845" spans="1:9" x14ac:dyDescent="0.15">
      <c r="A845" s="9">
        <v>844</v>
      </c>
      <c r="B845" s="9" t="s">
        <v>9</v>
      </c>
      <c r="C845" s="9">
        <v>1916</v>
      </c>
      <c r="D845" s="10">
        <v>45646</v>
      </c>
      <c r="E845" s="13" t="str">
        <f>+HYPERLINK("http://trademark.i-assist.jp/data/china/image_1916th/81052699.pdf","81052699")</f>
        <v>81052699</v>
      </c>
      <c r="F845" s="12" t="s">
        <v>2381</v>
      </c>
      <c r="G845" s="9" t="s">
        <v>2382</v>
      </c>
      <c r="H845" s="12" t="s">
        <v>2383</v>
      </c>
      <c r="I845" s="10">
        <v>45558</v>
      </c>
    </row>
    <row r="846" spans="1:9" x14ac:dyDescent="0.15">
      <c r="A846" s="9">
        <v>845</v>
      </c>
      <c r="B846" s="9" t="s">
        <v>9</v>
      </c>
      <c r="C846" s="9">
        <v>1916</v>
      </c>
      <c r="D846" s="10">
        <v>45646</v>
      </c>
      <c r="E846" s="13" t="str">
        <f>+HYPERLINK("http://trademark.i-assist.jp/data/china/image_1916th/81053818.pdf","81053818")</f>
        <v>81053818</v>
      </c>
      <c r="F846" s="12" t="s">
        <v>2384</v>
      </c>
      <c r="G846" s="9" t="s">
        <v>2385</v>
      </c>
      <c r="H846" s="9" t="s">
        <v>2386</v>
      </c>
      <c r="I846" s="10">
        <v>45558</v>
      </c>
    </row>
    <row r="847" spans="1:9" x14ac:dyDescent="0.15">
      <c r="A847" s="9">
        <v>846</v>
      </c>
      <c r="B847" s="9" t="s">
        <v>9</v>
      </c>
      <c r="C847" s="9">
        <v>1916</v>
      </c>
      <c r="D847" s="10">
        <v>45646</v>
      </c>
      <c r="E847" s="13" t="str">
        <f>+HYPERLINK("http://trademark.i-assist.jp/data/china/image_1916th/81053909.pdf","81053909")</f>
        <v>81053909</v>
      </c>
      <c r="F847" s="9" t="s">
        <v>2387</v>
      </c>
      <c r="G847" s="12" t="s">
        <v>2373</v>
      </c>
      <c r="H847" s="9" t="s">
        <v>2388</v>
      </c>
      <c r="I847" s="10">
        <v>45558</v>
      </c>
    </row>
    <row r="848" spans="1:9" x14ac:dyDescent="0.15">
      <c r="A848" s="9">
        <v>847</v>
      </c>
      <c r="B848" s="9" t="s">
        <v>9</v>
      </c>
      <c r="C848" s="9">
        <v>1916</v>
      </c>
      <c r="D848" s="10">
        <v>45646</v>
      </c>
      <c r="E848" s="13" t="str">
        <f>+HYPERLINK("http://trademark.i-assist.jp/data/china/image_1916th/81054268.pdf","81054268")</f>
        <v>81054268</v>
      </c>
      <c r="F848" s="9" t="s">
        <v>2389</v>
      </c>
      <c r="G848" s="9" t="s">
        <v>2390</v>
      </c>
      <c r="H848" s="12" t="s">
        <v>2391</v>
      </c>
      <c r="I848" s="10">
        <v>45558</v>
      </c>
    </row>
    <row r="849" spans="1:9" x14ac:dyDescent="0.15">
      <c r="A849" s="9">
        <v>848</v>
      </c>
      <c r="B849" s="9" t="s">
        <v>9</v>
      </c>
      <c r="C849" s="9">
        <v>1916</v>
      </c>
      <c r="D849" s="10">
        <v>45646</v>
      </c>
      <c r="E849" s="13" t="str">
        <f>+HYPERLINK("http://trademark.i-assist.jp/data/china/image_1916th/81054489.pdf","81054489")</f>
        <v>81054489</v>
      </c>
      <c r="F849" s="9" t="s">
        <v>2392</v>
      </c>
      <c r="G849" s="9" t="s">
        <v>2393</v>
      </c>
      <c r="H849" s="9" t="s">
        <v>2394</v>
      </c>
      <c r="I849" s="10">
        <v>45558</v>
      </c>
    </row>
    <row r="850" spans="1:9" x14ac:dyDescent="0.15">
      <c r="A850" s="9">
        <v>849</v>
      </c>
      <c r="B850" s="9" t="s">
        <v>9</v>
      </c>
      <c r="C850" s="9">
        <v>1916</v>
      </c>
      <c r="D850" s="10">
        <v>45646</v>
      </c>
      <c r="E850" s="13" t="str">
        <f>+HYPERLINK("http://trademark.i-assist.jp/data/china/image_1916th/81054949.pdf","81054949")</f>
        <v>81054949</v>
      </c>
      <c r="F850" s="9" t="s">
        <v>2395</v>
      </c>
      <c r="G850" s="9" t="s">
        <v>2396</v>
      </c>
      <c r="H850" s="9" t="s">
        <v>2397</v>
      </c>
      <c r="I850" s="10">
        <v>45558</v>
      </c>
    </row>
    <row r="851" spans="1:9" x14ac:dyDescent="0.15">
      <c r="A851" s="9">
        <v>850</v>
      </c>
      <c r="B851" s="9" t="s">
        <v>9</v>
      </c>
      <c r="C851" s="9">
        <v>1916</v>
      </c>
      <c r="D851" s="10">
        <v>45646</v>
      </c>
      <c r="E851" s="13" t="str">
        <f>+HYPERLINK("http://trademark.i-assist.jp/data/china/image_1916th/81055084.pdf","81055084")</f>
        <v>81055084</v>
      </c>
      <c r="F851" s="9" t="s">
        <v>2398</v>
      </c>
      <c r="G851" s="9" t="s">
        <v>2399</v>
      </c>
      <c r="H851" s="9" t="s">
        <v>2400</v>
      </c>
      <c r="I851" s="10">
        <v>45558</v>
      </c>
    </row>
    <row r="852" spans="1:9" x14ac:dyDescent="0.15">
      <c r="A852" s="9">
        <v>851</v>
      </c>
      <c r="B852" s="9" t="s">
        <v>9</v>
      </c>
      <c r="C852" s="9">
        <v>1916</v>
      </c>
      <c r="D852" s="10">
        <v>45646</v>
      </c>
      <c r="E852" s="13" t="str">
        <f>+HYPERLINK("http://trademark.i-assist.jp/data/china/image_1916th/81055146.pdf","81055146")</f>
        <v>81055146</v>
      </c>
      <c r="F852" s="9" t="s">
        <v>2401</v>
      </c>
      <c r="G852" s="12" t="s">
        <v>2402</v>
      </c>
      <c r="H852" s="9" t="s">
        <v>2403</v>
      </c>
      <c r="I852" s="10">
        <v>45558</v>
      </c>
    </row>
    <row r="853" spans="1:9" x14ac:dyDescent="0.15">
      <c r="A853" s="9">
        <v>852</v>
      </c>
      <c r="B853" s="9" t="s">
        <v>9</v>
      </c>
      <c r="C853" s="9">
        <v>1916</v>
      </c>
      <c r="D853" s="10">
        <v>45646</v>
      </c>
      <c r="E853" s="13" t="str">
        <f>+HYPERLINK("http://trademark.i-assist.jp/data/china/image_1916th/81055256.pdf","81055256")</f>
        <v>81055256</v>
      </c>
      <c r="F853" s="9" t="s">
        <v>2404</v>
      </c>
      <c r="G853" s="9" t="s">
        <v>2405</v>
      </c>
      <c r="H853" s="9" t="s">
        <v>2406</v>
      </c>
      <c r="I853" s="10">
        <v>45558</v>
      </c>
    </row>
    <row r="854" spans="1:9" x14ac:dyDescent="0.15">
      <c r="A854" s="9">
        <v>853</v>
      </c>
      <c r="B854" s="9" t="s">
        <v>9</v>
      </c>
      <c r="C854" s="9">
        <v>1916</v>
      </c>
      <c r="D854" s="10">
        <v>45646</v>
      </c>
      <c r="E854" s="13" t="str">
        <f>+HYPERLINK("http://trademark.i-assist.jp/data/china/image_1916th/81055492.pdf","81055492")</f>
        <v>81055492</v>
      </c>
      <c r="F854" s="9" t="s">
        <v>2407</v>
      </c>
      <c r="G854" s="12" t="s">
        <v>2408</v>
      </c>
      <c r="H854" s="9" t="s">
        <v>2409</v>
      </c>
      <c r="I854" s="10">
        <v>45558</v>
      </c>
    </row>
    <row r="855" spans="1:9" x14ac:dyDescent="0.15">
      <c r="A855" s="9">
        <v>854</v>
      </c>
      <c r="B855" s="9" t="s">
        <v>9</v>
      </c>
      <c r="C855" s="9">
        <v>1916</v>
      </c>
      <c r="D855" s="10">
        <v>45646</v>
      </c>
      <c r="E855" s="13" t="str">
        <f>+HYPERLINK("http://trademark.i-assist.jp/data/china/image_1916th/81055698.pdf","81055698")</f>
        <v>81055698</v>
      </c>
      <c r="F855" s="9" t="s">
        <v>2410</v>
      </c>
      <c r="G855" s="12" t="s">
        <v>2411</v>
      </c>
      <c r="H855" s="12" t="s">
        <v>2412</v>
      </c>
      <c r="I855" s="10">
        <v>45558</v>
      </c>
    </row>
    <row r="856" spans="1:9" x14ac:dyDescent="0.15">
      <c r="A856" s="9">
        <v>855</v>
      </c>
      <c r="B856" s="9" t="s">
        <v>9</v>
      </c>
      <c r="C856" s="9">
        <v>1916</v>
      </c>
      <c r="D856" s="10">
        <v>45646</v>
      </c>
      <c r="E856" s="13" t="str">
        <f>+HYPERLINK("http://trademark.i-assist.jp/data/china/image_1916th/81055739.pdf","81055739")</f>
        <v>81055739</v>
      </c>
      <c r="F856" s="9" t="s">
        <v>2413</v>
      </c>
      <c r="G856" s="9" t="s">
        <v>2274</v>
      </c>
      <c r="H856" s="9" t="s">
        <v>2414</v>
      </c>
      <c r="I856" s="10">
        <v>45558</v>
      </c>
    </row>
    <row r="857" spans="1:9" x14ac:dyDescent="0.15">
      <c r="A857" s="9">
        <v>856</v>
      </c>
      <c r="B857" s="9" t="s">
        <v>9</v>
      </c>
      <c r="C857" s="9">
        <v>1916</v>
      </c>
      <c r="D857" s="10">
        <v>45646</v>
      </c>
      <c r="E857" s="13" t="str">
        <f>+HYPERLINK("http://trademark.i-assist.jp/data/china/image_1916th/81055840.pdf","81055840")</f>
        <v>81055840</v>
      </c>
      <c r="F857" s="9" t="s">
        <v>2415</v>
      </c>
      <c r="G857" s="9" t="s">
        <v>2416</v>
      </c>
      <c r="H857" s="9" t="s">
        <v>2417</v>
      </c>
      <c r="I857" s="10">
        <v>45558</v>
      </c>
    </row>
    <row r="858" spans="1:9" x14ac:dyDescent="0.15">
      <c r="A858" s="9">
        <v>857</v>
      </c>
      <c r="B858" s="9" t="s">
        <v>9</v>
      </c>
      <c r="C858" s="9">
        <v>1916</v>
      </c>
      <c r="D858" s="10">
        <v>45646</v>
      </c>
      <c r="E858" s="13" t="str">
        <f>+HYPERLINK("http://trademark.i-assist.jp/data/china/image_1916th/81056039.pdf","81056039")</f>
        <v>81056039</v>
      </c>
      <c r="F858" s="9" t="s">
        <v>2418</v>
      </c>
      <c r="G858" s="9" t="s">
        <v>2419</v>
      </c>
      <c r="H858" s="9" t="s">
        <v>2420</v>
      </c>
      <c r="I858" s="10">
        <v>45558</v>
      </c>
    </row>
    <row r="859" spans="1:9" x14ac:dyDescent="0.15">
      <c r="A859" s="9">
        <v>858</v>
      </c>
      <c r="B859" s="9" t="s">
        <v>9</v>
      </c>
      <c r="C859" s="9">
        <v>1916</v>
      </c>
      <c r="D859" s="10">
        <v>45646</v>
      </c>
      <c r="E859" s="13" t="str">
        <f>+HYPERLINK("http://trademark.i-assist.jp/data/china/image_1916th/81056214.pdf","81056214")</f>
        <v>81056214</v>
      </c>
      <c r="F859" s="9" t="s">
        <v>2421</v>
      </c>
      <c r="G859" s="12" t="s">
        <v>2422</v>
      </c>
      <c r="H859" s="9" t="s">
        <v>2423</v>
      </c>
      <c r="I859" s="10">
        <v>45558</v>
      </c>
    </row>
    <row r="860" spans="1:9" x14ac:dyDescent="0.15">
      <c r="A860" s="9">
        <v>859</v>
      </c>
      <c r="B860" s="9" t="s">
        <v>9</v>
      </c>
      <c r="C860" s="9">
        <v>1916</v>
      </c>
      <c r="D860" s="10">
        <v>45646</v>
      </c>
      <c r="E860" s="13" t="str">
        <f>+HYPERLINK("http://trademark.i-assist.jp/data/china/image_1916th/81056220.pdf","81056220")</f>
        <v>81056220</v>
      </c>
      <c r="F860" s="9" t="s">
        <v>2424</v>
      </c>
      <c r="G860" s="12" t="s">
        <v>2425</v>
      </c>
      <c r="H860" s="9" t="s">
        <v>2426</v>
      </c>
      <c r="I860" s="10">
        <v>45558</v>
      </c>
    </row>
    <row r="861" spans="1:9" x14ac:dyDescent="0.15">
      <c r="A861" s="9">
        <v>860</v>
      </c>
      <c r="B861" s="9" t="s">
        <v>9</v>
      </c>
      <c r="C861" s="9">
        <v>1916</v>
      </c>
      <c r="D861" s="10">
        <v>45646</v>
      </c>
      <c r="E861" s="13" t="str">
        <f>+HYPERLINK("http://trademark.i-assist.jp/data/china/image_1916th/81056541.pdf","81056541")</f>
        <v>81056541</v>
      </c>
      <c r="F861" s="9" t="s">
        <v>2427</v>
      </c>
      <c r="G861" s="9" t="s">
        <v>1463</v>
      </c>
      <c r="H861" s="9" t="s">
        <v>2428</v>
      </c>
      <c r="I861" s="10">
        <v>45558</v>
      </c>
    </row>
    <row r="862" spans="1:9" x14ac:dyDescent="0.15">
      <c r="A862" s="9">
        <v>861</v>
      </c>
      <c r="B862" s="9" t="s">
        <v>9</v>
      </c>
      <c r="C862" s="9">
        <v>1916</v>
      </c>
      <c r="D862" s="10">
        <v>45646</v>
      </c>
      <c r="E862" s="13" t="str">
        <f>+HYPERLINK("http://trademark.i-assist.jp/data/china/image_1916th/81056559.pdf","81056559")</f>
        <v>81056559</v>
      </c>
      <c r="F862" s="12" t="s">
        <v>2429</v>
      </c>
      <c r="G862" s="9" t="s">
        <v>2385</v>
      </c>
      <c r="H862" s="9" t="s">
        <v>2430</v>
      </c>
      <c r="I862" s="10">
        <v>45558</v>
      </c>
    </row>
    <row r="863" spans="1:9" x14ac:dyDescent="0.15">
      <c r="A863" s="9">
        <v>862</v>
      </c>
      <c r="B863" s="9" t="s">
        <v>9</v>
      </c>
      <c r="C863" s="9">
        <v>1916</v>
      </c>
      <c r="D863" s="10">
        <v>45646</v>
      </c>
      <c r="E863" s="13" t="str">
        <f>+HYPERLINK("http://trademark.i-assist.jp/data/china/image_1916th/81056606.pdf","81056606")</f>
        <v>81056606</v>
      </c>
      <c r="F863" s="12" t="s">
        <v>2431</v>
      </c>
      <c r="G863" s="12" t="s">
        <v>2432</v>
      </c>
      <c r="H863" s="9" t="s">
        <v>2433</v>
      </c>
      <c r="I863" s="10">
        <v>45558</v>
      </c>
    </row>
    <row r="864" spans="1:9" x14ac:dyDescent="0.15">
      <c r="A864" s="9">
        <v>863</v>
      </c>
      <c r="B864" s="9" t="s">
        <v>9</v>
      </c>
      <c r="C864" s="9">
        <v>1916</v>
      </c>
      <c r="D864" s="10">
        <v>45646</v>
      </c>
      <c r="E864" s="13" t="str">
        <f>+HYPERLINK("http://trademark.i-assist.jp/data/china/image_1916th/81056708.pdf","81056708")</f>
        <v>81056708</v>
      </c>
      <c r="F864" s="9" t="s">
        <v>2434</v>
      </c>
      <c r="G864" s="12" t="s">
        <v>2435</v>
      </c>
      <c r="H864" s="9" t="s">
        <v>2436</v>
      </c>
      <c r="I864" s="10">
        <v>45558</v>
      </c>
    </row>
    <row r="865" spans="1:9" x14ac:dyDescent="0.15">
      <c r="A865" s="9">
        <v>864</v>
      </c>
      <c r="B865" s="9" t="s">
        <v>9</v>
      </c>
      <c r="C865" s="9">
        <v>1916</v>
      </c>
      <c r="D865" s="10">
        <v>45646</v>
      </c>
      <c r="E865" s="13" t="str">
        <f>+HYPERLINK("http://trademark.i-assist.jp/data/china/image_1916th/81057255.pdf","81057255")</f>
        <v>81057255</v>
      </c>
      <c r="F865" s="9" t="s">
        <v>2437</v>
      </c>
      <c r="G865" s="9" t="s">
        <v>2438</v>
      </c>
      <c r="H865" s="9" t="s">
        <v>2439</v>
      </c>
      <c r="I865" s="10">
        <v>45558</v>
      </c>
    </row>
    <row r="866" spans="1:9" x14ac:dyDescent="0.15">
      <c r="A866" s="9">
        <v>865</v>
      </c>
      <c r="B866" s="9" t="s">
        <v>9</v>
      </c>
      <c r="C866" s="9">
        <v>1916</v>
      </c>
      <c r="D866" s="10">
        <v>45646</v>
      </c>
      <c r="E866" s="13" t="str">
        <f>+HYPERLINK("http://trademark.i-assist.jp/data/china/image_1916th/81057370.pdf","81057370")</f>
        <v>81057370</v>
      </c>
      <c r="F866" s="9" t="s">
        <v>2440</v>
      </c>
      <c r="G866" s="12" t="s">
        <v>2441</v>
      </c>
      <c r="H866" s="12" t="s">
        <v>2442</v>
      </c>
      <c r="I866" s="10">
        <v>45558</v>
      </c>
    </row>
    <row r="867" spans="1:9" x14ac:dyDescent="0.15">
      <c r="A867" s="9">
        <v>866</v>
      </c>
      <c r="B867" s="9" t="s">
        <v>9</v>
      </c>
      <c r="C867" s="9">
        <v>1916</v>
      </c>
      <c r="D867" s="10">
        <v>45646</v>
      </c>
      <c r="E867" s="13" t="str">
        <f>+HYPERLINK("http://trademark.i-assist.jp/data/china/image_1916th/81057384.pdf","81057384")</f>
        <v>81057384</v>
      </c>
      <c r="F867" s="9" t="s">
        <v>2443</v>
      </c>
      <c r="G867" s="9" t="s">
        <v>2355</v>
      </c>
      <c r="H867" s="9" t="s">
        <v>2444</v>
      </c>
      <c r="I867" s="10">
        <v>45558</v>
      </c>
    </row>
    <row r="868" spans="1:9" x14ac:dyDescent="0.15">
      <c r="A868" s="9">
        <v>867</v>
      </c>
      <c r="B868" s="9" t="s">
        <v>9</v>
      </c>
      <c r="C868" s="9">
        <v>1916</v>
      </c>
      <c r="D868" s="10">
        <v>45646</v>
      </c>
      <c r="E868" s="13" t="str">
        <f>+HYPERLINK("http://trademark.i-assist.jp/data/china/image_1916th/81057485.pdf","81057485")</f>
        <v>81057485</v>
      </c>
      <c r="F868" s="9" t="s">
        <v>2445</v>
      </c>
      <c r="G868" s="12" t="s">
        <v>2446</v>
      </c>
      <c r="H868" s="9" t="s">
        <v>2447</v>
      </c>
      <c r="I868" s="10">
        <v>45558</v>
      </c>
    </row>
    <row r="869" spans="1:9" x14ac:dyDescent="0.15">
      <c r="A869" s="9">
        <v>868</v>
      </c>
      <c r="B869" s="9" t="s">
        <v>9</v>
      </c>
      <c r="C869" s="9">
        <v>1916</v>
      </c>
      <c r="D869" s="10">
        <v>45646</v>
      </c>
      <c r="E869" s="13" t="str">
        <f>+HYPERLINK("http://trademark.i-assist.jp/data/china/image_1916th/81057817.pdf","81057817")</f>
        <v>81057817</v>
      </c>
      <c r="F869" s="12" t="s">
        <v>2448</v>
      </c>
      <c r="G869" s="9" t="s">
        <v>2367</v>
      </c>
      <c r="H869" s="9" t="s">
        <v>2449</v>
      </c>
      <c r="I869" s="10">
        <v>45558</v>
      </c>
    </row>
    <row r="870" spans="1:9" x14ac:dyDescent="0.15">
      <c r="A870" s="9">
        <v>869</v>
      </c>
      <c r="B870" s="9" t="s">
        <v>9</v>
      </c>
      <c r="C870" s="9">
        <v>1916</v>
      </c>
      <c r="D870" s="10">
        <v>45646</v>
      </c>
      <c r="E870" s="13" t="str">
        <f>+HYPERLINK("http://trademark.i-assist.jp/data/china/image_1916th/81058073.pdf","81058073")</f>
        <v>81058073</v>
      </c>
      <c r="F870" s="9" t="s">
        <v>2450</v>
      </c>
      <c r="G870" s="9" t="s">
        <v>2451</v>
      </c>
      <c r="H870" s="12" t="s">
        <v>2452</v>
      </c>
      <c r="I870" s="10">
        <v>45558</v>
      </c>
    </row>
    <row r="871" spans="1:9" x14ac:dyDescent="0.15">
      <c r="A871" s="9">
        <v>870</v>
      </c>
      <c r="B871" s="9" t="s">
        <v>9</v>
      </c>
      <c r="C871" s="9">
        <v>1916</v>
      </c>
      <c r="D871" s="10">
        <v>45646</v>
      </c>
      <c r="E871" s="13" t="str">
        <f>+HYPERLINK("http://trademark.i-assist.jp/data/china/image_1916th/81058353.pdf","81058353")</f>
        <v>81058353</v>
      </c>
      <c r="F871" s="12" t="s">
        <v>2453</v>
      </c>
      <c r="G871" s="12" t="s">
        <v>2454</v>
      </c>
      <c r="H871" s="9" t="s">
        <v>2455</v>
      </c>
      <c r="I871" s="10">
        <v>45558</v>
      </c>
    </row>
    <row r="872" spans="1:9" x14ac:dyDescent="0.15">
      <c r="A872" s="9">
        <v>871</v>
      </c>
      <c r="B872" s="9" t="s">
        <v>9</v>
      </c>
      <c r="C872" s="9">
        <v>1916</v>
      </c>
      <c r="D872" s="10">
        <v>45646</v>
      </c>
      <c r="E872" s="13" t="str">
        <f>+HYPERLINK("http://trademark.i-assist.jp/data/china/image_1916th/81058546.pdf","81058546")</f>
        <v>81058546</v>
      </c>
      <c r="F872" s="9" t="s">
        <v>2456</v>
      </c>
      <c r="G872" s="9" t="s">
        <v>65</v>
      </c>
      <c r="H872" s="9" t="s">
        <v>2457</v>
      </c>
      <c r="I872" s="10">
        <v>45558</v>
      </c>
    </row>
    <row r="873" spans="1:9" x14ac:dyDescent="0.15">
      <c r="A873" s="9">
        <v>872</v>
      </c>
      <c r="B873" s="9" t="s">
        <v>9</v>
      </c>
      <c r="C873" s="9">
        <v>1916</v>
      </c>
      <c r="D873" s="10">
        <v>45646</v>
      </c>
      <c r="E873" s="13" t="str">
        <f>+HYPERLINK("http://trademark.i-assist.jp/data/china/image_1916th/81058591.pdf","81058591")</f>
        <v>81058591</v>
      </c>
      <c r="F873" s="12" t="s">
        <v>2458</v>
      </c>
      <c r="G873" s="12" t="s">
        <v>2459</v>
      </c>
      <c r="H873" s="9" t="s">
        <v>2460</v>
      </c>
      <c r="I873" s="10">
        <v>45558</v>
      </c>
    </row>
    <row r="874" spans="1:9" x14ac:dyDescent="0.15">
      <c r="A874" s="9">
        <v>873</v>
      </c>
      <c r="B874" s="9" t="s">
        <v>9</v>
      </c>
      <c r="C874" s="9">
        <v>1916</v>
      </c>
      <c r="D874" s="10">
        <v>45646</v>
      </c>
      <c r="E874" s="13" t="str">
        <f>+HYPERLINK("http://trademark.i-assist.jp/data/china/image_1916th/81058601.pdf","81058601")</f>
        <v>81058601</v>
      </c>
      <c r="F874" s="9" t="s">
        <v>2461</v>
      </c>
      <c r="G874" s="12" t="s">
        <v>2462</v>
      </c>
      <c r="H874" s="9" t="s">
        <v>2463</v>
      </c>
      <c r="I874" s="10">
        <v>45558</v>
      </c>
    </row>
    <row r="875" spans="1:9" x14ac:dyDescent="0.15">
      <c r="A875" s="9">
        <v>874</v>
      </c>
      <c r="B875" s="9" t="s">
        <v>9</v>
      </c>
      <c r="C875" s="9">
        <v>1916</v>
      </c>
      <c r="D875" s="10">
        <v>45646</v>
      </c>
      <c r="E875" s="13" t="str">
        <f>+HYPERLINK("http://trademark.i-assist.jp/data/china/image_1916th/81058816.pdf","81058816")</f>
        <v>81058816</v>
      </c>
      <c r="F875" s="9" t="s">
        <v>2464</v>
      </c>
      <c r="G875" s="12" t="s">
        <v>2465</v>
      </c>
      <c r="H875" s="12" t="s">
        <v>2466</v>
      </c>
      <c r="I875" s="10">
        <v>45558</v>
      </c>
    </row>
    <row r="876" spans="1:9" x14ac:dyDescent="0.15">
      <c r="A876" s="9">
        <v>875</v>
      </c>
      <c r="B876" s="9" t="s">
        <v>9</v>
      </c>
      <c r="C876" s="9">
        <v>1916</v>
      </c>
      <c r="D876" s="10">
        <v>45646</v>
      </c>
      <c r="E876" s="13" t="str">
        <f>+HYPERLINK("http://trademark.i-assist.jp/data/china/image_1916th/81058936.pdf","81058936")</f>
        <v>81058936</v>
      </c>
      <c r="F876" s="9" t="s">
        <v>2467</v>
      </c>
      <c r="G876" s="9" t="s">
        <v>2468</v>
      </c>
      <c r="H876" s="9" t="s">
        <v>2469</v>
      </c>
      <c r="I876" s="10">
        <v>45558</v>
      </c>
    </row>
    <row r="877" spans="1:9" x14ac:dyDescent="0.15">
      <c r="A877" s="9">
        <v>876</v>
      </c>
      <c r="B877" s="9" t="s">
        <v>9</v>
      </c>
      <c r="C877" s="9">
        <v>1916</v>
      </c>
      <c r="D877" s="10">
        <v>45646</v>
      </c>
      <c r="E877" s="13" t="str">
        <f>+HYPERLINK("http://trademark.i-assist.jp/data/china/image_1916th/81059110.pdf","81059110")</f>
        <v>81059110</v>
      </c>
      <c r="F877" s="9" t="s">
        <v>2470</v>
      </c>
      <c r="G877" s="9" t="s">
        <v>2471</v>
      </c>
      <c r="H877" s="9" t="s">
        <v>2472</v>
      </c>
      <c r="I877" s="10">
        <v>45558</v>
      </c>
    </row>
    <row r="878" spans="1:9" x14ac:dyDescent="0.15">
      <c r="A878" s="9">
        <v>877</v>
      </c>
      <c r="B878" s="9" t="s">
        <v>9</v>
      </c>
      <c r="C878" s="9">
        <v>1916</v>
      </c>
      <c r="D878" s="10">
        <v>45646</v>
      </c>
      <c r="E878" s="13" t="str">
        <f>+HYPERLINK("http://trademark.i-assist.jp/data/china/image_1916th/81059254.pdf","81059254")</f>
        <v>81059254</v>
      </c>
      <c r="F878" s="9" t="s">
        <v>2473</v>
      </c>
      <c r="G878" s="9" t="s">
        <v>2393</v>
      </c>
      <c r="H878" s="12" t="s">
        <v>2474</v>
      </c>
      <c r="I878" s="10">
        <v>45558</v>
      </c>
    </row>
    <row r="879" spans="1:9" x14ac:dyDescent="0.15">
      <c r="A879" s="9">
        <v>878</v>
      </c>
      <c r="B879" s="9" t="s">
        <v>9</v>
      </c>
      <c r="C879" s="9">
        <v>1916</v>
      </c>
      <c r="D879" s="10">
        <v>45646</v>
      </c>
      <c r="E879" s="13" t="str">
        <f>+HYPERLINK("http://trademark.i-assist.jp/data/china/image_1916th/81059464.pdf","81059464")</f>
        <v>81059464</v>
      </c>
      <c r="F879" s="9" t="s">
        <v>2475</v>
      </c>
      <c r="G879" s="9" t="s">
        <v>2476</v>
      </c>
      <c r="H879" s="9" t="s">
        <v>2477</v>
      </c>
      <c r="I879" s="10">
        <v>45558</v>
      </c>
    </row>
    <row r="880" spans="1:9" x14ac:dyDescent="0.15">
      <c r="A880" s="9">
        <v>879</v>
      </c>
      <c r="B880" s="9" t="s">
        <v>9</v>
      </c>
      <c r="C880" s="9">
        <v>1916</v>
      </c>
      <c r="D880" s="10">
        <v>45646</v>
      </c>
      <c r="E880" s="13" t="str">
        <f>+HYPERLINK("http://trademark.i-assist.jp/data/china/image_1916th/81059525.pdf","81059525")</f>
        <v>81059525</v>
      </c>
      <c r="F880" s="9" t="s">
        <v>2478</v>
      </c>
      <c r="G880" s="9" t="s">
        <v>2479</v>
      </c>
      <c r="H880" s="9" t="s">
        <v>2480</v>
      </c>
      <c r="I880" s="10">
        <v>45558</v>
      </c>
    </row>
    <row r="881" spans="1:9" x14ac:dyDescent="0.15">
      <c r="A881" s="9">
        <v>880</v>
      </c>
      <c r="B881" s="9" t="s">
        <v>9</v>
      </c>
      <c r="C881" s="9">
        <v>1916</v>
      </c>
      <c r="D881" s="10">
        <v>45646</v>
      </c>
      <c r="E881" s="13" t="str">
        <f>+HYPERLINK("http://trademark.i-assist.jp/data/china/image_1916th/81059640.pdf","81059640")</f>
        <v>81059640</v>
      </c>
      <c r="F881" s="9" t="s">
        <v>2481</v>
      </c>
      <c r="G881" s="12" t="s">
        <v>2422</v>
      </c>
      <c r="H881" s="9" t="s">
        <v>2482</v>
      </c>
      <c r="I881" s="10">
        <v>45558</v>
      </c>
    </row>
    <row r="882" spans="1:9" x14ac:dyDescent="0.15">
      <c r="A882" s="9">
        <v>881</v>
      </c>
      <c r="B882" s="9" t="s">
        <v>9</v>
      </c>
      <c r="C882" s="9">
        <v>1916</v>
      </c>
      <c r="D882" s="10">
        <v>45646</v>
      </c>
      <c r="E882" s="13" t="str">
        <f>+HYPERLINK("http://trademark.i-assist.jp/data/china/image_1916th/81060033.pdf","81060033")</f>
        <v>81060033</v>
      </c>
      <c r="F882" s="9" t="s">
        <v>2483</v>
      </c>
      <c r="G882" s="9" t="s">
        <v>2484</v>
      </c>
      <c r="H882" s="9" t="s">
        <v>2485</v>
      </c>
      <c r="I882" s="10">
        <v>45558</v>
      </c>
    </row>
    <row r="883" spans="1:9" x14ac:dyDescent="0.15">
      <c r="A883" s="9">
        <v>882</v>
      </c>
      <c r="B883" s="9" t="s">
        <v>9</v>
      </c>
      <c r="C883" s="9">
        <v>1916</v>
      </c>
      <c r="D883" s="10">
        <v>45646</v>
      </c>
      <c r="E883" s="13" t="str">
        <f>+HYPERLINK("http://trademark.i-assist.jp/data/china/image_1916th/81060301.pdf","81060301")</f>
        <v>81060301</v>
      </c>
      <c r="F883" s="9" t="s">
        <v>2486</v>
      </c>
      <c r="G883" s="12" t="s">
        <v>2373</v>
      </c>
      <c r="H883" s="9" t="s">
        <v>2487</v>
      </c>
      <c r="I883" s="10">
        <v>45558</v>
      </c>
    </row>
    <row r="884" spans="1:9" x14ac:dyDescent="0.15">
      <c r="A884" s="9">
        <v>883</v>
      </c>
      <c r="B884" s="9" t="s">
        <v>9</v>
      </c>
      <c r="C884" s="9">
        <v>1916</v>
      </c>
      <c r="D884" s="10">
        <v>45646</v>
      </c>
      <c r="E884" s="13" t="str">
        <f>+HYPERLINK("http://trademark.i-assist.jp/data/china/image_1916th/81060446.pdf","81060446")</f>
        <v>81060446</v>
      </c>
      <c r="F884" s="9" t="s">
        <v>2488</v>
      </c>
      <c r="G884" s="9" t="s">
        <v>2489</v>
      </c>
      <c r="H884" s="9" t="s">
        <v>2490</v>
      </c>
      <c r="I884" s="10">
        <v>45558</v>
      </c>
    </row>
    <row r="885" spans="1:9" x14ac:dyDescent="0.15">
      <c r="A885" s="9">
        <v>884</v>
      </c>
      <c r="B885" s="9" t="s">
        <v>9</v>
      </c>
      <c r="C885" s="9">
        <v>1916</v>
      </c>
      <c r="D885" s="10">
        <v>45646</v>
      </c>
      <c r="E885" s="13" t="str">
        <f>+HYPERLINK("http://trademark.i-assist.jp/data/china/image_1916th/81060693.pdf","81060693")</f>
        <v>81060693</v>
      </c>
      <c r="F885" s="9" t="s">
        <v>2491</v>
      </c>
      <c r="G885" s="9" t="s">
        <v>2492</v>
      </c>
      <c r="H885" s="9" t="s">
        <v>2493</v>
      </c>
      <c r="I885" s="10">
        <v>45558</v>
      </c>
    </row>
    <row r="886" spans="1:9" x14ac:dyDescent="0.15">
      <c r="A886" s="9">
        <v>885</v>
      </c>
      <c r="B886" s="9" t="s">
        <v>9</v>
      </c>
      <c r="C886" s="9">
        <v>1916</v>
      </c>
      <c r="D886" s="10">
        <v>45646</v>
      </c>
      <c r="E886" s="13" t="str">
        <f>+HYPERLINK("http://trademark.i-assist.jp/data/china/image_1916th/81061240.pdf","81061240")</f>
        <v>81061240</v>
      </c>
      <c r="F886" s="12" t="s">
        <v>2494</v>
      </c>
      <c r="G886" s="9" t="s">
        <v>2476</v>
      </c>
      <c r="H886" s="9" t="s">
        <v>2495</v>
      </c>
      <c r="I886" s="10">
        <v>45558</v>
      </c>
    </row>
    <row r="887" spans="1:9" x14ac:dyDescent="0.15">
      <c r="A887" s="9">
        <v>886</v>
      </c>
      <c r="B887" s="9" t="s">
        <v>9</v>
      </c>
      <c r="C887" s="9">
        <v>1916</v>
      </c>
      <c r="D887" s="10">
        <v>45646</v>
      </c>
      <c r="E887" s="13" t="str">
        <f>+HYPERLINK("http://trademark.i-assist.jp/data/china/image_1916th/81061652.pdf","81061652")</f>
        <v>81061652</v>
      </c>
      <c r="F887" s="9" t="s">
        <v>2496</v>
      </c>
      <c r="G887" s="9" t="s">
        <v>2497</v>
      </c>
      <c r="H887" s="12" t="s">
        <v>2498</v>
      </c>
      <c r="I887" s="10">
        <v>45558</v>
      </c>
    </row>
    <row r="888" spans="1:9" x14ac:dyDescent="0.15">
      <c r="A888" s="9">
        <v>887</v>
      </c>
      <c r="B888" s="9" t="s">
        <v>9</v>
      </c>
      <c r="C888" s="9">
        <v>1916</v>
      </c>
      <c r="D888" s="10">
        <v>45646</v>
      </c>
      <c r="E888" s="13" t="str">
        <f>+HYPERLINK("http://trademark.i-assist.jp/data/china/image_1916th/81062954.pdf","81062954")</f>
        <v>81062954</v>
      </c>
      <c r="F888" s="12" t="s">
        <v>2499</v>
      </c>
      <c r="G888" s="12" t="s">
        <v>2422</v>
      </c>
      <c r="H888" s="9" t="s">
        <v>2500</v>
      </c>
      <c r="I888" s="10">
        <v>45558</v>
      </c>
    </row>
    <row r="889" spans="1:9" x14ac:dyDescent="0.15">
      <c r="A889" s="9">
        <v>888</v>
      </c>
      <c r="B889" s="9" t="s">
        <v>9</v>
      </c>
      <c r="C889" s="9">
        <v>1916</v>
      </c>
      <c r="D889" s="10">
        <v>45646</v>
      </c>
      <c r="E889" s="13" t="str">
        <f>+HYPERLINK("http://trademark.i-assist.jp/data/china/image_1916th/81063093.pdf","81063093")</f>
        <v>81063093</v>
      </c>
      <c r="F889" s="9" t="s">
        <v>2501</v>
      </c>
      <c r="G889" s="9" t="s">
        <v>2502</v>
      </c>
      <c r="H889" s="9" t="s">
        <v>2503</v>
      </c>
      <c r="I889" s="10">
        <v>45558</v>
      </c>
    </row>
    <row r="890" spans="1:9" x14ac:dyDescent="0.15">
      <c r="A890" s="9">
        <v>889</v>
      </c>
      <c r="B890" s="9" t="s">
        <v>9</v>
      </c>
      <c r="C890" s="9">
        <v>1916</v>
      </c>
      <c r="D890" s="10">
        <v>45646</v>
      </c>
      <c r="E890" s="13" t="str">
        <f>+HYPERLINK("http://trademark.i-assist.jp/data/china/image_1916th/81063209.pdf","81063209")</f>
        <v>81063209</v>
      </c>
      <c r="F890" s="9" t="s">
        <v>2504</v>
      </c>
      <c r="G890" s="12" t="s">
        <v>2343</v>
      </c>
      <c r="H890" s="9" t="s">
        <v>2505</v>
      </c>
      <c r="I890" s="10">
        <v>45558</v>
      </c>
    </row>
    <row r="891" spans="1:9" x14ac:dyDescent="0.15">
      <c r="A891" s="9">
        <v>890</v>
      </c>
      <c r="B891" s="9" t="s">
        <v>9</v>
      </c>
      <c r="C891" s="9">
        <v>1916</v>
      </c>
      <c r="D891" s="10">
        <v>45646</v>
      </c>
      <c r="E891" s="13" t="str">
        <f>+HYPERLINK("http://trademark.i-assist.jp/data/china/image_1916th/81063495.pdf","81063495")</f>
        <v>81063495</v>
      </c>
      <c r="F891" s="9" t="s">
        <v>2506</v>
      </c>
      <c r="G891" s="9" t="s">
        <v>2507</v>
      </c>
      <c r="H891" s="9" t="s">
        <v>2508</v>
      </c>
      <c r="I891" s="10">
        <v>45558</v>
      </c>
    </row>
    <row r="892" spans="1:9" x14ac:dyDescent="0.15">
      <c r="A892" s="9">
        <v>891</v>
      </c>
      <c r="B892" s="9" t="s">
        <v>9</v>
      </c>
      <c r="C892" s="9">
        <v>1916</v>
      </c>
      <c r="D892" s="10">
        <v>45646</v>
      </c>
      <c r="E892" s="13" t="str">
        <f>+HYPERLINK("http://trademark.i-assist.jp/data/china/image_1916th/81063821.pdf","81063821")</f>
        <v>81063821</v>
      </c>
      <c r="F892" s="12" t="s">
        <v>2509</v>
      </c>
      <c r="G892" s="12" t="s">
        <v>2510</v>
      </c>
      <c r="H892" s="12" t="s">
        <v>2511</v>
      </c>
      <c r="I892" s="10">
        <v>45558</v>
      </c>
    </row>
    <row r="893" spans="1:9" x14ac:dyDescent="0.15">
      <c r="A893" s="9">
        <v>892</v>
      </c>
      <c r="B893" s="9" t="s">
        <v>9</v>
      </c>
      <c r="C893" s="9">
        <v>1916</v>
      </c>
      <c r="D893" s="10">
        <v>45646</v>
      </c>
      <c r="E893" s="13" t="str">
        <f>+HYPERLINK("http://trademark.i-assist.jp/data/china/image_1916th/81063900.pdf","81063900")</f>
        <v>81063900</v>
      </c>
      <c r="F893" s="9" t="s">
        <v>2512</v>
      </c>
      <c r="G893" s="12" t="s">
        <v>2513</v>
      </c>
      <c r="H893" s="9" t="s">
        <v>2514</v>
      </c>
      <c r="I893" s="10">
        <v>45558</v>
      </c>
    </row>
    <row r="894" spans="1:9" x14ac:dyDescent="0.15">
      <c r="A894" s="9">
        <v>893</v>
      </c>
      <c r="B894" s="9" t="s">
        <v>9</v>
      </c>
      <c r="C894" s="9">
        <v>1916</v>
      </c>
      <c r="D894" s="10">
        <v>45646</v>
      </c>
      <c r="E894" s="13" t="str">
        <f>+HYPERLINK("http://trademark.i-assist.jp/data/china/image_1916th/81063927.pdf","81063927")</f>
        <v>81063927</v>
      </c>
      <c r="F894" s="9" t="s">
        <v>2515</v>
      </c>
      <c r="G894" s="9" t="s">
        <v>2516</v>
      </c>
      <c r="H894" s="9" t="s">
        <v>2517</v>
      </c>
      <c r="I894" s="10">
        <v>45558</v>
      </c>
    </row>
    <row r="895" spans="1:9" x14ac:dyDescent="0.15">
      <c r="A895" s="9">
        <v>894</v>
      </c>
      <c r="B895" s="9" t="s">
        <v>9</v>
      </c>
      <c r="C895" s="9">
        <v>1916</v>
      </c>
      <c r="D895" s="10">
        <v>45646</v>
      </c>
      <c r="E895" s="13" t="str">
        <f>+HYPERLINK("http://trademark.i-assist.jp/data/china/image_1916th/81063993.pdf","81063993")</f>
        <v>81063993</v>
      </c>
      <c r="F895" s="9" t="s">
        <v>2518</v>
      </c>
      <c r="G895" s="9" t="s">
        <v>2519</v>
      </c>
      <c r="H895" s="9" t="s">
        <v>2520</v>
      </c>
      <c r="I895" s="10">
        <v>45558</v>
      </c>
    </row>
    <row r="896" spans="1:9" x14ac:dyDescent="0.15">
      <c r="A896" s="9">
        <v>895</v>
      </c>
      <c r="B896" s="9" t="s">
        <v>9</v>
      </c>
      <c r="C896" s="9">
        <v>1916</v>
      </c>
      <c r="D896" s="10">
        <v>45646</v>
      </c>
      <c r="E896" s="13" t="str">
        <f>+HYPERLINK("http://trademark.i-assist.jp/data/china/image_1916th/81064012.pdf","81064012")</f>
        <v>81064012</v>
      </c>
      <c r="F896" s="9" t="s">
        <v>2521</v>
      </c>
      <c r="G896" s="9" t="s">
        <v>2322</v>
      </c>
      <c r="H896" s="9" t="s">
        <v>2522</v>
      </c>
      <c r="I896" s="10">
        <v>45558</v>
      </c>
    </row>
    <row r="897" spans="1:9" x14ac:dyDescent="0.15">
      <c r="A897" s="9">
        <v>896</v>
      </c>
      <c r="B897" s="9" t="s">
        <v>9</v>
      </c>
      <c r="C897" s="9">
        <v>1916</v>
      </c>
      <c r="D897" s="10">
        <v>45646</v>
      </c>
      <c r="E897" s="13" t="str">
        <f>+HYPERLINK("http://trademark.i-assist.jp/data/china/image_1916th/81064794.pdf","81064794")</f>
        <v>81064794</v>
      </c>
      <c r="F897" s="9" t="s">
        <v>2523</v>
      </c>
      <c r="G897" s="12" t="s">
        <v>2524</v>
      </c>
      <c r="H897" s="9" t="s">
        <v>2525</v>
      </c>
      <c r="I897" s="10">
        <v>45558</v>
      </c>
    </row>
    <row r="898" spans="1:9" x14ac:dyDescent="0.15">
      <c r="A898" s="9">
        <v>897</v>
      </c>
      <c r="B898" s="9" t="s">
        <v>9</v>
      </c>
      <c r="C898" s="9">
        <v>1916</v>
      </c>
      <c r="D898" s="10">
        <v>45646</v>
      </c>
      <c r="E898" s="13" t="str">
        <f>+HYPERLINK("http://trademark.i-assist.jp/data/china/image_1916th/81065035.pdf","81065035")</f>
        <v>81065035</v>
      </c>
      <c r="F898" s="9" t="s">
        <v>2526</v>
      </c>
      <c r="G898" s="12" t="s">
        <v>2527</v>
      </c>
      <c r="H898" s="9" t="s">
        <v>2528</v>
      </c>
      <c r="I898" s="10">
        <v>45558</v>
      </c>
    </row>
    <row r="899" spans="1:9" x14ac:dyDescent="0.15">
      <c r="A899" s="9">
        <v>898</v>
      </c>
      <c r="B899" s="9" t="s">
        <v>9</v>
      </c>
      <c r="C899" s="9">
        <v>1916</v>
      </c>
      <c r="D899" s="10">
        <v>45646</v>
      </c>
      <c r="E899" s="13" t="str">
        <f>+HYPERLINK("http://trademark.i-assist.jp/data/china/image_1916th/81065548.pdf","81065548")</f>
        <v>81065548</v>
      </c>
      <c r="F899" s="12" t="s">
        <v>2529</v>
      </c>
      <c r="G899" s="12" t="s">
        <v>2530</v>
      </c>
      <c r="H899" s="9" t="s">
        <v>2531</v>
      </c>
      <c r="I899" s="10">
        <v>45558</v>
      </c>
    </row>
    <row r="900" spans="1:9" x14ac:dyDescent="0.15">
      <c r="A900" s="9">
        <v>899</v>
      </c>
      <c r="B900" s="9" t="s">
        <v>9</v>
      </c>
      <c r="C900" s="9">
        <v>1916</v>
      </c>
      <c r="D900" s="10">
        <v>45646</v>
      </c>
      <c r="E900" s="13" t="str">
        <f>+HYPERLINK("http://trademark.i-assist.jp/data/china/image_1916th/81066288.pdf","81066288")</f>
        <v>81066288</v>
      </c>
      <c r="F900" s="9" t="s">
        <v>2532</v>
      </c>
      <c r="G900" s="9" t="s">
        <v>2533</v>
      </c>
      <c r="H900" s="9" t="s">
        <v>2534</v>
      </c>
      <c r="I900" s="10">
        <v>45558</v>
      </c>
    </row>
    <row r="901" spans="1:9" x14ac:dyDescent="0.15">
      <c r="A901" s="9">
        <v>900</v>
      </c>
      <c r="B901" s="9" t="s">
        <v>9</v>
      </c>
      <c r="C901" s="9">
        <v>1916</v>
      </c>
      <c r="D901" s="10">
        <v>45646</v>
      </c>
      <c r="E901" s="13" t="str">
        <f>+HYPERLINK("http://trademark.i-assist.jp/data/china/image_1916th/81066531.pdf","81066531")</f>
        <v>81066531</v>
      </c>
      <c r="F901" s="12" t="s">
        <v>2535</v>
      </c>
      <c r="G901" s="12" t="s">
        <v>2536</v>
      </c>
      <c r="H901" s="9" t="s">
        <v>2537</v>
      </c>
      <c r="I901" s="10">
        <v>45558</v>
      </c>
    </row>
    <row r="902" spans="1:9" x14ac:dyDescent="0.15">
      <c r="A902" s="9">
        <v>901</v>
      </c>
      <c r="B902" s="9" t="s">
        <v>9</v>
      </c>
      <c r="C902" s="9">
        <v>1916</v>
      </c>
      <c r="D902" s="10">
        <v>45646</v>
      </c>
      <c r="E902" s="13" t="str">
        <f>+HYPERLINK("http://trademark.i-assist.jp/data/china/image_1916th/81066631.pdf","81066631")</f>
        <v>81066631</v>
      </c>
      <c r="F902" s="9" t="s">
        <v>2538</v>
      </c>
      <c r="G902" s="12" t="s">
        <v>2539</v>
      </c>
      <c r="H902" s="9" t="s">
        <v>2540</v>
      </c>
      <c r="I902" s="10">
        <v>45558</v>
      </c>
    </row>
    <row r="903" spans="1:9" x14ac:dyDescent="0.15">
      <c r="A903" s="9">
        <v>902</v>
      </c>
      <c r="B903" s="9" t="s">
        <v>9</v>
      </c>
      <c r="C903" s="9">
        <v>1916</v>
      </c>
      <c r="D903" s="10">
        <v>45646</v>
      </c>
      <c r="E903" s="13" t="str">
        <f>+HYPERLINK("http://trademark.i-assist.jp/data/china/image_1916th/81067019.pdf","81067019")</f>
        <v>81067019</v>
      </c>
      <c r="F903" s="9" t="s">
        <v>2541</v>
      </c>
      <c r="G903" s="9" t="s">
        <v>2542</v>
      </c>
      <c r="H903" s="9" t="s">
        <v>2543</v>
      </c>
      <c r="I903" s="10">
        <v>45558</v>
      </c>
    </row>
    <row r="904" spans="1:9" x14ac:dyDescent="0.15">
      <c r="A904" s="9">
        <v>903</v>
      </c>
      <c r="B904" s="9" t="s">
        <v>9</v>
      </c>
      <c r="C904" s="9">
        <v>1916</v>
      </c>
      <c r="D904" s="10">
        <v>45646</v>
      </c>
      <c r="E904" s="13" t="str">
        <f>+HYPERLINK("http://trademark.i-assist.jp/data/china/image_1916th/81067193.pdf","81067193")</f>
        <v>81067193</v>
      </c>
      <c r="F904" s="9" t="s">
        <v>2544</v>
      </c>
      <c r="G904" s="9" t="s">
        <v>2545</v>
      </c>
      <c r="H904" s="9" t="s">
        <v>2546</v>
      </c>
      <c r="I904" s="10">
        <v>45558</v>
      </c>
    </row>
    <row r="905" spans="1:9" x14ac:dyDescent="0.15">
      <c r="A905" s="9">
        <v>904</v>
      </c>
      <c r="B905" s="9" t="s">
        <v>9</v>
      </c>
      <c r="C905" s="9">
        <v>1916</v>
      </c>
      <c r="D905" s="10">
        <v>45646</v>
      </c>
      <c r="E905" s="13" t="str">
        <f>+HYPERLINK("http://trademark.i-assist.jp/data/china/image_1916th/81067501.pdf","81067501")</f>
        <v>81067501</v>
      </c>
      <c r="F905" s="12" t="s">
        <v>2547</v>
      </c>
      <c r="G905" s="12" t="s">
        <v>2548</v>
      </c>
      <c r="H905" s="9" t="s">
        <v>2549</v>
      </c>
      <c r="I905" s="10">
        <v>45558</v>
      </c>
    </row>
    <row r="906" spans="1:9" x14ac:dyDescent="0.15">
      <c r="A906" s="9">
        <v>905</v>
      </c>
      <c r="B906" s="9" t="s">
        <v>9</v>
      </c>
      <c r="C906" s="9">
        <v>1916</v>
      </c>
      <c r="D906" s="10">
        <v>45646</v>
      </c>
      <c r="E906" s="13" t="str">
        <f>+HYPERLINK("http://trademark.i-assist.jp/data/china/image_1916th/81067601.pdf","81067601")</f>
        <v>81067601</v>
      </c>
      <c r="F906" s="9" t="s">
        <v>2550</v>
      </c>
      <c r="G906" s="9" t="s">
        <v>2551</v>
      </c>
      <c r="H906" s="9" t="s">
        <v>2552</v>
      </c>
      <c r="I906" s="10">
        <v>45558</v>
      </c>
    </row>
    <row r="907" spans="1:9" x14ac:dyDescent="0.15">
      <c r="A907" s="9">
        <v>906</v>
      </c>
      <c r="B907" s="9" t="s">
        <v>9</v>
      </c>
      <c r="C907" s="9">
        <v>1916</v>
      </c>
      <c r="D907" s="10">
        <v>45646</v>
      </c>
      <c r="E907" s="13" t="str">
        <f>+HYPERLINK("http://trademark.i-assist.jp/data/china/image_1916th/81067621.pdf","81067621")</f>
        <v>81067621</v>
      </c>
      <c r="F907" s="12" t="s">
        <v>2553</v>
      </c>
      <c r="G907" s="12" t="s">
        <v>2553</v>
      </c>
      <c r="H907" s="9" t="s">
        <v>2554</v>
      </c>
      <c r="I907" s="10">
        <v>45558</v>
      </c>
    </row>
    <row r="908" spans="1:9" x14ac:dyDescent="0.15">
      <c r="A908" s="9">
        <v>907</v>
      </c>
      <c r="B908" s="9" t="s">
        <v>9</v>
      </c>
      <c r="C908" s="9">
        <v>1916</v>
      </c>
      <c r="D908" s="10">
        <v>45646</v>
      </c>
      <c r="E908" s="13" t="str">
        <f>+HYPERLINK("http://trademark.i-assist.jp/data/china/image_1916th/81068273.pdf","81068273")</f>
        <v>81068273</v>
      </c>
      <c r="F908" s="9" t="s">
        <v>2555</v>
      </c>
      <c r="G908" s="12" t="s">
        <v>2556</v>
      </c>
      <c r="H908" s="9" t="s">
        <v>2557</v>
      </c>
      <c r="I908" s="10">
        <v>45558</v>
      </c>
    </row>
    <row r="909" spans="1:9" x14ac:dyDescent="0.15">
      <c r="A909" s="9">
        <v>908</v>
      </c>
      <c r="B909" s="9" t="s">
        <v>9</v>
      </c>
      <c r="C909" s="9">
        <v>1916</v>
      </c>
      <c r="D909" s="10">
        <v>45646</v>
      </c>
      <c r="E909" s="13" t="str">
        <f>+HYPERLINK("http://trademark.i-assist.jp/data/china/image_1916th/81068282.pdf","81068282")</f>
        <v>81068282</v>
      </c>
      <c r="F909" s="9" t="s">
        <v>2558</v>
      </c>
      <c r="G909" s="9" t="s">
        <v>2559</v>
      </c>
      <c r="H909" s="9" t="s">
        <v>2560</v>
      </c>
      <c r="I909" s="10">
        <v>45558</v>
      </c>
    </row>
    <row r="910" spans="1:9" x14ac:dyDescent="0.15">
      <c r="A910" s="9">
        <v>909</v>
      </c>
      <c r="B910" s="9" t="s">
        <v>9</v>
      </c>
      <c r="C910" s="9">
        <v>1916</v>
      </c>
      <c r="D910" s="10">
        <v>45646</v>
      </c>
      <c r="E910" s="13" t="str">
        <f>+HYPERLINK("http://trademark.i-assist.jp/data/china/image_1916th/81068333.pdf","81068333")</f>
        <v>81068333</v>
      </c>
      <c r="F910" s="12" t="s">
        <v>2561</v>
      </c>
      <c r="G910" s="9" t="s">
        <v>2562</v>
      </c>
      <c r="H910" s="9" t="s">
        <v>2563</v>
      </c>
      <c r="I910" s="10">
        <v>45558</v>
      </c>
    </row>
    <row r="911" spans="1:9" x14ac:dyDescent="0.15">
      <c r="A911" s="9">
        <v>910</v>
      </c>
      <c r="B911" s="9" t="s">
        <v>9</v>
      </c>
      <c r="C911" s="9">
        <v>1916</v>
      </c>
      <c r="D911" s="10">
        <v>45646</v>
      </c>
      <c r="E911" s="13" t="str">
        <f>+HYPERLINK("http://trademark.i-assist.jp/data/china/image_1916th/81069636.pdf","81069636")</f>
        <v>81069636</v>
      </c>
      <c r="F911" s="9" t="s">
        <v>2564</v>
      </c>
      <c r="G911" s="9" t="s">
        <v>2565</v>
      </c>
      <c r="H911" s="9" t="s">
        <v>2566</v>
      </c>
      <c r="I911" s="10">
        <v>45559</v>
      </c>
    </row>
    <row r="912" spans="1:9" x14ac:dyDescent="0.15">
      <c r="A912" s="9">
        <v>911</v>
      </c>
      <c r="B912" s="9" t="s">
        <v>9</v>
      </c>
      <c r="C912" s="9">
        <v>1916</v>
      </c>
      <c r="D912" s="10">
        <v>45646</v>
      </c>
      <c r="E912" s="13" t="str">
        <f>+HYPERLINK("http://trademark.i-assist.jp/data/china/image_1916th/81069797.pdf","81069797")</f>
        <v>81069797</v>
      </c>
      <c r="F912" s="9" t="s">
        <v>2567</v>
      </c>
      <c r="G912" s="12" t="s">
        <v>2568</v>
      </c>
      <c r="H912" s="9" t="s">
        <v>2569</v>
      </c>
      <c r="I912" s="10">
        <v>45559</v>
      </c>
    </row>
    <row r="913" spans="1:9" x14ac:dyDescent="0.15">
      <c r="A913" s="9">
        <v>912</v>
      </c>
      <c r="B913" s="9" t="s">
        <v>9</v>
      </c>
      <c r="C913" s="9">
        <v>1916</v>
      </c>
      <c r="D913" s="10">
        <v>45646</v>
      </c>
      <c r="E913" s="13" t="str">
        <f>+HYPERLINK("http://trademark.i-assist.jp/data/china/image_1916th/81070308.pdf","81070308")</f>
        <v>81070308</v>
      </c>
      <c r="F913" s="12" t="s">
        <v>2570</v>
      </c>
      <c r="G913" s="9" t="s">
        <v>2571</v>
      </c>
      <c r="H913" s="9" t="s">
        <v>2572</v>
      </c>
      <c r="I913" s="10">
        <v>45559</v>
      </c>
    </row>
    <row r="914" spans="1:9" x14ac:dyDescent="0.15">
      <c r="A914" s="9">
        <v>913</v>
      </c>
      <c r="B914" s="9" t="s">
        <v>9</v>
      </c>
      <c r="C914" s="9">
        <v>1916</v>
      </c>
      <c r="D914" s="10">
        <v>45646</v>
      </c>
      <c r="E914" s="13" t="str">
        <f>+HYPERLINK("http://trademark.i-assist.jp/data/china/image_1916th/81070413.pdf","81070413")</f>
        <v>81070413</v>
      </c>
      <c r="F914" s="12" t="s">
        <v>2573</v>
      </c>
      <c r="G914" s="9" t="s">
        <v>2574</v>
      </c>
      <c r="H914" s="9" t="s">
        <v>2575</v>
      </c>
      <c r="I914" s="10">
        <v>45559</v>
      </c>
    </row>
    <row r="915" spans="1:9" x14ac:dyDescent="0.15">
      <c r="A915" s="9">
        <v>914</v>
      </c>
      <c r="B915" s="9" t="s">
        <v>9</v>
      </c>
      <c r="C915" s="9">
        <v>1916</v>
      </c>
      <c r="D915" s="10">
        <v>45646</v>
      </c>
      <c r="E915" s="13" t="str">
        <f>+HYPERLINK("http://trademark.i-assist.jp/data/china/image_1916th/81070437.pdf","81070437")</f>
        <v>81070437</v>
      </c>
      <c r="F915" s="9" t="s">
        <v>2576</v>
      </c>
      <c r="G915" s="9" t="s">
        <v>2577</v>
      </c>
      <c r="H915" s="9" t="s">
        <v>2578</v>
      </c>
      <c r="I915" s="10">
        <v>45559</v>
      </c>
    </row>
    <row r="916" spans="1:9" x14ac:dyDescent="0.15">
      <c r="A916" s="9">
        <v>915</v>
      </c>
      <c r="B916" s="9" t="s">
        <v>9</v>
      </c>
      <c r="C916" s="9">
        <v>1916</v>
      </c>
      <c r="D916" s="10">
        <v>45646</v>
      </c>
      <c r="E916" s="13" t="str">
        <f>+HYPERLINK("http://trademark.i-assist.jp/data/china/image_1916th/81070749.pdf","81070749")</f>
        <v>81070749</v>
      </c>
      <c r="F916" s="9" t="s">
        <v>2579</v>
      </c>
      <c r="G916" s="9" t="s">
        <v>2580</v>
      </c>
      <c r="H916" s="9" t="s">
        <v>2581</v>
      </c>
      <c r="I916" s="10">
        <v>45559</v>
      </c>
    </row>
    <row r="917" spans="1:9" x14ac:dyDescent="0.15">
      <c r="A917" s="9">
        <v>916</v>
      </c>
      <c r="B917" s="9" t="s">
        <v>9</v>
      </c>
      <c r="C917" s="9">
        <v>1916</v>
      </c>
      <c r="D917" s="10">
        <v>45646</v>
      </c>
      <c r="E917" s="13" t="str">
        <f>+HYPERLINK("http://trademark.i-assist.jp/data/china/image_1916th/81071457.pdf","81071457")</f>
        <v>81071457</v>
      </c>
      <c r="F917" s="12" t="s">
        <v>2582</v>
      </c>
      <c r="G917" s="9" t="s">
        <v>66</v>
      </c>
      <c r="H917" s="9" t="s">
        <v>2583</v>
      </c>
      <c r="I917" s="10">
        <v>45559</v>
      </c>
    </row>
    <row r="918" spans="1:9" x14ac:dyDescent="0.15">
      <c r="A918" s="9">
        <v>917</v>
      </c>
      <c r="B918" s="9" t="s">
        <v>9</v>
      </c>
      <c r="C918" s="9">
        <v>1916</v>
      </c>
      <c r="D918" s="10">
        <v>45646</v>
      </c>
      <c r="E918" s="13" t="str">
        <f>+HYPERLINK("http://trademark.i-assist.jp/data/china/image_1916th/81072875.pdf","81072875")</f>
        <v>81072875</v>
      </c>
      <c r="F918" s="9" t="s">
        <v>2584</v>
      </c>
      <c r="G918" s="9" t="s">
        <v>2585</v>
      </c>
      <c r="H918" s="9" t="s">
        <v>2586</v>
      </c>
      <c r="I918" s="10">
        <v>45559</v>
      </c>
    </row>
    <row r="919" spans="1:9" x14ac:dyDescent="0.15">
      <c r="A919" s="9">
        <v>918</v>
      </c>
      <c r="B919" s="9" t="s">
        <v>9</v>
      </c>
      <c r="C919" s="9">
        <v>1916</v>
      </c>
      <c r="D919" s="10">
        <v>45646</v>
      </c>
      <c r="E919" s="13" t="str">
        <f>+HYPERLINK("http://trademark.i-assist.jp/data/china/image_1916th/81073045.pdf","81073045")</f>
        <v>81073045</v>
      </c>
      <c r="F919" s="9" t="s">
        <v>2587</v>
      </c>
      <c r="G919" s="12" t="s">
        <v>1742</v>
      </c>
      <c r="H919" s="9" t="s">
        <v>2588</v>
      </c>
      <c r="I919" s="10">
        <v>45559</v>
      </c>
    </row>
    <row r="920" spans="1:9" x14ac:dyDescent="0.15">
      <c r="A920" s="9">
        <v>919</v>
      </c>
      <c r="B920" s="9" t="s">
        <v>9</v>
      </c>
      <c r="C920" s="9">
        <v>1916</v>
      </c>
      <c r="D920" s="10">
        <v>45646</v>
      </c>
      <c r="E920" s="13" t="str">
        <f>+HYPERLINK("http://trademark.i-assist.jp/data/china/image_1916th/81073476.pdf","81073476")</f>
        <v>81073476</v>
      </c>
      <c r="F920" s="12" t="s">
        <v>2589</v>
      </c>
      <c r="G920" s="12" t="s">
        <v>2590</v>
      </c>
      <c r="H920" s="9" t="s">
        <v>2591</v>
      </c>
      <c r="I920" s="10">
        <v>45559</v>
      </c>
    </row>
    <row r="921" spans="1:9" x14ac:dyDescent="0.15">
      <c r="A921" s="9">
        <v>920</v>
      </c>
      <c r="B921" s="9" t="s">
        <v>9</v>
      </c>
      <c r="C921" s="9">
        <v>1916</v>
      </c>
      <c r="D921" s="10">
        <v>45646</v>
      </c>
      <c r="E921" s="13" t="str">
        <f>+HYPERLINK("http://trademark.i-assist.jp/data/china/image_1916th/81073711.pdf","81073711")</f>
        <v>81073711</v>
      </c>
      <c r="F921" s="12" t="s">
        <v>2592</v>
      </c>
      <c r="G921" s="12" t="s">
        <v>2593</v>
      </c>
      <c r="H921" s="12" t="s">
        <v>2594</v>
      </c>
      <c r="I921" s="10">
        <v>45559</v>
      </c>
    </row>
    <row r="922" spans="1:9" x14ac:dyDescent="0.15">
      <c r="A922" s="9">
        <v>921</v>
      </c>
      <c r="B922" s="9" t="s">
        <v>9</v>
      </c>
      <c r="C922" s="9">
        <v>1916</v>
      </c>
      <c r="D922" s="10">
        <v>45646</v>
      </c>
      <c r="E922" s="13" t="str">
        <f>+HYPERLINK("http://trademark.i-assist.jp/data/china/image_1916th/81073980.pdf","81073980")</f>
        <v>81073980</v>
      </c>
      <c r="F922" s="9" t="s">
        <v>2595</v>
      </c>
      <c r="G922" s="9" t="s">
        <v>2596</v>
      </c>
      <c r="H922" s="9" t="s">
        <v>2597</v>
      </c>
      <c r="I922" s="10">
        <v>45559</v>
      </c>
    </row>
    <row r="923" spans="1:9" x14ac:dyDescent="0.15">
      <c r="A923" s="9">
        <v>922</v>
      </c>
      <c r="B923" s="9" t="s">
        <v>9</v>
      </c>
      <c r="C923" s="9">
        <v>1916</v>
      </c>
      <c r="D923" s="10">
        <v>45646</v>
      </c>
      <c r="E923" s="13" t="str">
        <f>+HYPERLINK("http://trademark.i-assist.jp/data/china/image_1916th/81074106.pdf","81074106")</f>
        <v>81074106</v>
      </c>
      <c r="F923" s="9" t="s">
        <v>2598</v>
      </c>
      <c r="G923" s="9" t="s">
        <v>2599</v>
      </c>
      <c r="H923" s="9" t="s">
        <v>2600</v>
      </c>
      <c r="I923" s="10">
        <v>45559</v>
      </c>
    </row>
    <row r="924" spans="1:9" x14ac:dyDescent="0.15">
      <c r="A924" s="9">
        <v>923</v>
      </c>
      <c r="B924" s="9" t="s">
        <v>9</v>
      </c>
      <c r="C924" s="9">
        <v>1916</v>
      </c>
      <c r="D924" s="10">
        <v>45646</v>
      </c>
      <c r="E924" s="13" t="str">
        <f>+HYPERLINK("http://trademark.i-assist.jp/data/china/image_1916th/81074135.pdf","81074135")</f>
        <v>81074135</v>
      </c>
      <c r="F924" s="9" t="s">
        <v>2601</v>
      </c>
      <c r="G924" s="9" t="s">
        <v>2602</v>
      </c>
      <c r="H924" s="9" t="s">
        <v>2603</v>
      </c>
      <c r="I924" s="10">
        <v>45559</v>
      </c>
    </row>
    <row r="925" spans="1:9" x14ac:dyDescent="0.15">
      <c r="A925" s="9">
        <v>924</v>
      </c>
      <c r="B925" s="9" t="s">
        <v>9</v>
      </c>
      <c r="C925" s="9">
        <v>1916</v>
      </c>
      <c r="D925" s="10">
        <v>45646</v>
      </c>
      <c r="E925" s="13" t="str">
        <f>+HYPERLINK("http://trademark.i-assist.jp/data/china/image_1916th/81074621.pdf","81074621")</f>
        <v>81074621</v>
      </c>
      <c r="F925" s="9" t="s">
        <v>2604</v>
      </c>
      <c r="G925" s="9" t="s">
        <v>2605</v>
      </c>
      <c r="H925" s="9" t="s">
        <v>2606</v>
      </c>
      <c r="I925" s="10">
        <v>45559</v>
      </c>
    </row>
    <row r="926" spans="1:9" x14ac:dyDescent="0.15">
      <c r="A926" s="9">
        <v>925</v>
      </c>
      <c r="B926" s="9" t="s">
        <v>9</v>
      </c>
      <c r="C926" s="9">
        <v>1916</v>
      </c>
      <c r="D926" s="10">
        <v>45646</v>
      </c>
      <c r="E926" s="13" t="str">
        <f>+HYPERLINK("http://trademark.i-assist.jp/data/china/image_1916th/81075003.pdf","81075003")</f>
        <v>81075003</v>
      </c>
      <c r="F926" s="9" t="s">
        <v>2607</v>
      </c>
      <c r="G926" s="12" t="s">
        <v>2608</v>
      </c>
      <c r="H926" s="12" t="s">
        <v>2609</v>
      </c>
      <c r="I926" s="10">
        <v>45559</v>
      </c>
    </row>
    <row r="927" spans="1:9" x14ac:dyDescent="0.15">
      <c r="A927" s="9">
        <v>926</v>
      </c>
      <c r="B927" s="9" t="s">
        <v>9</v>
      </c>
      <c r="C927" s="9">
        <v>1916</v>
      </c>
      <c r="D927" s="10">
        <v>45646</v>
      </c>
      <c r="E927" s="13" t="str">
        <f>+HYPERLINK("http://trademark.i-assist.jp/data/china/image_1916th/81075306.pdf","81075306")</f>
        <v>81075306</v>
      </c>
      <c r="F927" s="12" t="s">
        <v>2610</v>
      </c>
      <c r="G927" s="9" t="s">
        <v>2611</v>
      </c>
      <c r="H927" s="9" t="s">
        <v>2612</v>
      </c>
      <c r="I927" s="10">
        <v>45559</v>
      </c>
    </row>
    <row r="928" spans="1:9" x14ac:dyDescent="0.15">
      <c r="A928" s="9">
        <v>927</v>
      </c>
      <c r="B928" s="9" t="s">
        <v>9</v>
      </c>
      <c r="C928" s="9">
        <v>1916</v>
      </c>
      <c r="D928" s="10">
        <v>45646</v>
      </c>
      <c r="E928" s="13" t="str">
        <f>+HYPERLINK("http://trademark.i-assist.jp/data/china/image_1916th/81075371.pdf","81075371")</f>
        <v>81075371</v>
      </c>
      <c r="F928" s="9" t="s">
        <v>2613</v>
      </c>
      <c r="G928" s="12" t="s">
        <v>2614</v>
      </c>
      <c r="H928" s="9" t="s">
        <v>2615</v>
      </c>
      <c r="I928" s="10">
        <v>45559</v>
      </c>
    </row>
    <row r="929" spans="1:9" x14ac:dyDescent="0.15">
      <c r="A929" s="9">
        <v>928</v>
      </c>
      <c r="B929" s="9" t="s">
        <v>9</v>
      </c>
      <c r="C929" s="9">
        <v>1916</v>
      </c>
      <c r="D929" s="10">
        <v>45646</v>
      </c>
      <c r="E929" s="13" t="str">
        <f>+HYPERLINK("http://trademark.i-assist.jp/data/china/image_1916th/81075619.pdf","81075619")</f>
        <v>81075619</v>
      </c>
      <c r="F929" s="12" t="s">
        <v>13</v>
      </c>
      <c r="G929" s="9" t="s">
        <v>2616</v>
      </c>
      <c r="H929" s="9" t="s">
        <v>2617</v>
      </c>
      <c r="I929" s="10">
        <v>45559</v>
      </c>
    </row>
    <row r="930" spans="1:9" x14ac:dyDescent="0.15">
      <c r="A930" s="9">
        <v>929</v>
      </c>
      <c r="B930" s="9" t="s">
        <v>9</v>
      </c>
      <c r="C930" s="9">
        <v>1916</v>
      </c>
      <c r="D930" s="10">
        <v>45646</v>
      </c>
      <c r="E930" s="13" t="str">
        <f>+HYPERLINK("http://trademark.i-assist.jp/data/china/image_1916th/81075650.pdf","81075650")</f>
        <v>81075650</v>
      </c>
      <c r="F930" s="9" t="s">
        <v>2618</v>
      </c>
      <c r="G930" s="9" t="s">
        <v>2619</v>
      </c>
      <c r="H930" s="9" t="s">
        <v>2620</v>
      </c>
      <c r="I930" s="10">
        <v>45559</v>
      </c>
    </row>
    <row r="931" spans="1:9" x14ac:dyDescent="0.15">
      <c r="A931" s="9">
        <v>930</v>
      </c>
      <c r="B931" s="9" t="s">
        <v>9</v>
      </c>
      <c r="C931" s="9">
        <v>1916</v>
      </c>
      <c r="D931" s="10">
        <v>45646</v>
      </c>
      <c r="E931" s="13" t="str">
        <f>+HYPERLINK("http://trademark.i-assist.jp/data/china/image_1916th/81075663.pdf","81075663")</f>
        <v>81075663</v>
      </c>
      <c r="F931" s="9" t="s">
        <v>2621</v>
      </c>
      <c r="G931" s="9" t="s">
        <v>2622</v>
      </c>
      <c r="H931" s="9" t="s">
        <v>2623</v>
      </c>
      <c r="I931" s="10">
        <v>45559</v>
      </c>
    </row>
    <row r="932" spans="1:9" x14ac:dyDescent="0.15">
      <c r="A932" s="9">
        <v>931</v>
      </c>
      <c r="B932" s="9" t="s">
        <v>9</v>
      </c>
      <c r="C932" s="9">
        <v>1916</v>
      </c>
      <c r="D932" s="10">
        <v>45646</v>
      </c>
      <c r="E932" s="13" t="str">
        <f>+HYPERLINK("http://trademark.i-assist.jp/data/china/image_1916th/81075832.pdf","81075832")</f>
        <v>81075832</v>
      </c>
      <c r="F932" s="9" t="s">
        <v>2624</v>
      </c>
      <c r="G932" s="12" t="s">
        <v>2625</v>
      </c>
      <c r="H932" s="9" t="s">
        <v>2626</v>
      </c>
      <c r="I932" s="10">
        <v>45559</v>
      </c>
    </row>
    <row r="933" spans="1:9" x14ac:dyDescent="0.15">
      <c r="A933" s="9">
        <v>932</v>
      </c>
      <c r="B933" s="9" t="s">
        <v>9</v>
      </c>
      <c r="C933" s="9">
        <v>1916</v>
      </c>
      <c r="D933" s="10">
        <v>45646</v>
      </c>
      <c r="E933" s="13" t="str">
        <f>+HYPERLINK("http://trademark.i-assist.jp/data/china/image_1916th/81075907.pdf","81075907")</f>
        <v>81075907</v>
      </c>
      <c r="F933" s="9" t="s">
        <v>2627</v>
      </c>
      <c r="G933" s="12" t="s">
        <v>2628</v>
      </c>
      <c r="H933" s="9" t="s">
        <v>2629</v>
      </c>
      <c r="I933" s="10">
        <v>45559</v>
      </c>
    </row>
    <row r="934" spans="1:9" x14ac:dyDescent="0.15">
      <c r="A934" s="9">
        <v>933</v>
      </c>
      <c r="B934" s="9" t="s">
        <v>9</v>
      </c>
      <c r="C934" s="9">
        <v>1916</v>
      </c>
      <c r="D934" s="10">
        <v>45646</v>
      </c>
      <c r="E934" s="13" t="str">
        <f>+HYPERLINK("http://trademark.i-assist.jp/data/china/image_1916th/81076207.pdf","81076207")</f>
        <v>81076207</v>
      </c>
      <c r="F934" s="9" t="s">
        <v>2630</v>
      </c>
      <c r="G934" s="9" t="s">
        <v>2631</v>
      </c>
      <c r="H934" s="9" t="s">
        <v>2632</v>
      </c>
      <c r="I934" s="10">
        <v>45559</v>
      </c>
    </row>
    <row r="935" spans="1:9" x14ac:dyDescent="0.15">
      <c r="A935" s="9">
        <v>934</v>
      </c>
      <c r="B935" s="9" t="s">
        <v>9</v>
      </c>
      <c r="C935" s="9">
        <v>1916</v>
      </c>
      <c r="D935" s="10">
        <v>45646</v>
      </c>
      <c r="E935" s="13" t="str">
        <f>+HYPERLINK("http://trademark.i-assist.jp/data/china/image_1916th/81076291.pdf","81076291")</f>
        <v>81076291</v>
      </c>
      <c r="F935" s="12" t="s">
        <v>2633</v>
      </c>
      <c r="G935" s="9" t="s">
        <v>2634</v>
      </c>
      <c r="H935" s="9" t="s">
        <v>2635</v>
      </c>
      <c r="I935" s="10">
        <v>45559</v>
      </c>
    </row>
    <row r="936" spans="1:9" x14ac:dyDescent="0.15">
      <c r="A936" s="9">
        <v>935</v>
      </c>
      <c r="B936" s="9" t="s">
        <v>9</v>
      </c>
      <c r="C936" s="9">
        <v>1916</v>
      </c>
      <c r="D936" s="10">
        <v>45646</v>
      </c>
      <c r="E936" s="13" t="str">
        <f>+HYPERLINK("http://trademark.i-assist.jp/data/china/image_1916th/81076335.pdf","81076335")</f>
        <v>81076335</v>
      </c>
      <c r="F936" s="9" t="s">
        <v>2636</v>
      </c>
      <c r="G936" s="9" t="s">
        <v>2565</v>
      </c>
      <c r="H936" s="9" t="s">
        <v>2637</v>
      </c>
      <c r="I936" s="10">
        <v>45559</v>
      </c>
    </row>
    <row r="937" spans="1:9" x14ac:dyDescent="0.15">
      <c r="A937" s="9">
        <v>936</v>
      </c>
      <c r="B937" s="9" t="s">
        <v>9</v>
      </c>
      <c r="C937" s="9">
        <v>1916</v>
      </c>
      <c r="D937" s="10">
        <v>45646</v>
      </c>
      <c r="E937" s="13" t="str">
        <f>+HYPERLINK("http://trademark.i-assist.jp/data/china/image_1916th/81076480.pdf","81076480")</f>
        <v>81076480</v>
      </c>
      <c r="F937" s="12" t="s">
        <v>2638</v>
      </c>
      <c r="G937" s="12" t="s">
        <v>2568</v>
      </c>
      <c r="H937" s="9" t="s">
        <v>2639</v>
      </c>
      <c r="I937" s="10">
        <v>45559</v>
      </c>
    </row>
    <row r="938" spans="1:9" x14ac:dyDescent="0.15">
      <c r="A938" s="9">
        <v>937</v>
      </c>
      <c r="B938" s="9" t="s">
        <v>9</v>
      </c>
      <c r="C938" s="9">
        <v>1916</v>
      </c>
      <c r="D938" s="10">
        <v>45646</v>
      </c>
      <c r="E938" s="13" t="str">
        <f>+HYPERLINK("http://trademark.i-assist.jp/data/china/image_1916th/81077073.pdf","81077073")</f>
        <v>81077073</v>
      </c>
      <c r="F938" s="9" t="s">
        <v>2640</v>
      </c>
      <c r="G938" s="9" t="s">
        <v>2641</v>
      </c>
      <c r="H938" s="9" t="s">
        <v>2642</v>
      </c>
      <c r="I938" s="10">
        <v>45559</v>
      </c>
    </row>
    <row r="939" spans="1:9" x14ac:dyDescent="0.15">
      <c r="A939" s="9">
        <v>938</v>
      </c>
      <c r="B939" s="9" t="s">
        <v>9</v>
      </c>
      <c r="C939" s="9">
        <v>1916</v>
      </c>
      <c r="D939" s="10">
        <v>45646</v>
      </c>
      <c r="E939" s="13" t="str">
        <f>+HYPERLINK("http://trademark.i-assist.jp/data/china/image_1916th/81077122.pdf","81077122")</f>
        <v>81077122</v>
      </c>
      <c r="F939" s="12" t="s">
        <v>2643</v>
      </c>
      <c r="G939" s="9" t="s">
        <v>2644</v>
      </c>
      <c r="H939" s="9" t="s">
        <v>2645</v>
      </c>
      <c r="I939" s="10">
        <v>45559</v>
      </c>
    </row>
    <row r="940" spans="1:9" x14ac:dyDescent="0.15">
      <c r="A940" s="9">
        <v>939</v>
      </c>
      <c r="B940" s="9" t="s">
        <v>9</v>
      </c>
      <c r="C940" s="9">
        <v>1916</v>
      </c>
      <c r="D940" s="10">
        <v>45646</v>
      </c>
      <c r="E940" s="13" t="str">
        <f>+HYPERLINK("http://trademark.i-assist.jp/data/china/image_1916th/81077370.pdf","81077370")</f>
        <v>81077370</v>
      </c>
      <c r="F940" s="9" t="s">
        <v>2646</v>
      </c>
      <c r="G940" s="9" t="s">
        <v>2585</v>
      </c>
      <c r="H940" s="9" t="s">
        <v>2647</v>
      </c>
      <c r="I940" s="10">
        <v>45559</v>
      </c>
    </row>
    <row r="941" spans="1:9" x14ac:dyDescent="0.15">
      <c r="A941" s="9">
        <v>940</v>
      </c>
      <c r="B941" s="9" t="s">
        <v>9</v>
      </c>
      <c r="C941" s="9">
        <v>1916</v>
      </c>
      <c r="D941" s="10">
        <v>45646</v>
      </c>
      <c r="E941" s="13" t="str">
        <f>+HYPERLINK("http://trademark.i-assist.jp/data/china/image_1916th/81077897.pdf","81077897")</f>
        <v>81077897</v>
      </c>
      <c r="F941" s="9" t="s">
        <v>2648</v>
      </c>
      <c r="G941" s="12" t="s">
        <v>2649</v>
      </c>
      <c r="H941" s="9" t="s">
        <v>2650</v>
      </c>
      <c r="I941" s="10">
        <v>45559</v>
      </c>
    </row>
    <row r="942" spans="1:9" x14ac:dyDescent="0.15">
      <c r="A942" s="9">
        <v>941</v>
      </c>
      <c r="B942" s="9" t="s">
        <v>9</v>
      </c>
      <c r="C942" s="9">
        <v>1916</v>
      </c>
      <c r="D942" s="10">
        <v>45646</v>
      </c>
      <c r="E942" s="13" t="str">
        <f>+HYPERLINK("http://trademark.i-assist.jp/data/china/image_1916th/81078008.pdf","81078008")</f>
        <v>81078008</v>
      </c>
      <c r="F942" s="9" t="s">
        <v>2651</v>
      </c>
      <c r="G942" s="9" t="s">
        <v>2652</v>
      </c>
      <c r="H942" s="12" t="s">
        <v>2653</v>
      </c>
      <c r="I942" s="10">
        <v>45559</v>
      </c>
    </row>
    <row r="943" spans="1:9" x14ac:dyDescent="0.15">
      <c r="A943" s="9">
        <v>942</v>
      </c>
      <c r="B943" s="9" t="s">
        <v>9</v>
      </c>
      <c r="C943" s="9">
        <v>1916</v>
      </c>
      <c r="D943" s="10">
        <v>45646</v>
      </c>
      <c r="E943" s="13" t="str">
        <f>+HYPERLINK("http://trademark.i-assist.jp/data/china/image_1916th/81078032.pdf","81078032")</f>
        <v>81078032</v>
      </c>
      <c r="F943" s="9" t="s">
        <v>2654</v>
      </c>
      <c r="G943" s="9" t="s">
        <v>2655</v>
      </c>
      <c r="H943" s="12" t="s">
        <v>2656</v>
      </c>
      <c r="I943" s="10">
        <v>45559</v>
      </c>
    </row>
    <row r="944" spans="1:9" x14ac:dyDescent="0.15">
      <c r="A944" s="9">
        <v>943</v>
      </c>
      <c r="B944" s="9" t="s">
        <v>9</v>
      </c>
      <c r="C944" s="9">
        <v>1916</v>
      </c>
      <c r="D944" s="10">
        <v>45646</v>
      </c>
      <c r="E944" s="13" t="str">
        <f>+HYPERLINK("http://trademark.i-assist.jp/data/china/image_1916th/81078212.pdf","81078212")</f>
        <v>81078212</v>
      </c>
      <c r="F944" s="9" t="s">
        <v>2657</v>
      </c>
      <c r="G944" s="12" t="s">
        <v>1756</v>
      </c>
      <c r="H944" s="9" t="s">
        <v>2658</v>
      </c>
      <c r="I944" s="10">
        <v>45559</v>
      </c>
    </row>
    <row r="945" spans="1:9" x14ac:dyDescent="0.15">
      <c r="A945" s="9">
        <v>944</v>
      </c>
      <c r="B945" s="9" t="s">
        <v>9</v>
      </c>
      <c r="C945" s="9">
        <v>1916</v>
      </c>
      <c r="D945" s="10">
        <v>45646</v>
      </c>
      <c r="E945" s="13" t="str">
        <f>+HYPERLINK("http://trademark.i-assist.jp/data/china/image_1916th/81078323.pdf","81078323")</f>
        <v>81078323</v>
      </c>
      <c r="F945" s="9" t="s">
        <v>2659</v>
      </c>
      <c r="G945" s="12" t="s">
        <v>2660</v>
      </c>
      <c r="H945" s="9" t="s">
        <v>2661</v>
      </c>
      <c r="I945" s="10">
        <v>45559</v>
      </c>
    </row>
    <row r="946" spans="1:9" x14ac:dyDescent="0.15">
      <c r="A946" s="9">
        <v>945</v>
      </c>
      <c r="B946" s="9" t="s">
        <v>9</v>
      </c>
      <c r="C946" s="9">
        <v>1916</v>
      </c>
      <c r="D946" s="10">
        <v>45646</v>
      </c>
      <c r="E946" s="13" t="str">
        <f>+HYPERLINK("http://trademark.i-assist.jp/data/china/image_1916th/81078524.pdf","81078524")</f>
        <v>81078524</v>
      </c>
      <c r="F946" s="9" t="s">
        <v>2662</v>
      </c>
      <c r="G946" s="9" t="s">
        <v>2663</v>
      </c>
      <c r="H946" s="9" t="s">
        <v>2664</v>
      </c>
      <c r="I946" s="10">
        <v>45559</v>
      </c>
    </row>
    <row r="947" spans="1:9" x14ac:dyDescent="0.15">
      <c r="A947" s="9">
        <v>946</v>
      </c>
      <c r="B947" s="9" t="s">
        <v>9</v>
      </c>
      <c r="C947" s="9">
        <v>1916</v>
      </c>
      <c r="D947" s="10">
        <v>45646</v>
      </c>
      <c r="E947" s="13" t="str">
        <f>+HYPERLINK("http://trademark.i-assist.jp/data/china/image_1916th/81078742.pdf","81078742")</f>
        <v>81078742</v>
      </c>
      <c r="F947" s="12" t="s">
        <v>2665</v>
      </c>
      <c r="G947" s="9" t="s">
        <v>2585</v>
      </c>
      <c r="H947" s="9" t="s">
        <v>2666</v>
      </c>
      <c r="I947" s="10">
        <v>45559</v>
      </c>
    </row>
    <row r="948" spans="1:9" x14ac:dyDescent="0.15">
      <c r="A948" s="9">
        <v>947</v>
      </c>
      <c r="B948" s="9" t="s">
        <v>9</v>
      </c>
      <c r="C948" s="9">
        <v>1916</v>
      </c>
      <c r="D948" s="10">
        <v>45646</v>
      </c>
      <c r="E948" s="13" t="str">
        <f>+HYPERLINK("http://trademark.i-assist.jp/data/china/image_1916th/81078848.pdf","81078848")</f>
        <v>81078848</v>
      </c>
      <c r="F948" s="9" t="s">
        <v>2667</v>
      </c>
      <c r="G948" s="9" t="s">
        <v>2668</v>
      </c>
      <c r="H948" s="9" t="s">
        <v>2669</v>
      </c>
      <c r="I948" s="10">
        <v>45559</v>
      </c>
    </row>
    <row r="949" spans="1:9" x14ac:dyDescent="0.15">
      <c r="A949" s="9">
        <v>948</v>
      </c>
      <c r="B949" s="9" t="s">
        <v>9</v>
      </c>
      <c r="C949" s="9">
        <v>1916</v>
      </c>
      <c r="D949" s="10">
        <v>45646</v>
      </c>
      <c r="E949" s="13" t="str">
        <f>+HYPERLINK("http://trademark.i-assist.jp/data/china/image_1916th/81079264.pdf","81079264")</f>
        <v>81079264</v>
      </c>
      <c r="F949" s="9" t="s">
        <v>2670</v>
      </c>
      <c r="G949" s="9" t="s">
        <v>2671</v>
      </c>
      <c r="H949" s="9" t="s">
        <v>2672</v>
      </c>
      <c r="I949" s="10">
        <v>45559</v>
      </c>
    </row>
    <row r="950" spans="1:9" x14ac:dyDescent="0.15">
      <c r="A950" s="9">
        <v>949</v>
      </c>
      <c r="B950" s="9" t="s">
        <v>9</v>
      </c>
      <c r="C950" s="9">
        <v>1916</v>
      </c>
      <c r="D950" s="10">
        <v>45646</v>
      </c>
      <c r="E950" s="13" t="str">
        <f>+HYPERLINK("http://trademark.i-assist.jp/data/china/image_1916th/81079655.pdf","81079655")</f>
        <v>81079655</v>
      </c>
      <c r="F950" s="9" t="s">
        <v>2595</v>
      </c>
      <c r="G950" s="9" t="s">
        <v>2596</v>
      </c>
      <c r="H950" s="9" t="s">
        <v>2673</v>
      </c>
      <c r="I950" s="10">
        <v>45559</v>
      </c>
    </row>
    <row r="951" spans="1:9" x14ac:dyDescent="0.15">
      <c r="A951" s="9">
        <v>950</v>
      </c>
      <c r="B951" s="9" t="s">
        <v>9</v>
      </c>
      <c r="C951" s="9">
        <v>1916</v>
      </c>
      <c r="D951" s="10">
        <v>45646</v>
      </c>
      <c r="E951" s="13" t="str">
        <f>+HYPERLINK("http://trademark.i-assist.jp/data/china/image_1916th/81079780.pdf","81079780")</f>
        <v>81079780</v>
      </c>
      <c r="F951" s="12" t="s">
        <v>2674</v>
      </c>
      <c r="G951" s="12" t="s">
        <v>2675</v>
      </c>
      <c r="H951" s="9" t="s">
        <v>2676</v>
      </c>
      <c r="I951" s="10">
        <v>45559</v>
      </c>
    </row>
    <row r="952" spans="1:9" x14ac:dyDescent="0.15">
      <c r="A952" s="9">
        <v>951</v>
      </c>
      <c r="B952" s="9" t="s">
        <v>9</v>
      </c>
      <c r="C952" s="9">
        <v>1916</v>
      </c>
      <c r="D952" s="10">
        <v>45646</v>
      </c>
      <c r="E952" s="13" t="str">
        <f>+HYPERLINK("http://trademark.i-assist.jp/data/china/image_1916th/81079794.pdf","81079794")</f>
        <v>81079794</v>
      </c>
      <c r="F952" s="9" t="s">
        <v>2677</v>
      </c>
      <c r="G952" s="9" t="s">
        <v>2678</v>
      </c>
      <c r="H952" s="9" t="s">
        <v>2679</v>
      </c>
      <c r="I952" s="10">
        <v>45559</v>
      </c>
    </row>
    <row r="953" spans="1:9" x14ac:dyDescent="0.15">
      <c r="A953" s="9">
        <v>952</v>
      </c>
      <c r="B953" s="9" t="s">
        <v>9</v>
      </c>
      <c r="C953" s="9">
        <v>1916</v>
      </c>
      <c r="D953" s="10">
        <v>45646</v>
      </c>
      <c r="E953" s="13" t="str">
        <f>+HYPERLINK("http://trademark.i-assist.jp/data/china/image_1916th/81079961.pdf","81079961")</f>
        <v>81079961</v>
      </c>
      <c r="F953" s="9" t="s">
        <v>2680</v>
      </c>
      <c r="G953" s="12" t="s">
        <v>2681</v>
      </c>
      <c r="H953" s="9" t="s">
        <v>2682</v>
      </c>
      <c r="I953" s="10">
        <v>45559</v>
      </c>
    </row>
    <row r="954" spans="1:9" x14ac:dyDescent="0.15">
      <c r="A954" s="9">
        <v>953</v>
      </c>
      <c r="B954" s="9" t="s">
        <v>9</v>
      </c>
      <c r="C954" s="9">
        <v>1916</v>
      </c>
      <c r="D954" s="10">
        <v>45646</v>
      </c>
      <c r="E954" s="13" t="str">
        <f>+HYPERLINK("http://trademark.i-assist.jp/data/china/image_1916th/81080046.pdf","81080046")</f>
        <v>81080046</v>
      </c>
      <c r="F954" s="9" t="s">
        <v>2683</v>
      </c>
      <c r="G954" s="9" t="s">
        <v>2684</v>
      </c>
      <c r="H954" s="9" t="s">
        <v>2685</v>
      </c>
      <c r="I954" s="10">
        <v>45559</v>
      </c>
    </row>
    <row r="955" spans="1:9" x14ac:dyDescent="0.15">
      <c r="A955" s="9">
        <v>954</v>
      </c>
      <c r="B955" s="9" t="s">
        <v>9</v>
      </c>
      <c r="C955" s="9">
        <v>1916</v>
      </c>
      <c r="D955" s="10">
        <v>45646</v>
      </c>
      <c r="E955" s="13" t="str">
        <f>+HYPERLINK("http://trademark.i-assist.jp/data/china/image_1916th/81080247.pdf","81080247")</f>
        <v>81080247</v>
      </c>
      <c r="F955" s="12" t="s">
        <v>2686</v>
      </c>
      <c r="G955" s="9" t="s">
        <v>2687</v>
      </c>
      <c r="H955" s="9" t="s">
        <v>2688</v>
      </c>
      <c r="I955" s="10">
        <v>45559</v>
      </c>
    </row>
    <row r="956" spans="1:9" x14ac:dyDescent="0.15">
      <c r="A956" s="9">
        <v>955</v>
      </c>
      <c r="B956" s="9" t="s">
        <v>9</v>
      </c>
      <c r="C956" s="9">
        <v>1916</v>
      </c>
      <c r="D956" s="10">
        <v>45646</v>
      </c>
      <c r="E956" s="13" t="str">
        <f>+HYPERLINK("http://trademark.i-assist.jp/data/china/image_1916th/81080474.pdf","81080474")</f>
        <v>81080474</v>
      </c>
      <c r="F956" s="9" t="s">
        <v>2689</v>
      </c>
      <c r="G956" s="12" t="s">
        <v>2690</v>
      </c>
      <c r="H956" s="9" t="s">
        <v>2691</v>
      </c>
      <c r="I956" s="10">
        <v>45559</v>
      </c>
    </row>
    <row r="957" spans="1:9" x14ac:dyDescent="0.15">
      <c r="A957" s="9">
        <v>956</v>
      </c>
      <c r="B957" s="9" t="s">
        <v>9</v>
      </c>
      <c r="C957" s="9">
        <v>1916</v>
      </c>
      <c r="D957" s="10">
        <v>45646</v>
      </c>
      <c r="E957" s="13" t="str">
        <f>+HYPERLINK("http://trademark.i-assist.jp/data/china/image_1916th/81080480.pdf","81080480")</f>
        <v>81080480</v>
      </c>
      <c r="F957" s="9" t="s">
        <v>2692</v>
      </c>
      <c r="G957" s="9" t="s">
        <v>2693</v>
      </c>
      <c r="H957" s="9" t="s">
        <v>2694</v>
      </c>
      <c r="I957" s="10">
        <v>45559</v>
      </c>
    </row>
    <row r="958" spans="1:9" x14ac:dyDescent="0.15">
      <c r="A958" s="9">
        <v>957</v>
      </c>
      <c r="B958" s="9" t="s">
        <v>9</v>
      </c>
      <c r="C958" s="9">
        <v>1916</v>
      </c>
      <c r="D958" s="10">
        <v>45646</v>
      </c>
      <c r="E958" s="13" t="str">
        <f>+HYPERLINK("http://trademark.i-assist.jp/data/china/image_1916th/81080691.pdf","81080691")</f>
        <v>81080691</v>
      </c>
      <c r="F958" s="12" t="s">
        <v>2695</v>
      </c>
      <c r="G958" s="12" t="s">
        <v>2696</v>
      </c>
      <c r="H958" s="9" t="s">
        <v>2697</v>
      </c>
      <c r="I958" s="10">
        <v>45559</v>
      </c>
    </row>
    <row r="959" spans="1:9" x14ac:dyDescent="0.15">
      <c r="A959" s="9">
        <v>958</v>
      </c>
      <c r="B959" s="9" t="s">
        <v>9</v>
      </c>
      <c r="C959" s="9">
        <v>1916</v>
      </c>
      <c r="D959" s="10">
        <v>45646</v>
      </c>
      <c r="E959" s="13" t="str">
        <f>+HYPERLINK("http://trademark.i-assist.jp/data/china/image_1916th/81080704.pdf","81080704")</f>
        <v>81080704</v>
      </c>
      <c r="F959" s="9" t="s">
        <v>2698</v>
      </c>
      <c r="G959" s="9" t="s">
        <v>2699</v>
      </c>
      <c r="H959" s="12" t="s">
        <v>2700</v>
      </c>
      <c r="I959" s="10">
        <v>45559</v>
      </c>
    </row>
    <row r="960" spans="1:9" x14ac:dyDescent="0.15">
      <c r="A960" s="9">
        <v>959</v>
      </c>
      <c r="B960" s="9" t="s">
        <v>9</v>
      </c>
      <c r="C960" s="9">
        <v>1916</v>
      </c>
      <c r="D960" s="10">
        <v>45646</v>
      </c>
      <c r="E960" s="13" t="str">
        <f>+HYPERLINK("http://trademark.i-assist.jp/data/china/image_1916th/81080728.pdf","81080728")</f>
        <v>81080728</v>
      </c>
      <c r="F960" s="9" t="s">
        <v>2701</v>
      </c>
      <c r="G960" s="9" t="s">
        <v>2702</v>
      </c>
      <c r="H960" s="9" t="s">
        <v>2703</v>
      </c>
      <c r="I960" s="10">
        <v>45559</v>
      </c>
    </row>
    <row r="961" spans="1:9" x14ac:dyDescent="0.15">
      <c r="A961" s="9">
        <v>960</v>
      </c>
      <c r="B961" s="9" t="s">
        <v>9</v>
      </c>
      <c r="C961" s="9">
        <v>1916</v>
      </c>
      <c r="D961" s="10">
        <v>45646</v>
      </c>
      <c r="E961" s="13" t="str">
        <f>+HYPERLINK("http://trademark.i-assist.jp/data/china/image_1916th/81080856.pdf","81080856")</f>
        <v>81080856</v>
      </c>
      <c r="F961" s="12" t="s">
        <v>2704</v>
      </c>
      <c r="G961" s="9" t="s">
        <v>2705</v>
      </c>
      <c r="H961" s="9" t="s">
        <v>2706</v>
      </c>
      <c r="I961" s="10">
        <v>45559</v>
      </c>
    </row>
    <row r="962" spans="1:9" x14ac:dyDescent="0.15">
      <c r="A962" s="9">
        <v>961</v>
      </c>
      <c r="B962" s="9" t="s">
        <v>9</v>
      </c>
      <c r="C962" s="9">
        <v>1916</v>
      </c>
      <c r="D962" s="10">
        <v>45646</v>
      </c>
      <c r="E962" s="13" t="str">
        <f>+HYPERLINK("http://trademark.i-assist.jp/data/china/image_1916th/81081506.pdf","81081506")</f>
        <v>81081506</v>
      </c>
      <c r="F962" s="12" t="s">
        <v>2707</v>
      </c>
      <c r="G962" s="9" t="s">
        <v>62</v>
      </c>
      <c r="H962" s="9" t="s">
        <v>2708</v>
      </c>
      <c r="I962" s="10">
        <v>45559</v>
      </c>
    </row>
    <row r="963" spans="1:9" x14ac:dyDescent="0.15">
      <c r="A963" s="9">
        <v>962</v>
      </c>
      <c r="B963" s="9" t="s">
        <v>9</v>
      </c>
      <c r="C963" s="9">
        <v>1916</v>
      </c>
      <c r="D963" s="10">
        <v>45646</v>
      </c>
      <c r="E963" s="13" t="str">
        <f>+HYPERLINK("http://trademark.i-assist.jp/data/china/image_1916th/81082106.pdf","81082106")</f>
        <v>81082106</v>
      </c>
      <c r="F963" s="12" t="s">
        <v>2709</v>
      </c>
      <c r="G963" s="9" t="s">
        <v>2574</v>
      </c>
      <c r="H963" s="9" t="s">
        <v>2710</v>
      </c>
      <c r="I963" s="10">
        <v>45559</v>
      </c>
    </row>
    <row r="964" spans="1:9" x14ac:dyDescent="0.15">
      <c r="A964" s="9">
        <v>963</v>
      </c>
      <c r="B964" s="9" t="s">
        <v>9</v>
      </c>
      <c r="C964" s="9">
        <v>1916</v>
      </c>
      <c r="D964" s="10">
        <v>45646</v>
      </c>
      <c r="E964" s="13" t="str">
        <f>+HYPERLINK("http://trademark.i-assist.jp/data/china/image_1916th/81082264.pdf","81082264")</f>
        <v>81082264</v>
      </c>
      <c r="F964" s="9" t="s">
        <v>2711</v>
      </c>
      <c r="G964" s="9" t="s">
        <v>2571</v>
      </c>
      <c r="H964" s="12" t="s">
        <v>2712</v>
      </c>
      <c r="I964" s="10">
        <v>45559</v>
      </c>
    </row>
    <row r="965" spans="1:9" x14ac:dyDescent="0.15">
      <c r="A965" s="9">
        <v>964</v>
      </c>
      <c r="B965" s="9" t="s">
        <v>9</v>
      </c>
      <c r="C965" s="9">
        <v>1916</v>
      </c>
      <c r="D965" s="10">
        <v>45646</v>
      </c>
      <c r="E965" s="13" t="str">
        <f>+HYPERLINK("http://trademark.i-assist.jp/data/china/image_1916th/81082314.pdf","81082314")</f>
        <v>81082314</v>
      </c>
      <c r="F965" s="9" t="s">
        <v>2713</v>
      </c>
      <c r="G965" s="12" t="s">
        <v>2714</v>
      </c>
      <c r="H965" s="9" t="s">
        <v>2715</v>
      </c>
      <c r="I965" s="10">
        <v>45559</v>
      </c>
    </row>
    <row r="966" spans="1:9" x14ac:dyDescent="0.15">
      <c r="A966" s="9">
        <v>965</v>
      </c>
      <c r="B966" s="9" t="s">
        <v>9</v>
      </c>
      <c r="C966" s="9">
        <v>1916</v>
      </c>
      <c r="D966" s="10">
        <v>45646</v>
      </c>
      <c r="E966" s="13" t="str">
        <f>+HYPERLINK("http://trademark.i-assist.jp/data/china/image_1916th/81082710.pdf","81082710")</f>
        <v>81082710</v>
      </c>
      <c r="F966" s="9" t="s">
        <v>2716</v>
      </c>
      <c r="G966" s="9" t="s">
        <v>33</v>
      </c>
      <c r="H966" s="9" t="s">
        <v>2717</v>
      </c>
      <c r="I966" s="10">
        <v>45559</v>
      </c>
    </row>
    <row r="967" spans="1:9" x14ac:dyDescent="0.15">
      <c r="A967" s="9">
        <v>966</v>
      </c>
      <c r="B967" s="9" t="s">
        <v>9</v>
      </c>
      <c r="C967" s="9">
        <v>1916</v>
      </c>
      <c r="D967" s="10">
        <v>45646</v>
      </c>
      <c r="E967" s="13" t="str">
        <f>+HYPERLINK("http://trademark.i-assist.jp/data/china/image_1916th/81082840.pdf","81082840")</f>
        <v>81082840</v>
      </c>
      <c r="F967" s="9" t="s">
        <v>2718</v>
      </c>
      <c r="G967" s="9" t="s">
        <v>2719</v>
      </c>
      <c r="H967" s="9" t="s">
        <v>2720</v>
      </c>
      <c r="I967" s="10">
        <v>45559</v>
      </c>
    </row>
    <row r="968" spans="1:9" x14ac:dyDescent="0.15">
      <c r="A968" s="9">
        <v>967</v>
      </c>
      <c r="B968" s="9" t="s">
        <v>9</v>
      </c>
      <c r="C968" s="9">
        <v>1916</v>
      </c>
      <c r="D968" s="10">
        <v>45646</v>
      </c>
      <c r="E968" s="13" t="str">
        <f>+HYPERLINK("http://trademark.i-assist.jp/data/china/image_1916th/81082868.pdf","81082868")</f>
        <v>81082868</v>
      </c>
      <c r="F968" s="12" t="s">
        <v>2721</v>
      </c>
      <c r="G968" s="12" t="s">
        <v>2722</v>
      </c>
      <c r="H968" s="9" t="s">
        <v>2723</v>
      </c>
      <c r="I968" s="10">
        <v>45559</v>
      </c>
    </row>
    <row r="969" spans="1:9" x14ac:dyDescent="0.15">
      <c r="A969" s="9">
        <v>968</v>
      </c>
      <c r="B969" s="9" t="s">
        <v>9</v>
      </c>
      <c r="C969" s="9">
        <v>1916</v>
      </c>
      <c r="D969" s="10">
        <v>45646</v>
      </c>
      <c r="E969" s="13" t="str">
        <f>+HYPERLINK("http://trademark.i-assist.jp/data/china/image_1916th/81082985.pdf","81082985")</f>
        <v>81082985</v>
      </c>
      <c r="F969" s="12" t="s">
        <v>2724</v>
      </c>
      <c r="G969" s="9" t="s">
        <v>2585</v>
      </c>
      <c r="H969" s="9" t="s">
        <v>2725</v>
      </c>
      <c r="I969" s="10">
        <v>45559</v>
      </c>
    </row>
    <row r="970" spans="1:9" x14ac:dyDescent="0.15">
      <c r="A970" s="9">
        <v>969</v>
      </c>
      <c r="B970" s="9" t="s">
        <v>9</v>
      </c>
      <c r="C970" s="9">
        <v>1916</v>
      </c>
      <c r="D970" s="10">
        <v>45646</v>
      </c>
      <c r="E970" s="13" t="str">
        <f>+HYPERLINK("http://trademark.i-assist.jp/data/china/image_1916th/81083643.pdf","81083643")</f>
        <v>81083643</v>
      </c>
      <c r="F970" s="12" t="s">
        <v>2726</v>
      </c>
      <c r="G970" s="9" t="s">
        <v>2727</v>
      </c>
      <c r="H970" s="9" t="s">
        <v>2728</v>
      </c>
      <c r="I970" s="10">
        <v>45559</v>
      </c>
    </row>
    <row r="971" spans="1:9" x14ac:dyDescent="0.15">
      <c r="A971" s="9">
        <v>970</v>
      </c>
      <c r="B971" s="9" t="s">
        <v>9</v>
      </c>
      <c r="C971" s="9">
        <v>1916</v>
      </c>
      <c r="D971" s="10">
        <v>45646</v>
      </c>
      <c r="E971" s="13" t="str">
        <f>+HYPERLINK("http://trademark.i-assist.jp/data/china/image_1916th/81084409.pdf","81084409")</f>
        <v>81084409</v>
      </c>
      <c r="F971" s="9" t="s">
        <v>2729</v>
      </c>
      <c r="G971" s="9" t="s">
        <v>2631</v>
      </c>
      <c r="H971" s="9" t="s">
        <v>2730</v>
      </c>
      <c r="I971" s="10">
        <v>45559</v>
      </c>
    </row>
    <row r="972" spans="1:9" x14ac:dyDescent="0.15">
      <c r="A972" s="9">
        <v>971</v>
      </c>
      <c r="B972" s="9" t="s">
        <v>9</v>
      </c>
      <c r="C972" s="9">
        <v>1916</v>
      </c>
      <c r="D972" s="10">
        <v>45646</v>
      </c>
      <c r="E972" s="13" t="str">
        <f>+HYPERLINK("http://trademark.i-assist.jp/data/china/image_1916th/81084790.pdf","81084790")</f>
        <v>81084790</v>
      </c>
      <c r="F972" s="12" t="s">
        <v>2731</v>
      </c>
      <c r="G972" s="9" t="s">
        <v>2585</v>
      </c>
      <c r="H972" s="9" t="s">
        <v>2732</v>
      </c>
      <c r="I972" s="10">
        <v>45559</v>
      </c>
    </row>
    <row r="973" spans="1:9" x14ac:dyDescent="0.15">
      <c r="A973" s="9">
        <v>972</v>
      </c>
      <c r="B973" s="9" t="s">
        <v>9</v>
      </c>
      <c r="C973" s="9">
        <v>1916</v>
      </c>
      <c r="D973" s="10">
        <v>45646</v>
      </c>
      <c r="E973" s="13" t="str">
        <f>+HYPERLINK("http://trademark.i-assist.jp/data/china/image_1916th/81085155.pdf","81085155")</f>
        <v>81085155</v>
      </c>
      <c r="F973" s="9" t="s">
        <v>2733</v>
      </c>
      <c r="G973" s="9" t="s">
        <v>2699</v>
      </c>
      <c r="H973" s="12" t="s">
        <v>2734</v>
      </c>
      <c r="I973" s="10">
        <v>45559</v>
      </c>
    </row>
    <row r="974" spans="1:9" x14ac:dyDescent="0.15">
      <c r="A974" s="9">
        <v>973</v>
      </c>
      <c r="B974" s="9" t="s">
        <v>9</v>
      </c>
      <c r="C974" s="9">
        <v>1916</v>
      </c>
      <c r="D974" s="10">
        <v>45646</v>
      </c>
      <c r="E974" s="13" t="str">
        <f>+HYPERLINK("http://trademark.i-assist.jp/data/china/image_1916th/81085280.pdf","81085280")</f>
        <v>81085280</v>
      </c>
      <c r="F974" s="9" t="s">
        <v>2735</v>
      </c>
      <c r="G974" s="12" t="s">
        <v>61</v>
      </c>
      <c r="H974" s="9" t="s">
        <v>2736</v>
      </c>
      <c r="I974" s="10">
        <v>45559</v>
      </c>
    </row>
    <row r="975" spans="1:9" x14ac:dyDescent="0.15">
      <c r="A975" s="9">
        <v>974</v>
      </c>
      <c r="B975" s="9" t="s">
        <v>9</v>
      </c>
      <c r="C975" s="9">
        <v>1916</v>
      </c>
      <c r="D975" s="10">
        <v>45646</v>
      </c>
      <c r="E975" s="13" t="str">
        <f>+HYPERLINK("http://trademark.i-assist.jp/data/china/image_1916th/81085442.pdf","81085442")</f>
        <v>81085442</v>
      </c>
      <c r="F975" s="12" t="s">
        <v>13</v>
      </c>
      <c r="G975" s="12" t="s">
        <v>2737</v>
      </c>
      <c r="H975" s="9" t="s">
        <v>2738</v>
      </c>
      <c r="I975" s="10">
        <v>45559</v>
      </c>
    </row>
    <row r="976" spans="1:9" x14ac:dyDescent="0.15">
      <c r="A976" s="9">
        <v>975</v>
      </c>
      <c r="B976" s="9" t="s">
        <v>9</v>
      </c>
      <c r="C976" s="9">
        <v>1916</v>
      </c>
      <c r="D976" s="10">
        <v>45646</v>
      </c>
      <c r="E976" s="13" t="str">
        <f>+HYPERLINK("http://trademark.i-assist.jp/data/china/image_1916th/81085473.pdf","81085473")</f>
        <v>81085473</v>
      </c>
      <c r="F976" s="12" t="s">
        <v>2739</v>
      </c>
      <c r="G976" s="9" t="s">
        <v>2574</v>
      </c>
      <c r="H976" s="9" t="s">
        <v>2740</v>
      </c>
      <c r="I976" s="10">
        <v>45559</v>
      </c>
    </row>
    <row r="977" spans="1:9" x14ac:dyDescent="0.15">
      <c r="A977" s="9">
        <v>976</v>
      </c>
      <c r="B977" s="9" t="s">
        <v>9</v>
      </c>
      <c r="C977" s="9">
        <v>1916</v>
      </c>
      <c r="D977" s="10">
        <v>45646</v>
      </c>
      <c r="E977" s="13" t="str">
        <f>+HYPERLINK("http://trademark.i-assist.jp/data/china/image_1916th/81085620.pdf","81085620")</f>
        <v>81085620</v>
      </c>
      <c r="F977" s="9" t="s">
        <v>2741</v>
      </c>
      <c r="G977" s="9" t="s">
        <v>2742</v>
      </c>
      <c r="H977" s="9" t="s">
        <v>2743</v>
      </c>
      <c r="I977" s="10">
        <v>45559</v>
      </c>
    </row>
    <row r="978" spans="1:9" x14ac:dyDescent="0.15">
      <c r="A978" s="9">
        <v>977</v>
      </c>
      <c r="B978" s="9" t="s">
        <v>9</v>
      </c>
      <c r="C978" s="9">
        <v>1916</v>
      </c>
      <c r="D978" s="10">
        <v>45646</v>
      </c>
      <c r="E978" s="13" t="str">
        <f>+HYPERLINK("http://trademark.i-assist.jp/data/china/image_1916th/81086952.pdf","81086952")</f>
        <v>81086952</v>
      </c>
      <c r="F978" s="9" t="s">
        <v>2744</v>
      </c>
      <c r="G978" s="9" t="s">
        <v>2745</v>
      </c>
      <c r="H978" s="12" t="s">
        <v>2746</v>
      </c>
      <c r="I978" s="10">
        <v>45559</v>
      </c>
    </row>
    <row r="979" spans="1:9" x14ac:dyDescent="0.15">
      <c r="A979" s="9">
        <v>978</v>
      </c>
      <c r="B979" s="9" t="s">
        <v>9</v>
      </c>
      <c r="C979" s="9">
        <v>1916</v>
      </c>
      <c r="D979" s="10">
        <v>45646</v>
      </c>
      <c r="E979" s="13" t="str">
        <f>+HYPERLINK("http://trademark.i-assist.jp/data/china/image_1916th/81087100.pdf","81087100")</f>
        <v>81087100</v>
      </c>
      <c r="F979" s="9" t="s">
        <v>2747</v>
      </c>
      <c r="G979" s="9" t="s">
        <v>2641</v>
      </c>
      <c r="H979" s="9" t="s">
        <v>2748</v>
      </c>
      <c r="I979" s="10">
        <v>45559</v>
      </c>
    </row>
    <row r="980" spans="1:9" x14ac:dyDescent="0.15">
      <c r="A980" s="9">
        <v>979</v>
      </c>
      <c r="B980" s="9" t="s">
        <v>9</v>
      </c>
      <c r="C980" s="9">
        <v>1916</v>
      </c>
      <c r="D980" s="10">
        <v>45646</v>
      </c>
      <c r="E980" s="13" t="str">
        <f>+HYPERLINK("http://trademark.i-assist.jp/data/china/image_1916th/81087166.pdf","81087166")</f>
        <v>81087166</v>
      </c>
      <c r="F980" s="9" t="s">
        <v>2749</v>
      </c>
      <c r="G980" s="9" t="s">
        <v>2585</v>
      </c>
      <c r="H980" s="12" t="s">
        <v>2750</v>
      </c>
      <c r="I980" s="10">
        <v>45559</v>
      </c>
    </row>
    <row r="981" spans="1:9" x14ac:dyDescent="0.15">
      <c r="A981" s="9">
        <v>980</v>
      </c>
      <c r="B981" s="9" t="s">
        <v>9</v>
      </c>
      <c r="C981" s="9">
        <v>1916</v>
      </c>
      <c r="D981" s="10">
        <v>45646</v>
      </c>
      <c r="E981" s="13" t="str">
        <f>+HYPERLINK("http://trademark.i-assist.jp/data/china/image_1916th/81087277.pdf","81087277")</f>
        <v>81087277</v>
      </c>
      <c r="F981" s="9" t="s">
        <v>2751</v>
      </c>
      <c r="G981" s="9" t="s">
        <v>2752</v>
      </c>
      <c r="H981" s="9" t="s">
        <v>2753</v>
      </c>
      <c r="I981" s="10">
        <v>45559</v>
      </c>
    </row>
    <row r="982" spans="1:9" x14ac:dyDescent="0.15">
      <c r="A982" s="9">
        <v>981</v>
      </c>
      <c r="B982" s="9" t="s">
        <v>9</v>
      </c>
      <c r="C982" s="9">
        <v>1916</v>
      </c>
      <c r="D982" s="10">
        <v>45646</v>
      </c>
      <c r="E982" s="13" t="str">
        <f>+HYPERLINK("http://trademark.i-assist.jp/data/china/image_1916th/81087536.pdf","81087536")</f>
        <v>81087536</v>
      </c>
      <c r="F982" s="9" t="s">
        <v>2754</v>
      </c>
      <c r="G982" s="12" t="s">
        <v>2625</v>
      </c>
      <c r="H982" s="9" t="s">
        <v>2755</v>
      </c>
      <c r="I982" s="10">
        <v>45559</v>
      </c>
    </row>
    <row r="983" spans="1:9" x14ac:dyDescent="0.15">
      <c r="A983" s="9">
        <v>982</v>
      </c>
      <c r="B983" s="9" t="s">
        <v>9</v>
      </c>
      <c r="C983" s="9">
        <v>1916</v>
      </c>
      <c r="D983" s="10">
        <v>45646</v>
      </c>
      <c r="E983" s="13" t="str">
        <f>+HYPERLINK("http://trademark.i-assist.jp/data/china/image_1916th/81087669.pdf","81087669")</f>
        <v>81087669</v>
      </c>
      <c r="F983" s="9" t="s">
        <v>2756</v>
      </c>
      <c r="G983" s="9" t="s">
        <v>2757</v>
      </c>
      <c r="H983" s="9" t="s">
        <v>2758</v>
      </c>
      <c r="I983" s="10">
        <v>45559</v>
      </c>
    </row>
    <row r="984" spans="1:9" x14ac:dyDescent="0.15">
      <c r="A984" s="9">
        <v>983</v>
      </c>
      <c r="B984" s="9" t="s">
        <v>9</v>
      </c>
      <c r="C984" s="9">
        <v>1916</v>
      </c>
      <c r="D984" s="10">
        <v>45646</v>
      </c>
      <c r="E984" s="13" t="str">
        <f>+HYPERLINK("http://trademark.i-assist.jp/data/china/image_1916th/81087751.pdf","81087751")</f>
        <v>81087751</v>
      </c>
      <c r="F984" s="9" t="s">
        <v>2759</v>
      </c>
      <c r="G984" s="9" t="s">
        <v>2631</v>
      </c>
      <c r="H984" s="9" t="s">
        <v>2760</v>
      </c>
      <c r="I984" s="10">
        <v>45559</v>
      </c>
    </row>
    <row r="985" spans="1:9" x14ac:dyDescent="0.15">
      <c r="A985" s="9">
        <v>984</v>
      </c>
      <c r="B985" s="9" t="s">
        <v>9</v>
      </c>
      <c r="C985" s="9">
        <v>1916</v>
      </c>
      <c r="D985" s="10">
        <v>45646</v>
      </c>
      <c r="E985" s="13" t="str">
        <f>+HYPERLINK("http://trademark.i-assist.jp/data/china/image_1916th/81088114.pdf","81088114")</f>
        <v>81088114</v>
      </c>
      <c r="F985" s="9" t="s">
        <v>2761</v>
      </c>
      <c r="G985" s="9" t="s">
        <v>2762</v>
      </c>
      <c r="H985" s="9" t="s">
        <v>15</v>
      </c>
      <c r="I985" s="10">
        <v>45559</v>
      </c>
    </row>
    <row r="986" spans="1:9" x14ac:dyDescent="0.15">
      <c r="A986" s="9">
        <v>985</v>
      </c>
      <c r="B986" s="9" t="s">
        <v>9</v>
      </c>
      <c r="C986" s="9">
        <v>1916</v>
      </c>
      <c r="D986" s="10">
        <v>45646</v>
      </c>
      <c r="E986" s="13" t="str">
        <f>+HYPERLINK("http://trademark.i-assist.jp/data/china/image_1916th/81088395.pdf","81088395")</f>
        <v>81088395</v>
      </c>
      <c r="F986" s="9" t="s">
        <v>2763</v>
      </c>
      <c r="G986" s="12" t="s">
        <v>2764</v>
      </c>
      <c r="H986" s="9" t="s">
        <v>2765</v>
      </c>
      <c r="I986" s="10">
        <v>45559</v>
      </c>
    </row>
    <row r="987" spans="1:9" x14ac:dyDescent="0.15">
      <c r="A987" s="9">
        <v>986</v>
      </c>
      <c r="B987" s="9" t="s">
        <v>9</v>
      </c>
      <c r="C987" s="9">
        <v>1916</v>
      </c>
      <c r="D987" s="10">
        <v>45646</v>
      </c>
      <c r="E987" s="13" t="str">
        <f>+HYPERLINK("http://trademark.i-assist.jp/data/china/image_1916th/81088816.pdf","81088816")</f>
        <v>81088816</v>
      </c>
      <c r="F987" s="9" t="s">
        <v>2766</v>
      </c>
      <c r="G987" s="12" t="s">
        <v>2767</v>
      </c>
      <c r="H987" s="9" t="s">
        <v>2768</v>
      </c>
      <c r="I987" s="10">
        <v>45559</v>
      </c>
    </row>
    <row r="988" spans="1:9" x14ac:dyDescent="0.15">
      <c r="A988" s="9">
        <v>987</v>
      </c>
      <c r="B988" s="9" t="s">
        <v>9</v>
      </c>
      <c r="C988" s="9">
        <v>1916</v>
      </c>
      <c r="D988" s="10">
        <v>45646</v>
      </c>
      <c r="E988" s="13" t="str">
        <f>+HYPERLINK("http://trademark.i-assist.jp/data/china/image_1916th/81089068.pdf","81089068")</f>
        <v>81089068</v>
      </c>
      <c r="F988" s="9" t="s">
        <v>2769</v>
      </c>
      <c r="G988" s="9" t="s">
        <v>2585</v>
      </c>
      <c r="H988" s="9" t="s">
        <v>2770</v>
      </c>
      <c r="I988" s="10">
        <v>45559</v>
      </c>
    </row>
    <row r="989" spans="1:9" x14ac:dyDescent="0.15">
      <c r="A989" s="9">
        <v>988</v>
      </c>
      <c r="B989" s="9" t="s">
        <v>9</v>
      </c>
      <c r="C989" s="9">
        <v>1916</v>
      </c>
      <c r="D989" s="10">
        <v>45646</v>
      </c>
      <c r="E989" s="13" t="str">
        <f>+HYPERLINK("http://trademark.i-assist.jp/data/china/image_1916th/81089242.pdf","81089242")</f>
        <v>81089242</v>
      </c>
      <c r="F989" s="9" t="s">
        <v>2771</v>
      </c>
      <c r="G989" s="12" t="s">
        <v>2772</v>
      </c>
      <c r="H989" s="9" t="s">
        <v>2773</v>
      </c>
      <c r="I989" s="10">
        <v>45559</v>
      </c>
    </row>
    <row r="990" spans="1:9" x14ac:dyDescent="0.15">
      <c r="A990" s="9">
        <v>989</v>
      </c>
      <c r="B990" s="9" t="s">
        <v>9</v>
      </c>
      <c r="C990" s="9">
        <v>1916</v>
      </c>
      <c r="D990" s="10">
        <v>45646</v>
      </c>
      <c r="E990" s="13" t="str">
        <f>+HYPERLINK("http://trademark.i-assist.jp/data/china/image_1916th/81089369.pdf","81089369")</f>
        <v>81089369</v>
      </c>
      <c r="F990" s="9" t="s">
        <v>2774</v>
      </c>
      <c r="G990" s="12" t="s">
        <v>2775</v>
      </c>
      <c r="H990" s="9" t="s">
        <v>2776</v>
      </c>
      <c r="I990" s="10">
        <v>45559</v>
      </c>
    </row>
    <row r="991" spans="1:9" x14ac:dyDescent="0.15">
      <c r="A991" s="9">
        <v>990</v>
      </c>
      <c r="B991" s="9" t="s">
        <v>9</v>
      </c>
      <c r="C991" s="9">
        <v>1916</v>
      </c>
      <c r="D991" s="10">
        <v>45646</v>
      </c>
      <c r="E991" s="13" t="str">
        <f>+HYPERLINK("http://trademark.i-assist.jp/data/china/image_1916th/81090062.pdf","81090062")</f>
        <v>81090062</v>
      </c>
      <c r="F991" s="9" t="s">
        <v>2777</v>
      </c>
      <c r="G991" s="12" t="s">
        <v>2660</v>
      </c>
      <c r="H991" s="9" t="s">
        <v>2778</v>
      </c>
      <c r="I991" s="10">
        <v>45559</v>
      </c>
    </row>
    <row r="992" spans="1:9" x14ac:dyDescent="0.15">
      <c r="A992" s="9">
        <v>991</v>
      </c>
      <c r="B992" s="9" t="s">
        <v>9</v>
      </c>
      <c r="C992" s="9">
        <v>1916</v>
      </c>
      <c r="D992" s="10">
        <v>45646</v>
      </c>
      <c r="E992" s="13" t="str">
        <f>+HYPERLINK("http://trademark.i-assist.jp/data/china/image_1916th/81090196.pdf","81090196")</f>
        <v>81090196</v>
      </c>
      <c r="F992" s="9" t="s">
        <v>2779</v>
      </c>
      <c r="G992" s="12" t="s">
        <v>2780</v>
      </c>
      <c r="H992" s="9" t="s">
        <v>2781</v>
      </c>
      <c r="I992" s="10">
        <v>45559</v>
      </c>
    </row>
    <row r="993" spans="1:9" x14ac:dyDescent="0.15">
      <c r="A993" s="9">
        <v>992</v>
      </c>
      <c r="B993" s="9" t="s">
        <v>9</v>
      </c>
      <c r="C993" s="9">
        <v>1916</v>
      </c>
      <c r="D993" s="10">
        <v>45646</v>
      </c>
      <c r="E993" s="13" t="str">
        <f>+HYPERLINK("http://trademark.i-assist.jp/data/china/image_1916th/81090201.pdf","81090201")</f>
        <v>81090201</v>
      </c>
      <c r="F993" s="12" t="s">
        <v>2782</v>
      </c>
      <c r="G993" s="9" t="s">
        <v>2783</v>
      </c>
      <c r="H993" s="9" t="s">
        <v>2784</v>
      </c>
      <c r="I993" s="10">
        <v>45559</v>
      </c>
    </row>
    <row r="994" spans="1:9" x14ac:dyDescent="0.15">
      <c r="A994" s="9">
        <v>993</v>
      </c>
      <c r="B994" s="9" t="s">
        <v>9</v>
      </c>
      <c r="C994" s="9">
        <v>1916</v>
      </c>
      <c r="D994" s="10">
        <v>45646</v>
      </c>
      <c r="E994" s="13" t="str">
        <f>+HYPERLINK("http://trademark.i-assist.jp/data/china/image_1916th/81091199.pdf","81091199")</f>
        <v>81091199</v>
      </c>
      <c r="F994" s="9" t="s">
        <v>2785</v>
      </c>
      <c r="G994" s="9" t="s">
        <v>2571</v>
      </c>
      <c r="H994" s="12" t="s">
        <v>2786</v>
      </c>
      <c r="I994" s="10">
        <v>45559</v>
      </c>
    </row>
    <row r="995" spans="1:9" x14ac:dyDescent="0.15">
      <c r="A995" s="9">
        <v>994</v>
      </c>
      <c r="B995" s="9" t="s">
        <v>9</v>
      </c>
      <c r="C995" s="9">
        <v>1916</v>
      </c>
      <c r="D995" s="10">
        <v>45646</v>
      </c>
      <c r="E995" s="13" t="str">
        <f>+HYPERLINK("http://trademark.i-assist.jp/data/china/image_1916th/81091439.pdf","81091439")</f>
        <v>81091439</v>
      </c>
      <c r="F995" s="9" t="s">
        <v>2787</v>
      </c>
      <c r="G995" s="9" t="s">
        <v>2788</v>
      </c>
      <c r="H995" s="9" t="s">
        <v>2789</v>
      </c>
      <c r="I995" s="10">
        <v>45559</v>
      </c>
    </row>
    <row r="996" spans="1:9" x14ac:dyDescent="0.15">
      <c r="A996" s="9">
        <v>995</v>
      </c>
      <c r="B996" s="9" t="s">
        <v>9</v>
      </c>
      <c r="C996" s="9">
        <v>1916</v>
      </c>
      <c r="D996" s="10">
        <v>45646</v>
      </c>
      <c r="E996" s="13" t="str">
        <f>+HYPERLINK("http://trademark.i-assist.jp/data/china/image_1916th/81091483.pdf","81091483")</f>
        <v>81091483</v>
      </c>
      <c r="F996" s="9" t="s">
        <v>2790</v>
      </c>
      <c r="G996" s="9" t="s">
        <v>2791</v>
      </c>
      <c r="H996" s="9" t="s">
        <v>2792</v>
      </c>
      <c r="I996" s="10">
        <v>45559</v>
      </c>
    </row>
    <row r="997" spans="1:9" x14ac:dyDescent="0.15">
      <c r="A997" s="9">
        <v>996</v>
      </c>
      <c r="B997" s="9" t="s">
        <v>9</v>
      </c>
      <c r="C997" s="9">
        <v>1916</v>
      </c>
      <c r="D997" s="10">
        <v>45646</v>
      </c>
      <c r="E997" s="13" t="str">
        <f>+HYPERLINK("http://trademark.i-assist.jp/data/china/image_1916th/81091592.pdf","81091592")</f>
        <v>81091592</v>
      </c>
      <c r="F997" s="9" t="s">
        <v>2793</v>
      </c>
      <c r="G997" s="12" t="s">
        <v>2794</v>
      </c>
      <c r="H997" s="9" t="s">
        <v>2795</v>
      </c>
      <c r="I997" s="10">
        <v>45559</v>
      </c>
    </row>
    <row r="998" spans="1:9" x14ac:dyDescent="0.15">
      <c r="A998" s="9">
        <v>997</v>
      </c>
      <c r="B998" s="9" t="s">
        <v>9</v>
      </c>
      <c r="C998" s="9">
        <v>1916</v>
      </c>
      <c r="D998" s="10">
        <v>45646</v>
      </c>
      <c r="E998" s="13" t="str">
        <f>+HYPERLINK("http://trademark.i-assist.jp/data/china/image_1916th/81091704.pdf","81091704")</f>
        <v>81091704</v>
      </c>
      <c r="F998" s="12" t="s">
        <v>2796</v>
      </c>
      <c r="G998" s="12" t="s">
        <v>2797</v>
      </c>
      <c r="H998" s="9" t="s">
        <v>2798</v>
      </c>
      <c r="I998" s="10">
        <v>45559</v>
      </c>
    </row>
    <row r="999" spans="1:9" x14ac:dyDescent="0.15">
      <c r="A999" s="9">
        <v>998</v>
      </c>
      <c r="B999" s="9" t="s">
        <v>9</v>
      </c>
      <c r="C999" s="9">
        <v>1916</v>
      </c>
      <c r="D999" s="10">
        <v>45646</v>
      </c>
      <c r="E999" s="13" t="str">
        <f>+HYPERLINK("http://trademark.i-assist.jp/data/china/image_1916th/81092224.pdf","81092224")</f>
        <v>81092224</v>
      </c>
      <c r="F999" s="12" t="s">
        <v>2799</v>
      </c>
      <c r="G999" s="9" t="s">
        <v>2800</v>
      </c>
      <c r="H999" s="9" t="s">
        <v>2801</v>
      </c>
      <c r="I999" s="10">
        <v>45559</v>
      </c>
    </row>
    <row r="1000" spans="1:9" x14ac:dyDescent="0.15">
      <c r="A1000" s="9">
        <v>999</v>
      </c>
      <c r="B1000" s="9" t="s">
        <v>9</v>
      </c>
      <c r="C1000" s="9">
        <v>1916</v>
      </c>
      <c r="D1000" s="10">
        <v>45646</v>
      </c>
      <c r="E1000" s="13" t="str">
        <f>+HYPERLINK("http://trademark.i-assist.jp/data/china/image_1916th/81092320.pdf","81092320")</f>
        <v>81092320</v>
      </c>
      <c r="F1000" s="9" t="s">
        <v>2802</v>
      </c>
      <c r="G1000" s="12" t="s">
        <v>1756</v>
      </c>
      <c r="H1000" s="9" t="s">
        <v>2803</v>
      </c>
      <c r="I1000" s="10">
        <v>45559</v>
      </c>
    </row>
    <row r="1001" spans="1:9" x14ac:dyDescent="0.15">
      <c r="A1001" s="9">
        <v>1000</v>
      </c>
      <c r="B1001" s="9" t="s">
        <v>9</v>
      </c>
      <c r="C1001" s="9">
        <v>1916</v>
      </c>
      <c r="D1001" s="10">
        <v>45646</v>
      </c>
      <c r="E1001" s="13" t="str">
        <f>+HYPERLINK("http://trademark.i-assist.jp/data/china/image_1916th/81092442.pdf","81092442")</f>
        <v>81092442</v>
      </c>
      <c r="F1001" s="9" t="s">
        <v>2804</v>
      </c>
      <c r="G1001" s="9" t="s">
        <v>2805</v>
      </c>
      <c r="H1001" s="9" t="s">
        <v>2806</v>
      </c>
      <c r="I1001" s="10">
        <v>45559</v>
      </c>
    </row>
    <row r="1002" spans="1:9" x14ac:dyDescent="0.15">
      <c r="A1002" s="9">
        <v>1001</v>
      </c>
      <c r="B1002" s="9" t="s">
        <v>9</v>
      </c>
      <c r="C1002" s="9">
        <v>1916</v>
      </c>
      <c r="D1002" s="10">
        <v>45646</v>
      </c>
      <c r="E1002" s="13" t="str">
        <f>+HYPERLINK("http://trademark.i-assist.jp/data/china/image_1916th/81092477.pdf","81092477")</f>
        <v>81092477</v>
      </c>
      <c r="F1002" s="9" t="s">
        <v>2807</v>
      </c>
      <c r="G1002" s="9" t="s">
        <v>1857</v>
      </c>
      <c r="H1002" s="9" t="s">
        <v>2808</v>
      </c>
      <c r="I1002" s="10">
        <v>45559</v>
      </c>
    </row>
    <row r="1003" spans="1:9" x14ac:dyDescent="0.15">
      <c r="A1003" s="9">
        <v>1002</v>
      </c>
      <c r="B1003" s="9" t="s">
        <v>9</v>
      </c>
      <c r="C1003" s="9">
        <v>1916</v>
      </c>
      <c r="D1003" s="10">
        <v>45646</v>
      </c>
      <c r="E1003" s="13" t="str">
        <f>+HYPERLINK("http://trademark.i-assist.jp/data/china/image_1916th/81092773.pdf","81092773")</f>
        <v>81092773</v>
      </c>
      <c r="F1003" s="9" t="s">
        <v>2809</v>
      </c>
      <c r="G1003" s="9" t="s">
        <v>2605</v>
      </c>
      <c r="H1003" s="9" t="s">
        <v>2810</v>
      </c>
      <c r="I1003" s="10">
        <v>45559</v>
      </c>
    </row>
    <row r="1004" spans="1:9" x14ac:dyDescent="0.15">
      <c r="A1004" s="9">
        <v>1003</v>
      </c>
      <c r="B1004" s="9" t="s">
        <v>9</v>
      </c>
      <c r="C1004" s="9">
        <v>1916</v>
      </c>
      <c r="D1004" s="10">
        <v>45646</v>
      </c>
      <c r="E1004" s="13" t="str">
        <f>+HYPERLINK("http://trademark.i-assist.jp/data/china/image_1916th/81092888.pdf","81092888")</f>
        <v>81092888</v>
      </c>
      <c r="F1004" s="9" t="s">
        <v>2811</v>
      </c>
      <c r="G1004" s="9" t="s">
        <v>2812</v>
      </c>
      <c r="H1004" s="12" t="s">
        <v>2813</v>
      </c>
      <c r="I1004" s="10">
        <v>45559</v>
      </c>
    </row>
    <row r="1005" spans="1:9" x14ac:dyDescent="0.15">
      <c r="A1005" s="9">
        <v>1004</v>
      </c>
      <c r="B1005" s="9" t="s">
        <v>9</v>
      </c>
      <c r="C1005" s="9">
        <v>1916</v>
      </c>
      <c r="D1005" s="10">
        <v>45646</v>
      </c>
      <c r="E1005" s="13" t="str">
        <f>+HYPERLINK("http://trademark.i-assist.jp/data/china/image_1916th/81092897.pdf","81092897")</f>
        <v>81092897</v>
      </c>
      <c r="F1005" s="9" t="s">
        <v>2814</v>
      </c>
      <c r="G1005" s="9" t="s">
        <v>2815</v>
      </c>
      <c r="H1005" s="9" t="s">
        <v>2816</v>
      </c>
      <c r="I1005" s="10">
        <v>45559</v>
      </c>
    </row>
    <row r="1006" spans="1:9" x14ac:dyDescent="0.15">
      <c r="A1006" s="9">
        <v>1005</v>
      </c>
      <c r="B1006" s="9" t="s">
        <v>9</v>
      </c>
      <c r="C1006" s="9">
        <v>1916</v>
      </c>
      <c r="D1006" s="10">
        <v>45646</v>
      </c>
      <c r="E1006" s="13" t="str">
        <f>+HYPERLINK("http://trademark.i-assist.jp/data/china/image_1916th/81093042.pdf","81093042")</f>
        <v>81093042</v>
      </c>
      <c r="F1006" s="12" t="s">
        <v>2817</v>
      </c>
      <c r="G1006" s="9" t="s">
        <v>2574</v>
      </c>
      <c r="H1006" s="9" t="s">
        <v>2818</v>
      </c>
      <c r="I1006" s="10">
        <v>45559</v>
      </c>
    </row>
    <row r="1007" spans="1:9" x14ac:dyDescent="0.15">
      <c r="A1007" s="9">
        <v>1006</v>
      </c>
      <c r="B1007" s="9" t="s">
        <v>9</v>
      </c>
      <c r="C1007" s="9">
        <v>1916</v>
      </c>
      <c r="D1007" s="10">
        <v>45646</v>
      </c>
      <c r="E1007" s="13" t="str">
        <f>+HYPERLINK("http://trademark.i-assist.jp/data/china/image_1916th/81093061.pdf","81093061")</f>
        <v>81093061</v>
      </c>
      <c r="F1007" s="12" t="s">
        <v>2819</v>
      </c>
      <c r="G1007" s="9" t="s">
        <v>2574</v>
      </c>
      <c r="H1007" s="9" t="s">
        <v>2820</v>
      </c>
      <c r="I1007" s="10">
        <v>45559</v>
      </c>
    </row>
    <row r="1008" spans="1:9" x14ac:dyDescent="0.15">
      <c r="A1008" s="9">
        <v>1007</v>
      </c>
      <c r="B1008" s="9" t="s">
        <v>9</v>
      </c>
      <c r="C1008" s="9">
        <v>1916</v>
      </c>
      <c r="D1008" s="10">
        <v>45646</v>
      </c>
      <c r="E1008" s="13" t="str">
        <f>+HYPERLINK("http://trademark.i-assist.jp/data/china/image_1916th/81094097.pdf","81094097")</f>
        <v>81094097</v>
      </c>
      <c r="F1008" s="12" t="s">
        <v>2821</v>
      </c>
      <c r="G1008" s="12" t="s">
        <v>2822</v>
      </c>
      <c r="H1008" s="9" t="s">
        <v>2823</v>
      </c>
      <c r="I1008" s="10">
        <v>45559</v>
      </c>
    </row>
    <row r="1009" spans="1:9" x14ac:dyDescent="0.15">
      <c r="A1009" s="9">
        <v>1008</v>
      </c>
      <c r="B1009" s="9" t="s">
        <v>9</v>
      </c>
      <c r="C1009" s="9">
        <v>1916</v>
      </c>
      <c r="D1009" s="10">
        <v>45646</v>
      </c>
      <c r="E1009" s="13" t="str">
        <f>+HYPERLINK("http://trademark.i-assist.jp/data/china/image_1916th/81094314.pdf","81094314")</f>
        <v>81094314</v>
      </c>
      <c r="F1009" s="9" t="s">
        <v>2824</v>
      </c>
      <c r="G1009" s="11" t="s">
        <v>2825</v>
      </c>
      <c r="H1009" s="9" t="s">
        <v>2826</v>
      </c>
      <c r="I1009" s="10">
        <v>45559</v>
      </c>
    </row>
    <row r="1010" spans="1:9" x14ac:dyDescent="0.15">
      <c r="A1010" s="9">
        <v>1009</v>
      </c>
      <c r="B1010" s="9" t="s">
        <v>9</v>
      </c>
      <c r="C1010" s="9">
        <v>1916</v>
      </c>
      <c r="D1010" s="10">
        <v>45646</v>
      </c>
      <c r="E1010" s="13" t="str">
        <f>+HYPERLINK("http://trademark.i-assist.jp/data/china/image_1916th/81094348.pdf","81094348")</f>
        <v>81094348</v>
      </c>
      <c r="F1010" s="9" t="s">
        <v>2827</v>
      </c>
      <c r="G1010" s="9" t="s">
        <v>2828</v>
      </c>
      <c r="H1010" s="9" t="s">
        <v>2829</v>
      </c>
      <c r="I1010" s="10">
        <v>45559</v>
      </c>
    </row>
    <row r="1011" spans="1:9" x14ac:dyDescent="0.15">
      <c r="A1011" s="9">
        <v>1010</v>
      </c>
      <c r="B1011" s="9" t="s">
        <v>9</v>
      </c>
      <c r="C1011" s="9">
        <v>1916</v>
      </c>
      <c r="D1011" s="10">
        <v>45646</v>
      </c>
      <c r="E1011" s="13" t="str">
        <f>+HYPERLINK("http://trademark.i-assist.jp/data/china/image_1916th/81094382.pdf","81094382")</f>
        <v>81094382</v>
      </c>
      <c r="F1011" s="12" t="s">
        <v>2830</v>
      </c>
      <c r="G1011" s="12" t="s">
        <v>2775</v>
      </c>
      <c r="H1011" s="9" t="s">
        <v>2831</v>
      </c>
      <c r="I1011" s="10">
        <v>45559</v>
      </c>
    </row>
    <row r="1012" spans="1:9" x14ac:dyDescent="0.15">
      <c r="A1012" s="9">
        <v>1011</v>
      </c>
      <c r="B1012" s="9" t="s">
        <v>9</v>
      </c>
      <c r="C1012" s="9">
        <v>1916</v>
      </c>
      <c r="D1012" s="10">
        <v>45646</v>
      </c>
      <c r="E1012" s="13" t="str">
        <f>+HYPERLINK("http://trademark.i-assist.jp/data/china/image_1916th/81094573.pdf","81094573")</f>
        <v>81094573</v>
      </c>
      <c r="F1012" s="9" t="s">
        <v>2832</v>
      </c>
      <c r="G1012" s="9" t="s">
        <v>2833</v>
      </c>
      <c r="H1012" s="9" t="s">
        <v>2834</v>
      </c>
      <c r="I1012" s="10">
        <v>45560</v>
      </c>
    </row>
    <row r="1013" spans="1:9" x14ac:dyDescent="0.15">
      <c r="A1013" s="9">
        <v>1012</v>
      </c>
      <c r="B1013" s="9" t="s">
        <v>9</v>
      </c>
      <c r="C1013" s="9">
        <v>1916</v>
      </c>
      <c r="D1013" s="10">
        <v>45646</v>
      </c>
      <c r="E1013" s="13" t="str">
        <f>+HYPERLINK("http://trademark.i-assist.jp/data/china/image_1916th/81094880.pdf","81094880")</f>
        <v>81094880</v>
      </c>
      <c r="F1013" s="9" t="s">
        <v>2835</v>
      </c>
      <c r="G1013" s="12" t="s">
        <v>2836</v>
      </c>
      <c r="H1013" s="9" t="s">
        <v>2837</v>
      </c>
      <c r="I1013" s="10">
        <v>45560</v>
      </c>
    </row>
    <row r="1014" spans="1:9" x14ac:dyDescent="0.15">
      <c r="A1014" s="9">
        <v>1013</v>
      </c>
      <c r="B1014" s="9" t="s">
        <v>9</v>
      </c>
      <c r="C1014" s="9">
        <v>1916</v>
      </c>
      <c r="D1014" s="10">
        <v>45646</v>
      </c>
      <c r="E1014" s="13" t="str">
        <f>+HYPERLINK("http://trademark.i-assist.jp/data/china/image_1916th/81094926.pdf","81094926")</f>
        <v>81094926</v>
      </c>
      <c r="F1014" s="9" t="s">
        <v>2838</v>
      </c>
      <c r="G1014" s="9" t="s">
        <v>2839</v>
      </c>
      <c r="H1014" s="9" t="s">
        <v>2840</v>
      </c>
      <c r="I1014" s="10">
        <v>45560</v>
      </c>
    </row>
    <row r="1015" spans="1:9" x14ac:dyDescent="0.15">
      <c r="A1015" s="9">
        <v>1014</v>
      </c>
      <c r="B1015" s="9" t="s">
        <v>9</v>
      </c>
      <c r="C1015" s="9">
        <v>1916</v>
      </c>
      <c r="D1015" s="10">
        <v>45646</v>
      </c>
      <c r="E1015" s="13" t="str">
        <f>+HYPERLINK("http://trademark.i-assist.jp/data/china/image_1916th/81095439.pdf","81095439")</f>
        <v>81095439</v>
      </c>
      <c r="F1015" s="9" t="s">
        <v>2841</v>
      </c>
      <c r="G1015" s="12" t="s">
        <v>2842</v>
      </c>
      <c r="H1015" s="9" t="s">
        <v>2843</v>
      </c>
      <c r="I1015" s="10">
        <v>45560</v>
      </c>
    </row>
    <row r="1016" spans="1:9" x14ac:dyDescent="0.15">
      <c r="A1016" s="9">
        <v>1015</v>
      </c>
      <c r="B1016" s="9" t="s">
        <v>9</v>
      </c>
      <c r="C1016" s="9">
        <v>1916</v>
      </c>
      <c r="D1016" s="10">
        <v>45646</v>
      </c>
      <c r="E1016" s="13" t="str">
        <f>+HYPERLINK("http://trademark.i-assist.jp/data/china/image_1916th/81095627.pdf","81095627")</f>
        <v>81095627</v>
      </c>
      <c r="F1016" s="12" t="s">
        <v>2844</v>
      </c>
      <c r="G1016" s="9" t="s">
        <v>2845</v>
      </c>
      <c r="H1016" s="9" t="s">
        <v>2846</v>
      </c>
      <c r="I1016" s="10">
        <v>45560</v>
      </c>
    </row>
    <row r="1017" spans="1:9" x14ac:dyDescent="0.15">
      <c r="A1017" s="9">
        <v>1016</v>
      </c>
      <c r="B1017" s="9" t="s">
        <v>9</v>
      </c>
      <c r="C1017" s="9">
        <v>1916</v>
      </c>
      <c r="D1017" s="10">
        <v>45646</v>
      </c>
      <c r="E1017" s="13" t="str">
        <f>+HYPERLINK("http://trademark.i-assist.jp/data/china/image_1916th/81095845.pdf","81095845")</f>
        <v>81095845</v>
      </c>
      <c r="F1017" s="9" t="s">
        <v>2847</v>
      </c>
      <c r="G1017" s="9" t="s">
        <v>2848</v>
      </c>
      <c r="H1017" s="9" t="s">
        <v>2849</v>
      </c>
      <c r="I1017" s="10">
        <v>45560</v>
      </c>
    </row>
    <row r="1018" spans="1:9" x14ac:dyDescent="0.15">
      <c r="A1018" s="9">
        <v>1017</v>
      </c>
      <c r="B1018" s="9" t="s">
        <v>9</v>
      </c>
      <c r="C1018" s="9">
        <v>1916</v>
      </c>
      <c r="D1018" s="10">
        <v>45646</v>
      </c>
      <c r="E1018" s="13" t="str">
        <f>+HYPERLINK("http://trademark.i-assist.jp/data/china/image_1916th/81096513.pdf","81096513")</f>
        <v>81096513</v>
      </c>
      <c r="F1018" s="9" t="s">
        <v>2850</v>
      </c>
      <c r="G1018" s="12" t="s">
        <v>2851</v>
      </c>
      <c r="H1018" s="9" t="s">
        <v>2852</v>
      </c>
      <c r="I1018" s="10">
        <v>45560</v>
      </c>
    </row>
    <row r="1019" spans="1:9" x14ac:dyDescent="0.15">
      <c r="A1019" s="9">
        <v>1018</v>
      </c>
      <c r="B1019" s="9" t="s">
        <v>9</v>
      </c>
      <c r="C1019" s="9">
        <v>1916</v>
      </c>
      <c r="D1019" s="10">
        <v>45646</v>
      </c>
      <c r="E1019" s="13" t="str">
        <f>+HYPERLINK("http://trademark.i-assist.jp/data/china/image_1916th/81097005.pdf","81097005")</f>
        <v>81097005</v>
      </c>
      <c r="F1019" s="9" t="s">
        <v>2853</v>
      </c>
      <c r="G1019" s="9" t="s">
        <v>2854</v>
      </c>
      <c r="H1019" s="9" t="s">
        <v>2855</v>
      </c>
      <c r="I1019" s="10">
        <v>45560</v>
      </c>
    </row>
    <row r="1020" spans="1:9" x14ac:dyDescent="0.15">
      <c r="A1020" s="9">
        <v>1019</v>
      </c>
      <c r="B1020" s="9" t="s">
        <v>9</v>
      </c>
      <c r="C1020" s="9">
        <v>1916</v>
      </c>
      <c r="D1020" s="10">
        <v>45646</v>
      </c>
      <c r="E1020" s="13" t="str">
        <f>+HYPERLINK("http://trademark.i-assist.jp/data/china/image_1916th/81097030.pdf","81097030")</f>
        <v>81097030</v>
      </c>
      <c r="F1020" s="9" t="s">
        <v>2856</v>
      </c>
      <c r="G1020" s="9" t="s">
        <v>2854</v>
      </c>
      <c r="H1020" s="9" t="s">
        <v>2857</v>
      </c>
      <c r="I1020" s="10">
        <v>45560</v>
      </c>
    </row>
    <row r="1021" spans="1:9" x14ac:dyDescent="0.15">
      <c r="A1021" s="9">
        <v>1020</v>
      </c>
      <c r="B1021" s="9" t="s">
        <v>9</v>
      </c>
      <c r="C1021" s="9">
        <v>1916</v>
      </c>
      <c r="D1021" s="10">
        <v>45646</v>
      </c>
      <c r="E1021" s="13" t="str">
        <f>+HYPERLINK("http://trademark.i-assist.jp/data/china/image_1916th/81097195.pdf","81097195")</f>
        <v>81097195</v>
      </c>
      <c r="F1021" s="9" t="s">
        <v>2858</v>
      </c>
      <c r="G1021" s="9" t="s">
        <v>2859</v>
      </c>
      <c r="H1021" s="9" t="s">
        <v>2860</v>
      </c>
      <c r="I1021" s="10">
        <v>45560</v>
      </c>
    </row>
    <row r="1022" spans="1:9" x14ac:dyDescent="0.15">
      <c r="A1022" s="9">
        <v>1021</v>
      </c>
      <c r="B1022" s="9" t="s">
        <v>9</v>
      </c>
      <c r="C1022" s="9">
        <v>1916</v>
      </c>
      <c r="D1022" s="10">
        <v>45646</v>
      </c>
      <c r="E1022" s="13" t="str">
        <f>+HYPERLINK("http://trademark.i-assist.jp/data/china/image_1916th/81098072.pdf","81098072")</f>
        <v>81098072</v>
      </c>
      <c r="F1022" s="9" t="s">
        <v>2861</v>
      </c>
      <c r="G1022" s="12" t="s">
        <v>2862</v>
      </c>
      <c r="H1022" s="9" t="s">
        <v>2863</v>
      </c>
      <c r="I1022" s="10">
        <v>45560</v>
      </c>
    </row>
    <row r="1023" spans="1:9" x14ac:dyDescent="0.15">
      <c r="A1023" s="9">
        <v>1022</v>
      </c>
      <c r="B1023" s="9" t="s">
        <v>9</v>
      </c>
      <c r="C1023" s="9">
        <v>1916</v>
      </c>
      <c r="D1023" s="10">
        <v>45646</v>
      </c>
      <c r="E1023" s="13" t="str">
        <f>+HYPERLINK("http://trademark.i-assist.jp/data/china/image_1916th/81098421.pdf","81098421")</f>
        <v>81098421</v>
      </c>
      <c r="F1023" s="9" t="s">
        <v>2864</v>
      </c>
      <c r="G1023" s="9" t="s">
        <v>2865</v>
      </c>
      <c r="H1023" s="9" t="s">
        <v>2866</v>
      </c>
      <c r="I1023" s="10">
        <v>45560</v>
      </c>
    </row>
    <row r="1024" spans="1:9" x14ac:dyDescent="0.15">
      <c r="A1024" s="9">
        <v>1023</v>
      </c>
      <c r="B1024" s="9" t="s">
        <v>9</v>
      </c>
      <c r="C1024" s="9">
        <v>1916</v>
      </c>
      <c r="D1024" s="10">
        <v>45646</v>
      </c>
      <c r="E1024" s="13" t="str">
        <f>+HYPERLINK("http://trademark.i-assist.jp/data/china/image_1916th/81098857.pdf","81098857")</f>
        <v>81098857</v>
      </c>
      <c r="F1024" s="9" t="s">
        <v>2867</v>
      </c>
      <c r="G1024" s="9" t="s">
        <v>2868</v>
      </c>
      <c r="H1024" s="9" t="s">
        <v>2869</v>
      </c>
      <c r="I1024" s="10">
        <v>45560</v>
      </c>
    </row>
    <row r="1025" spans="1:9" x14ac:dyDescent="0.15">
      <c r="A1025" s="9">
        <v>1024</v>
      </c>
      <c r="B1025" s="9" t="s">
        <v>9</v>
      </c>
      <c r="C1025" s="9">
        <v>1916</v>
      </c>
      <c r="D1025" s="10">
        <v>45646</v>
      </c>
      <c r="E1025" s="13" t="str">
        <f>+HYPERLINK("http://trademark.i-assist.jp/data/china/image_1916th/81098967.pdf","81098967")</f>
        <v>81098967</v>
      </c>
      <c r="F1025" s="12" t="s">
        <v>13</v>
      </c>
      <c r="G1025" s="12" t="s">
        <v>2870</v>
      </c>
      <c r="H1025" s="9" t="s">
        <v>2871</v>
      </c>
      <c r="I1025" s="10">
        <v>45560</v>
      </c>
    </row>
    <row r="1026" spans="1:9" x14ac:dyDescent="0.15">
      <c r="A1026" s="9">
        <v>1025</v>
      </c>
      <c r="B1026" s="9" t="s">
        <v>9</v>
      </c>
      <c r="C1026" s="9">
        <v>1916</v>
      </c>
      <c r="D1026" s="10">
        <v>45646</v>
      </c>
      <c r="E1026" s="13" t="str">
        <f>+HYPERLINK("http://trademark.i-assist.jp/data/china/image_1916th/81099398.pdf","81099398")</f>
        <v>81099398</v>
      </c>
      <c r="F1026" s="9" t="s">
        <v>2872</v>
      </c>
      <c r="G1026" s="9" t="s">
        <v>2868</v>
      </c>
      <c r="H1026" s="9" t="s">
        <v>2873</v>
      </c>
      <c r="I1026" s="10">
        <v>45560</v>
      </c>
    </row>
    <row r="1027" spans="1:9" x14ac:dyDescent="0.15">
      <c r="A1027" s="9">
        <v>1026</v>
      </c>
      <c r="B1027" s="9" t="s">
        <v>9</v>
      </c>
      <c r="C1027" s="9">
        <v>1916</v>
      </c>
      <c r="D1027" s="10">
        <v>45646</v>
      </c>
      <c r="E1027" s="13" t="str">
        <f>+HYPERLINK("http://trademark.i-assist.jp/data/china/image_1916th/81100081.pdf","81100081")</f>
        <v>81100081</v>
      </c>
      <c r="F1027" s="9" t="s">
        <v>2874</v>
      </c>
      <c r="G1027" s="9" t="s">
        <v>2875</v>
      </c>
      <c r="H1027" s="9" t="s">
        <v>2876</v>
      </c>
      <c r="I1027" s="10">
        <v>45560</v>
      </c>
    </row>
    <row r="1028" spans="1:9" x14ac:dyDescent="0.15">
      <c r="A1028" s="9">
        <v>1027</v>
      </c>
      <c r="B1028" s="9" t="s">
        <v>9</v>
      </c>
      <c r="C1028" s="9">
        <v>1916</v>
      </c>
      <c r="D1028" s="10">
        <v>45646</v>
      </c>
      <c r="E1028" s="13" t="str">
        <f>+HYPERLINK("http://trademark.i-assist.jp/data/china/image_1916th/81100099.pdf","81100099")</f>
        <v>81100099</v>
      </c>
      <c r="F1028" s="9" t="s">
        <v>2877</v>
      </c>
      <c r="G1028" s="9" t="s">
        <v>2878</v>
      </c>
      <c r="H1028" s="9" t="s">
        <v>2879</v>
      </c>
      <c r="I1028" s="10">
        <v>45560</v>
      </c>
    </row>
    <row r="1029" spans="1:9" x14ac:dyDescent="0.15">
      <c r="A1029" s="9">
        <v>1028</v>
      </c>
      <c r="B1029" s="9" t="s">
        <v>9</v>
      </c>
      <c r="C1029" s="9">
        <v>1916</v>
      </c>
      <c r="D1029" s="10">
        <v>45646</v>
      </c>
      <c r="E1029" s="13" t="str">
        <f>+HYPERLINK("http://trademark.i-assist.jp/data/china/image_1916th/81100286.pdf","81100286")</f>
        <v>81100286</v>
      </c>
      <c r="F1029" s="9" t="s">
        <v>2880</v>
      </c>
      <c r="G1029" s="9" t="s">
        <v>2881</v>
      </c>
      <c r="H1029" s="9" t="s">
        <v>2882</v>
      </c>
      <c r="I1029" s="10">
        <v>45560</v>
      </c>
    </row>
    <row r="1030" spans="1:9" x14ac:dyDescent="0.15">
      <c r="A1030" s="9">
        <v>1029</v>
      </c>
      <c r="B1030" s="9" t="s">
        <v>9</v>
      </c>
      <c r="C1030" s="9">
        <v>1916</v>
      </c>
      <c r="D1030" s="10">
        <v>45646</v>
      </c>
      <c r="E1030" s="13" t="str">
        <f>+HYPERLINK("http://trademark.i-assist.jp/data/china/image_1916th/81100981.pdf","81100981")</f>
        <v>81100981</v>
      </c>
      <c r="F1030" s="9" t="s">
        <v>2883</v>
      </c>
      <c r="G1030" s="9" t="s">
        <v>2884</v>
      </c>
      <c r="H1030" s="9" t="s">
        <v>2885</v>
      </c>
      <c r="I1030" s="10">
        <v>45560</v>
      </c>
    </row>
    <row r="1031" spans="1:9" x14ac:dyDescent="0.15">
      <c r="A1031" s="9">
        <v>1030</v>
      </c>
      <c r="B1031" s="9" t="s">
        <v>9</v>
      </c>
      <c r="C1031" s="9">
        <v>1916</v>
      </c>
      <c r="D1031" s="10">
        <v>45646</v>
      </c>
      <c r="E1031" s="13" t="str">
        <f>+HYPERLINK("http://trademark.i-assist.jp/data/china/image_1916th/81101234.pdf","81101234")</f>
        <v>81101234</v>
      </c>
      <c r="F1031" s="12" t="s">
        <v>2886</v>
      </c>
      <c r="G1031" s="9" t="s">
        <v>2854</v>
      </c>
      <c r="H1031" s="9" t="s">
        <v>2887</v>
      </c>
      <c r="I1031" s="10">
        <v>45560</v>
      </c>
    </row>
    <row r="1032" spans="1:9" x14ac:dyDescent="0.15">
      <c r="A1032" s="9">
        <v>1031</v>
      </c>
      <c r="B1032" s="9" t="s">
        <v>9</v>
      </c>
      <c r="C1032" s="9">
        <v>1916</v>
      </c>
      <c r="D1032" s="10">
        <v>45646</v>
      </c>
      <c r="E1032" s="13" t="str">
        <f>+HYPERLINK("http://trademark.i-assist.jp/data/china/image_1916th/81102662.pdf","81102662")</f>
        <v>81102662</v>
      </c>
      <c r="F1032" s="9" t="s">
        <v>2888</v>
      </c>
      <c r="G1032" s="12" t="s">
        <v>2889</v>
      </c>
      <c r="H1032" s="12" t="s">
        <v>2890</v>
      </c>
      <c r="I1032" s="10">
        <v>45560</v>
      </c>
    </row>
    <row r="1033" spans="1:9" x14ac:dyDescent="0.15">
      <c r="A1033" s="9">
        <v>1032</v>
      </c>
      <c r="B1033" s="9" t="s">
        <v>9</v>
      </c>
      <c r="C1033" s="9">
        <v>1916</v>
      </c>
      <c r="D1033" s="10">
        <v>45646</v>
      </c>
      <c r="E1033" s="13" t="str">
        <f>+HYPERLINK("http://trademark.i-assist.jp/data/china/image_1916th/81102698.pdf","81102698")</f>
        <v>81102698</v>
      </c>
      <c r="F1033" s="9" t="s">
        <v>2891</v>
      </c>
      <c r="G1033" s="12" t="s">
        <v>2892</v>
      </c>
      <c r="H1033" s="9" t="s">
        <v>2893</v>
      </c>
      <c r="I1033" s="10">
        <v>45560</v>
      </c>
    </row>
    <row r="1034" spans="1:9" x14ac:dyDescent="0.15">
      <c r="A1034" s="9">
        <v>1033</v>
      </c>
      <c r="B1034" s="9" t="s">
        <v>9</v>
      </c>
      <c r="C1034" s="9">
        <v>1916</v>
      </c>
      <c r="D1034" s="10">
        <v>45646</v>
      </c>
      <c r="E1034" s="13" t="str">
        <f>+HYPERLINK("http://trademark.i-assist.jp/data/china/image_1916th/81102837.pdf","81102837")</f>
        <v>81102837</v>
      </c>
      <c r="F1034" s="12" t="s">
        <v>2894</v>
      </c>
      <c r="G1034" s="9" t="s">
        <v>2895</v>
      </c>
      <c r="H1034" s="12" t="s">
        <v>2896</v>
      </c>
      <c r="I1034" s="10">
        <v>45560</v>
      </c>
    </row>
    <row r="1035" spans="1:9" x14ac:dyDescent="0.15">
      <c r="A1035" s="9">
        <v>1034</v>
      </c>
      <c r="B1035" s="9" t="s">
        <v>9</v>
      </c>
      <c r="C1035" s="9">
        <v>1916</v>
      </c>
      <c r="D1035" s="10">
        <v>45646</v>
      </c>
      <c r="E1035" s="13" t="str">
        <f>+HYPERLINK("http://trademark.i-assist.jp/data/china/image_1916th/81102875.pdf","81102875")</f>
        <v>81102875</v>
      </c>
      <c r="F1035" s="9" t="s">
        <v>2897</v>
      </c>
      <c r="G1035" s="9" t="s">
        <v>2898</v>
      </c>
      <c r="H1035" s="12" t="s">
        <v>2899</v>
      </c>
      <c r="I1035" s="10">
        <v>45560</v>
      </c>
    </row>
    <row r="1036" spans="1:9" x14ac:dyDescent="0.15">
      <c r="A1036" s="9">
        <v>1035</v>
      </c>
      <c r="B1036" s="9" t="s">
        <v>9</v>
      </c>
      <c r="C1036" s="9">
        <v>1916</v>
      </c>
      <c r="D1036" s="10">
        <v>45646</v>
      </c>
      <c r="E1036" s="13" t="str">
        <f>+HYPERLINK("http://trademark.i-assist.jp/data/china/image_1916th/81102881.pdf","81102881")</f>
        <v>81102881</v>
      </c>
      <c r="F1036" s="9" t="s">
        <v>2900</v>
      </c>
      <c r="G1036" s="12" t="s">
        <v>2862</v>
      </c>
      <c r="H1036" s="12" t="s">
        <v>2901</v>
      </c>
      <c r="I1036" s="10">
        <v>45560</v>
      </c>
    </row>
    <row r="1037" spans="1:9" x14ac:dyDescent="0.15">
      <c r="A1037" s="9">
        <v>1036</v>
      </c>
      <c r="B1037" s="9" t="s">
        <v>9</v>
      </c>
      <c r="C1037" s="9">
        <v>1916</v>
      </c>
      <c r="D1037" s="10">
        <v>45646</v>
      </c>
      <c r="E1037" s="13" t="str">
        <f>+HYPERLINK("http://trademark.i-assist.jp/data/china/image_1916th/81102994.pdf","81102994")</f>
        <v>81102994</v>
      </c>
      <c r="F1037" s="12" t="s">
        <v>2902</v>
      </c>
      <c r="G1037" s="9" t="s">
        <v>2903</v>
      </c>
      <c r="H1037" s="12" t="s">
        <v>2904</v>
      </c>
      <c r="I1037" s="10">
        <v>45560</v>
      </c>
    </row>
    <row r="1038" spans="1:9" x14ac:dyDescent="0.15">
      <c r="A1038" s="9">
        <v>1037</v>
      </c>
      <c r="B1038" s="9" t="s">
        <v>9</v>
      </c>
      <c r="C1038" s="9">
        <v>1916</v>
      </c>
      <c r="D1038" s="10">
        <v>45646</v>
      </c>
      <c r="E1038" s="13" t="str">
        <f>+HYPERLINK("http://trademark.i-assist.jp/data/china/image_1916th/81103433.pdf","81103433")</f>
        <v>81103433</v>
      </c>
      <c r="F1038" s="9" t="s">
        <v>2905</v>
      </c>
      <c r="G1038" s="9" t="s">
        <v>2906</v>
      </c>
      <c r="H1038" s="9" t="s">
        <v>2907</v>
      </c>
      <c r="I1038" s="10">
        <v>45560</v>
      </c>
    </row>
    <row r="1039" spans="1:9" x14ac:dyDescent="0.15">
      <c r="A1039" s="9">
        <v>1038</v>
      </c>
      <c r="B1039" s="9" t="s">
        <v>9</v>
      </c>
      <c r="C1039" s="9">
        <v>1916</v>
      </c>
      <c r="D1039" s="10">
        <v>45646</v>
      </c>
      <c r="E1039" s="13" t="str">
        <f>+HYPERLINK("http://trademark.i-assist.jp/data/china/image_1916th/81103644.pdf","81103644")</f>
        <v>81103644</v>
      </c>
      <c r="F1039" s="9" t="s">
        <v>2908</v>
      </c>
      <c r="G1039" s="9" t="s">
        <v>2868</v>
      </c>
      <c r="H1039" s="12" t="s">
        <v>2909</v>
      </c>
      <c r="I1039" s="10">
        <v>45560</v>
      </c>
    </row>
    <row r="1040" spans="1:9" x14ac:dyDescent="0.15">
      <c r="A1040" s="9">
        <v>1039</v>
      </c>
      <c r="B1040" s="9" t="s">
        <v>9</v>
      </c>
      <c r="C1040" s="9">
        <v>1916</v>
      </c>
      <c r="D1040" s="10">
        <v>45646</v>
      </c>
      <c r="E1040" s="13" t="str">
        <f>+HYPERLINK("http://trademark.i-assist.jp/data/china/image_1916th/81103681.pdf","81103681")</f>
        <v>81103681</v>
      </c>
      <c r="F1040" s="9" t="s">
        <v>2910</v>
      </c>
      <c r="G1040" s="9" t="s">
        <v>2911</v>
      </c>
      <c r="H1040" s="9" t="s">
        <v>2912</v>
      </c>
      <c r="I1040" s="10">
        <v>45560</v>
      </c>
    </row>
    <row r="1041" spans="1:9" x14ac:dyDescent="0.15">
      <c r="A1041" s="9">
        <v>1040</v>
      </c>
      <c r="B1041" s="9" t="s">
        <v>9</v>
      </c>
      <c r="C1041" s="9">
        <v>1916</v>
      </c>
      <c r="D1041" s="10">
        <v>45646</v>
      </c>
      <c r="E1041" s="13" t="str">
        <f>+HYPERLINK("http://trademark.i-assist.jp/data/china/image_1916th/81103886.pdf","81103886")</f>
        <v>81103886</v>
      </c>
      <c r="F1041" s="12" t="s">
        <v>13</v>
      </c>
      <c r="G1041" s="9" t="s">
        <v>2913</v>
      </c>
      <c r="H1041" s="9" t="s">
        <v>2914</v>
      </c>
      <c r="I1041" s="10">
        <v>45560</v>
      </c>
    </row>
    <row r="1042" spans="1:9" x14ac:dyDescent="0.15">
      <c r="A1042" s="9">
        <v>1041</v>
      </c>
      <c r="B1042" s="9" t="s">
        <v>9</v>
      </c>
      <c r="C1042" s="9">
        <v>1916</v>
      </c>
      <c r="D1042" s="10">
        <v>45646</v>
      </c>
      <c r="E1042" s="13" t="str">
        <f>+HYPERLINK("http://trademark.i-assist.jp/data/china/image_1916th/81103926.pdf","81103926")</f>
        <v>81103926</v>
      </c>
      <c r="F1042" s="9" t="s">
        <v>2915</v>
      </c>
      <c r="G1042" s="9" t="s">
        <v>2854</v>
      </c>
      <c r="H1042" s="9" t="s">
        <v>2916</v>
      </c>
      <c r="I1042" s="10">
        <v>45560</v>
      </c>
    </row>
    <row r="1043" spans="1:9" x14ac:dyDescent="0.15">
      <c r="A1043" s="9">
        <v>1042</v>
      </c>
      <c r="B1043" s="9" t="s">
        <v>9</v>
      </c>
      <c r="C1043" s="9">
        <v>1916</v>
      </c>
      <c r="D1043" s="10">
        <v>45646</v>
      </c>
      <c r="E1043" s="13" t="str">
        <f>+HYPERLINK("http://trademark.i-assist.jp/data/china/image_1916th/81103935.pdf","81103935")</f>
        <v>81103935</v>
      </c>
      <c r="F1043" s="9" t="s">
        <v>2917</v>
      </c>
      <c r="G1043" s="9" t="s">
        <v>2854</v>
      </c>
      <c r="H1043" s="9" t="s">
        <v>2918</v>
      </c>
      <c r="I1043" s="10">
        <v>45560</v>
      </c>
    </row>
    <row r="1044" spans="1:9" x14ac:dyDescent="0.15">
      <c r="A1044" s="9">
        <v>1043</v>
      </c>
      <c r="B1044" s="9" t="s">
        <v>9</v>
      </c>
      <c r="C1044" s="9">
        <v>1916</v>
      </c>
      <c r="D1044" s="10">
        <v>45646</v>
      </c>
      <c r="E1044" s="13" t="str">
        <f>+HYPERLINK("http://trademark.i-assist.jp/data/china/image_1916th/81104104.pdf","81104104")</f>
        <v>81104104</v>
      </c>
      <c r="F1044" s="12" t="s">
        <v>2919</v>
      </c>
      <c r="G1044" s="9" t="s">
        <v>2920</v>
      </c>
      <c r="H1044" s="9" t="s">
        <v>2921</v>
      </c>
      <c r="I1044" s="10">
        <v>45560</v>
      </c>
    </row>
    <row r="1045" spans="1:9" x14ac:dyDescent="0.15">
      <c r="A1045" s="9">
        <v>1044</v>
      </c>
      <c r="B1045" s="9" t="s">
        <v>9</v>
      </c>
      <c r="C1045" s="9">
        <v>1916</v>
      </c>
      <c r="D1045" s="10">
        <v>45646</v>
      </c>
      <c r="E1045" s="13" t="str">
        <f>+HYPERLINK("http://trademark.i-assist.jp/data/china/image_1916th/81104222.pdf","81104222")</f>
        <v>81104222</v>
      </c>
      <c r="F1045" s="9" t="s">
        <v>2922</v>
      </c>
      <c r="G1045" s="9" t="s">
        <v>2923</v>
      </c>
      <c r="H1045" s="12" t="s">
        <v>2924</v>
      </c>
      <c r="I1045" s="10">
        <v>45560</v>
      </c>
    </row>
    <row r="1046" spans="1:9" x14ac:dyDescent="0.15">
      <c r="A1046" s="9">
        <v>1045</v>
      </c>
      <c r="B1046" s="9" t="s">
        <v>9</v>
      </c>
      <c r="C1046" s="9">
        <v>1916</v>
      </c>
      <c r="D1046" s="10">
        <v>45646</v>
      </c>
      <c r="E1046" s="13" t="str">
        <f>+HYPERLINK("http://trademark.i-assist.jp/data/china/image_1916th/81104925.pdf","81104925")</f>
        <v>81104925</v>
      </c>
      <c r="F1046" s="12" t="s">
        <v>2925</v>
      </c>
      <c r="G1046" s="12" t="s">
        <v>2926</v>
      </c>
      <c r="H1046" s="9" t="s">
        <v>2927</v>
      </c>
      <c r="I1046" s="10">
        <v>45560</v>
      </c>
    </row>
    <row r="1047" spans="1:9" x14ac:dyDescent="0.15">
      <c r="A1047" s="9">
        <v>1046</v>
      </c>
      <c r="B1047" s="9" t="s">
        <v>9</v>
      </c>
      <c r="C1047" s="9">
        <v>1916</v>
      </c>
      <c r="D1047" s="10">
        <v>45646</v>
      </c>
      <c r="E1047" s="13" t="str">
        <f>+HYPERLINK("http://trademark.i-assist.jp/data/china/image_1916th/81105010.pdf","81105010")</f>
        <v>81105010</v>
      </c>
      <c r="F1047" s="9" t="s">
        <v>2928</v>
      </c>
      <c r="G1047" s="9" t="s">
        <v>2929</v>
      </c>
      <c r="H1047" s="9" t="s">
        <v>2930</v>
      </c>
      <c r="I1047" s="10">
        <v>45560</v>
      </c>
    </row>
    <row r="1048" spans="1:9" x14ac:dyDescent="0.15">
      <c r="A1048" s="9">
        <v>1047</v>
      </c>
      <c r="B1048" s="9" t="s">
        <v>9</v>
      </c>
      <c r="C1048" s="9">
        <v>1916</v>
      </c>
      <c r="D1048" s="10">
        <v>45646</v>
      </c>
      <c r="E1048" s="13" t="str">
        <f>+HYPERLINK("http://trademark.i-assist.jp/data/china/image_1916th/81105121.pdf","81105121")</f>
        <v>81105121</v>
      </c>
      <c r="F1048" s="9" t="s">
        <v>2931</v>
      </c>
      <c r="G1048" s="9" t="s">
        <v>2868</v>
      </c>
      <c r="H1048" s="12" t="s">
        <v>2932</v>
      </c>
      <c r="I1048" s="10">
        <v>45560</v>
      </c>
    </row>
    <row r="1049" spans="1:9" x14ac:dyDescent="0.15">
      <c r="A1049" s="9">
        <v>1048</v>
      </c>
      <c r="B1049" s="9" t="s">
        <v>9</v>
      </c>
      <c r="C1049" s="9">
        <v>1916</v>
      </c>
      <c r="D1049" s="10">
        <v>45646</v>
      </c>
      <c r="E1049" s="13" t="str">
        <f>+HYPERLINK("http://trademark.i-assist.jp/data/china/image_1916th/81105138.pdf","81105138")</f>
        <v>81105138</v>
      </c>
      <c r="F1049" s="9" t="s">
        <v>2933</v>
      </c>
      <c r="G1049" s="9" t="s">
        <v>2868</v>
      </c>
      <c r="H1049" s="9" t="s">
        <v>2934</v>
      </c>
      <c r="I1049" s="10">
        <v>45560</v>
      </c>
    </row>
    <row r="1050" spans="1:9" x14ac:dyDescent="0.15">
      <c r="A1050" s="9">
        <v>1049</v>
      </c>
      <c r="B1050" s="9" t="s">
        <v>9</v>
      </c>
      <c r="C1050" s="9">
        <v>1916</v>
      </c>
      <c r="D1050" s="10">
        <v>45646</v>
      </c>
      <c r="E1050" s="13" t="str">
        <f>+HYPERLINK("http://trademark.i-assist.jp/data/china/image_1916th/81105638.pdf","81105638")</f>
        <v>81105638</v>
      </c>
      <c r="F1050" s="9" t="s">
        <v>2935</v>
      </c>
      <c r="G1050" s="12" t="s">
        <v>2936</v>
      </c>
      <c r="H1050" s="9" t="s">
        <v>2937</v>
      </c>
      <c r="I1050" s="10">
        <v>45560</v>
      </c>
    </row>
    <row r="1051" spans="1:9" x14ac:dyDescent="0.15">
      <c r="A1051" s="9">
        <v>1050</v>
      </c>
      <c r="B1051" s="9" t="s">
        <v>9</v>
      </c>
      <c r="C1051" s="9">
        <v>1916</v>
      </c>
      <c r="D1051" s="10">
        <v>45646</v>
      </c>
      <c r="E1051" s="13" t="str">
        <f>+HYPERLINK("http://trademark.i-assist.jp/data/china/image_1916th/81105769.pdf","81105769")</f>
        <v>81105769</v>
      </c>
      <c r="F1051" s="9" t="s">
        <v>2938</v>
      </c>
      <c r="G1051" s="9" t="s">
        <v>2939</v>
      </c>
      <c r="H1051" s="9" t="s">
        <v>2940</v>
      </c>
      <c r="I1051" s="10">
        <v>45560</v>
      </c>
    </row>
    <row r="1052" spans="1:9" x14ac:dyDescent="0.15">
      <c r="A1052" s="9">
        <v>1051</v>
      </c>
      <c r="B1052" s="9" t="s">
        <v>9</v>
      </c>
      <c r="C1052" s="9">
        <v>1916</v>
      </c>
      <c r="D1052" s="10">
        <v>45646</v>
      </c>
      <c r="E1052" s="13" t="str">
        <f>+HYPERLINK("http://trademark.i-assist.jp/data/china/image_1916th/81105856.pdf","81105856")</f>
        <v>81105856</v>
      </c>
      <c r="F1052" s="9" t="s">
        <v>2941</v>
      </c>
      <c r="G1052" s="12" t="s">
        <v>2942</v>
      </c>
      <c r="H1052" s="9" t="s">
        <v>2943</v>
      </c>
      <c r="I1052" s="10">
        <v>45560</v>
      </c>
    </row>
    <row r="1053" spans="1:9" x14ac:dyDescent="0.15">
      <c r="A1053" s="9">
        <v>1052</v>
      </c>
      <c r="B1053" s="9" t="s">
        <v>9</v>
      </c>
      <c r="C1053" s="9">
        <v>1916</v>
      </c>
      <c r="D1053" s="10">
        <v>45646</v>
      </c>
      <c r="E1053" s="13" t="str">
        <f>+HYPERLINK("http://trademark.i-assist.jp/data/china/image_1916th/81106076.pdf","81106076")</f>
        <v>81106076</v>
      </c>
      <c r="F1053" s="9" t="s">
        <v>2944</v>
      </c>
      <c r="G1053" s="9" t="s">
        <v>2945</v>
      </c>
      <c r="H1053" s="9" t="s">
        <v>2946</v>
      </c>
      <c r="I1053" s="10">
        <v>45560</v>
      </c>
    </row>
    <row r="1054" spans="1:9" x14ac:dyDescent="0.15">
      <c r="A1054" s="9">
        <v>1053</v>
      </c>
      <c r="B1054" s="9" t="s">
        <v>9</v>
      </c>
      <c r="C1054" s="9">
        <v>1916</v>
      </c>
      <c r="D1054" s="10">
        <v>45646</v>
      </c>
      <c r="E1054" s="13" t="str">
        <f>+HYPERLINK("http://trademark.i-assist.jp/data/china/image_1916th/81106485.pdf","81106485")</f>
        <v>81106485</v>
      </c>
      <c r="F1054" s="12" t="s">
        <v>2947</v>
      </c>
      <c r="G1054" s="9" t="s">
        <v>2948</v>
      </c>
      <c r="H1054" s="9" t="s">
        <v>2949</v>
      </c>
      <c r="I1054" s="10">
        <v>45560</v>
      </c>
    </row>
    <row r="1055" spans="1:9" x14ac:dyDescent="0.15">
      <c r="A1055" s="9">
        <v>1054</v>
      </c>
      <c r="B1055" s="9" t="s">
        <v>9</v>
      </c>
      <c r="C1055" s="9">
        <v>1916</v>
      </c>
      <c r="D1055" s="10">
        <v>45646</v>
      </c>
      <c r="E1055" s="13" t="str">
        <f>+HYPERLINK("http://trademark.i-assist.jp/data/china/image_1916th/81107565.pdf","81107565")</f>
        <v>81107565</v>
      </c>
      <c r="F1055" s="12" t="s">
        <v>2950</v>
      </c>
      <c r="G1055" s="9" t="s">
        <v>2951</v>
      </c>
      <c r="H1055" s="9" t="s">
        <v>2952</v>
      </c>
      <c r="I1055" s="10">
        <v>45560</v>
      </c>
    </row>
    <row r="1056" spans="1:9" x14ac:dyDescent="0.15">
      <c r="A1056" s="9">
        <v>1055</v>
      </c>
      <c r="B1056" s="9" t="s">
        <v>9</v>
      </c>
      <c r="C1056" s="9">
        <v>1916</v>
      </c>
      <c r="D1056" s="10">
        <v>45646</v>
      </c>
      <c r="E1056" s="13" t="str">
        <f>+HYPERLINK("http://trademark.i-assist.jp/data/china/image_1916th/81107963.pdf","81107963")</f>
        <v>81107963</v>
      </c>
      <c r="F1056" s="9" t="s">
        <v>2953</v>
      </c>
      <c r="G1056" s="9" t="s">
        <v>2939</v>
      </c>
      <c r="H1056" s="9" t="s">
        <v>2954</v>
      </c>
      <c r="I1056" s="10">
        <v>45560</v>
      </c>
    </row>
    <row r="1057" spans="1:9" x14ac:dyDescent="0.15">
      <c r="A1057" s="9">
        <v>1056</v>
      </c>
      <c r="B1057" s="9" t="s">
        <v>9</v>
      </c>
      <c r="C1057" s="9">
        <v>1916</v>
      </c>
      <c r="D1057" s="10">
        <v>45646</v>
      </c>
      <c r="E1057" s="13" t="str">
        <f>+HYPERLINK("http://trademark.i-assist.jp/data/china/image_1916th/81107983.pdf","81107983")</f>
        <v>81107983</v>
      </c>
      <c r="F1057" s="9" t="s">
        <v>2955</v>
      </c>
      <c r="G1057" s="9" t="s">
        <v>2956</v>
      </c>
      <c r="H1057" s="9" t="s">
        <v>2957</v>
      </c>
      <c r="I1057" s="10">
        <v>45560</v>
      </c>
    </row>
    <row r="1058" spans="1:9" x14ac:dyDescent="0.15">
      <c r="A1058" s="9">
        <v>1057</v>
      </c>
      <c r="B1058" s="9" t="s">
        <v>9</v>
      </c>
      <c r="C1058" s="9">
        <v>1916</v>
      </c>
      <c r="D1058" s="10">
        <v>45646</v>
      </c>
      <c r="E1058" s="13" t="str">
        <f>+HYPERLINK("http://trademark.i-assist.jp/data/china/image_1916th/81107992.pdf","81107992")</f>
        <v>81107992</v>
      </c>
      <c r="F1058" s="9" t="s">
        <v>2958</v>
      </c>
      <c r="G1058" s="9" t="s">
        <v>2959</v>
      </c>
      <c r="H1058" s="9" t="s">
        <v>2960</v>
      </c>
      <c r="I1058" s="10">
        <v>45560</v>
      </c>
    </row>
    <row r="1059" spans="1:9" x14ac:dyDescent="0.15">
      <c r="A1059" s="9">
        <v>1058</v>
      </c>
      <c r="B1059" s="9" t="s">
        <v>9</v>
      </c>
      <c r="C1059" s="9">
        <v>1916</v>
      </c>
      <c r="D1059" s="10">
        <v>45646</v>
      </c>
      <c r="E1059" s="13" t="str">
        <f>+HYPERLINK("http://trademark.i-assist.jp/data/china/image_1916th/81108185.pdf","81108185")</f>
        <v>81108185</v>
      </c>
      <c r="F1059" s="9" t="s">
        <v>2961</v>
      </c>
      <c r="G1059" s="9" t="s">
        <v>2962</v>
      </c>
      <c r="H1059" s="9" t="s">
        <v>2963</v>
      </c>
      <c r="I1059" s="10">
        <v>45560</v>
      </c>
    </row>
    <row r="1060" spans="1:9" x14ac:dyDescent="0.15">
      <c r="A1060" s="9">
        <v>1059</v>
      </c>
      <c r="B1060" s="9" t="s">
        <v>9</v>
      </c>
      <c r="C1060" s="9">
        <v>1916</v>
      </c>
      <c r="D1060" s="10">
        <v>45646</v>
      </c>
      <c r="E1060" s="13" t="str">
        <f>+HYPERLINK("http://trademark.i-assist.jp/data/china/image_1916th/81108748.pdf","81108748")</f>
        <v>81108748</v>
      </c>
      <c r="F1060" s="9" t="s">
        <v>2964</v>
      </c>
      <c r="G1060" s="12" t="s">
        <v>2936</v>
      </c>
      <c r="H1060" s="9" t="s">
        <v>2965</v>
      </c>
      <c r="I1060" s="10">
        <v>45560</v>
      </c>
    </row>
    <row r="1061" spans="1:9" x14ac:dyDescent="0.15">
      <c r="A1061" s="9">
        <v>1060</v>
      </c>
      <c r="B1061" s="9" t="s">
        <v>9</v>
      </c>
      <c r="C1061" s="9">
        <v>1916</v>
      </c>
      <c r="D1061" s="10">
        <v>45646</v>
      </c>
      <c r="E1061" s="13" t="str">
        <f>+HYPERLINK("http://trademark.i-assist.jp/data/china/image_1916th/81108879.pdf","81108879")</f>
        <v>81108879</v>
      </c>
      <c r="F1061" s="9" t="s">
        <v>2966</v>
      </c>
      <c r="G1061" s="12" t="s">
        <v>2967</v>
      </c>
      <c r="H1061" s="9" t="s">
        <v>2968</v>
      </c>
      <c r="I1061" s="10">
        <v>45560</v>
      </c>
    </row>
    <row r="1062" spans="1:9" x14ac:dyDescent="0.15">
      <c r="A1062" s="9">
        <v>1061</v>
      </c>
      <c r="B1062" s="9" t="s">
        <v>9</v>
      </c>
      <c r="C1062" s="9">
        <v>1916</v>
      </c>
      <c r="D1062" s="10">
        <v>45646</v>
      </c>
      <c r="E1062" s="13" t="str">
        <f>+HYPERLINK("http://trademark.i-assist.jp/data/china/image_1916th/81108910.pdf","81108910")</f>
        <v>81108910</v>
      </c>
      <c r="F1062" s="9" t="s">
        <v>2969</v>
      </c>
      <c r="G1062" s="9" t="s">
        <v>2970</v>
      </c>
      <c r="H1062" s="9" t="s">
        <v>2971</v>
      </c>
      <c r="I1062" s="10">
        <v>45560</v>
      </c>
    </row>
    <row r="1063" spans="1:9" x14ac:dyDescent="0.15">
      <c r="A1063" s="9">
        <v>1062</v>
      </c>
      <c r="B1063" s="9" t="s">
        <v>9</v>
      </c>
      <c r="C1063" s="9">
        <v>1916</v>
      </c>
      <c r="D1063" s="10">
        <v>45646</v>
      </c>
      <c r="E1063" s="13" t="str">
        <f>+HYPERLINK("http://trademark.i-assist.jp/data/china/image_1916th/81108976.pdf","81108976")</f>
        <v>81108976</v>
      </c>
      <c r="F1063" s="9" t="s">
        <v>2972</v>
      </c>
      <c r="G1063" s="9" t="s">
        <v>2973</v>
      </c>
      <c r="H1063" s="12" t="s">
        <v>2974</v>
      </c>
      <c r="I1063" s="10">
        <v>45560</v>
      </c>
    </row>
    <row r="1064" spans="1:9" x14ac:dyDescent="0.15">
      <c r="A1064" s="9">
        <v>1063</v>
      </c>
      <c r="B1064" s="9" t="s">
        <v>9</v>
      </c>
      <c r="C1064" s="9">
        <v>1916</v>
      </c>
      <c r="D1064" s="10">
        <v>45646</v>
      </c>
      <c r="E1064" s="13" t="str">
        <f>+HYPERLINK("http://trademark.i-assist.jp/data/china/image_1916th/81109741.pdf","81109741")</f>
        <v>81109741</v>
      </c>
      <c r="F1064" s="9" t="s">
        <v>2975</v>
      </c>
      <c r="G1064" s="9" t="s">
        <v>2976</v>
      </c>
      <c r="H1064" s="9" t="s">
        <v>2977</v>
      </c>
      <c r="I1064" s="10">
        <v>45560</v>
      </c>
    </row>
    <row r="1065" spans="1:9" x14ac:dyDescent="0.15">
      <c r="A1065" s="9">
        <v>1064</v>
      </c>
      <c r="B1065" s="9" t="s">
        <v>9</v>
      </c>
      <c r="C1065" s="9">
        <v>1916</v>
      </c>
      <c r="D1065" s="10">
        <v>45646</v>
      </c>
      <c r="E1065" s="13" t="str">
        <f>+HYPERLINK("http://trademark.i-assist.jp/data/china/image_1916th/81110506.pdf","81110506")</f>
        <v>81110506</v>
      </c>
      <c r="F1065" s="9" t="s">
        <v>2978</v>
      </c>
      <c r="G1065" s="12" t="s">
        <v>2979</v>
      </c>
      <c r="H1065" s="9" t="s">
        <v>2980</v>
      </c>
      <c r="I1065" s="10">
        <v>45560</v>
      </c>
    </row>
    <row r="1066" spans="1:9" x14ac:dyDescent="0.15">
      <c r="A1066" s="9">
        <v>1065</v>
      </c>
      <c r="B1066" s="9" t="s">
        <v>9</v>
      </c>
      <c r="C1066" s="9">
        <v>1916</v>
      </c>
      <c r="D1066" s="10">
        <v>45646</v>
      </c>
      <c r="E1066" s="13" t="str">
        <f>+HYPERLINK("http://trademark.i-assist.jp/data/china/image_1916th/81110510.pdf","81110510")</f>
        <v>81110510</v>
      </c>
      <c r="F1066" s="9" t="s">
        <v>2981</v>
      </c>
      <c r="G1066" s="12" t="s">
        <v>2862</v>
      </c>
      <c r="H1066" s="9" t="s">
        <v>2982</v>
      </c>
      <c r="I1066" s="10">
        <v>45560</v>
      </c>
    </row>
    <row r="1067" spans="1:9" x14ac:dyDescent="0.15">
      <c r="A1067" s="9">
        <v>1066</v>
      </c>
      <c r="B1067" s="9" t="s">
        <v>9</v>
      </c>
      <c r="C1067" s="9">
        <v>1916</v>
      </c>
      <c r="D1067" s="10">
        <v>45646</v>
      </c>
      <c r="E1067" s="13" t="str">
        <f>+HYPERLINK("http://trademark.i-assist.jp/data/china/image_1916th/81111002.pdf","81111002")</f>
        <v>81111002</v>
      </c>
      <c r="F1067" s="9" t="s">
        <v>2983</v>
      </c>
      <c r="G1067" s="9" t="s">
        <v>2984</v>
      </c>
      <c r="H1067" s="9" t="s">
        <v>2985</v>
      </c>
      <c r="I1067" s="10">
        <v>45560</v>
      </c>
    </row>
    <row r="1068" spans="1:9" x14ac:dyDescent="0.15">
      <c r="A1068" s="9">
        <v>1067</v>
      </c>
      <c r="B1068" s="9" t="s">
        <v>9</v>
      </c>
      <c r="C1068" s="9">
        <v>1916</v>
      </c>
      <c r="D1068" s="10">
        <v>45646</v>
      </c>
      <c r="E1068" s="13" t="str">
        <f>+HYPERLINK("http://trademark.i-assist.jp/data/china/image_1916th/81111008.pdf","81111008")</f>
        <v>81111008</v>
      </c>
      <c r="F1068" s="9" t="s">
        <v>2986</v>
      </c>
      <c r="G1068" s="12" t="s">
        <v>2987</v>
      </c>
      <c r="H1068" s="9" t="s">
        <v>2988</v>
      </c>
      <c r="I1068" s="10">
        <v>45560</v>
      </c>
    </row>
    <row r="1069" spans="1:9" x14ac:dyDescent="0.15">
      <c r="A1069" s="9">
        <v>1068</v>
      </c>
      <c r="B1069" s="9" t="s">
        <v>9</v>
      </c>
      <c r="C1069" s="9">
        <v>1916</v>
      </c>
      <c r="D1069" s="10">
        <v>45646</v>
      </c>
      <c r="E1069" s="13" t="str">
        <f>+HYPERLINK("http://trademark.i-assist.jp/data/china/image_1916th/81111111.pdf","81111111")</f>
        <v>81111111</v>
      </c>
      <c r="F1069" s="9" t="s">
        <v>2989</v>
      </c>
      <c r="G1069" s="9" t="s">
        <v>2990</v>
      </c>
      <c r="H1069" s="9" t="s">
        <v>2991</v>
      </c>
      <c r="I1069" s="10">
        <v>45560</v>
      </c>
    </row>
    <row r="1070" spans="1:9" x14ac:dyDescent="0.15">
      <c r="A1070" s="9">
        <v>1069</v>
      </c>
      <c r="B1070" s="9" t="s">
        <v>9</v>
      </c>
      <c r="C1070" s="9">
        <v>1916</v>
      </c>
      <c r="D1070" s="10">
        <v>45646</v>
      </c>
      <c r="E1070" s="13" t="str">
        <f>+HYPERLINK("http://trademark.i-assist.jp/data/china/image_1916th/81111273.pdf","81111273")</f>
        <v>81111273</v>
      </c>
      <c r="F1070" s="12" t="s">
        <v>2992</v>
      </c>
      <c r="G1070" s="9" t="s">
        <v>18</v>
      </c>
      <c r="H1070" s="9" t="s">
        <v>2993</v>
      </c>
      <c r="I1070" s="10">
        <v>45560</v>
      </c>
    </row>
    <row r="1071" spans="1:9" x14ac:dyDescent="0.15">
      <c r="A1071" s="9">
        <v>1070</v>
      </c>
      <c r="B1071" s="9" t="s">
        <v>9</v>
      </c>
      <c r="C1071" s="9">
        <v>1916</v>
      </c>
      <c r="D1071" s="10">
        <v>45646</v>
      </c>
      <c r="E1071" s="13" t="str">
        <f>+HYPERLINK("http://trademark.i-assist.jp/data/china/image_1916th/81111383.pdf","81111383")</f>
        <v>81111383</v>
      </c>
      <c r="F1071" s="9" t="s">
        <v>2994</v>
      </c>
      <c r="G1071" s="9" t="s">
        <v>2995</v>
      </c>
      <c r="H1071" s="9" t="s">
        <v>2996</v>
      </c>
      <c r="I1071" s="10">
        <v>45560</v>
      </c>
    </row>
    <row r="1072" spans="1:9" x14ac:dyDescent="0.15">
      <c r="A1072" s="9">
        <v>1071</v>
      </c>
      <c r="B1072" s="9" t="s">
        <v>9</v>
      </c>
      <c r="C1072" s="9">
        <v>1916</v>
      </c>
      <c r="D1072" s="10">
        <v>45646</v>
      </c>
      <c r="E1072" s="13" t="str">
        <f>+HYPERLINK("http://trademark.i-assist.jp/data/china/image_1916th/81111411.pdf","81111411")</f>
        <v>81111411</v>
      </c>
      <c r="F1072" s="9" t="s">
        <v>2997</v>
      </c>
      <c r="G1072" s="9" t="s">
        <v>2998</v>
      </c>
      <c r="H1072" s="9" t="s">
        <v>2999</v>
      </c>
      <c r="I1072" s="10">
        <v>45560</v>
      </c>
    </row>
    <row r="1073" spans="1:9" x14ac:dyDescent="0.15">
      <c r="A1073" s="9">
        <v>1072</v>
      </c>
      <c r="B1073" s="9" t="s">
        <v>9</v>
      </c>
      <c r="C1073" s="9">
        <v>1916</v>
      </c>
      <c r="D1073" s="10">
        <v>45646</v>
      </c>
      <c r="E1073" s="13" t="str">
        <f>+HYPERLINK("http://trademark.i-assist.jp/data/china/image_1916th/81111775.pdf","81111775")</f>
        <v>81111775</v>
      </c>
      <c r="F1073" s="12" t="s">
        <v>3000</v>
      </c>
      <c r="G1073" s="9" t="s">
        <v>3001</v>
      </c>
      <c r="H1073" s="9" t="s">
        <v>3002</v>
      </c>
      <c r="I1073" s="10">
        <v>45560</v>
      </c>
    </row>
    <row r="1074" spans="1:9" x14ac:dyDescent="0.15">
      <c r="A1074" s="9">
        <v>1073</v>
      </c>
      <c r="B1074" s="9" t="s">
        <v>9</v>
      </c>
      <c r="C1074" s="9">
        <v>1916</v>
      </c>
      <c r="D1074" s="10">
        <v>45646</v>
      </c>
      <c r="E1074" s="13" t="str">
        <f>+HYPERLINK("http://trademark.i-assist.jp/data/china/image_1916th/81112048.pdf","81112048")</f>
        <v>81112048</v>
      </c>
      <c r="F1074" s="9" t="s">
        <v>3003</v>
      </c>
      <c r="G1074" s="12" t="s">
        <v>2851</v>
      </c>
      <c r="H1074" s="9" t="s">
        <v>3004</v>
      </c>
      <c r="I1074" s="10">
        <v>45560</v>
      </c>
    </row>
    <row r="1075" spans="1:9" x14ac:dyDescent="0.15">
      <c r="A1075" s="9">
        <v>1074</v>
      </c>
      <c r="B1075" s="9" t="s">
        <v>9</v>
      </c>
      <c r="C1075" s="9">
        <v>1916</v>
      </c>
      <c r="D1075" s="10">
        <v>45646</v>
      </c>
      <c r="E1075" s="13" t="str">
        <f>+HYPERLINK("http://trademark.i-assist.jp/data/china/image_1916th/81112125.pdf","81112125")</f>
        <v>81112125</v>
      </c>
      <c r="F1075" s="9" t="s">
        <v>3005</v>
      </c>
      <c r="G1075" s="9" t="s">
        <v>3006</v>
      </c>
      <c r="H1075" s="12" t="s">
        <v>3007</v>
      </c>
      <c r="I1075" s="10">
        <v>45560</v>
      </c>
    </row>
    <row r="1076" spans="1:9" x14ac:dyDescent="0.15">
      <c r="A1076" s="9">
        <v>1075</v>
      </c>
      <c r="B1076" s="9" t="s">
        <v>9</v>
      </c>
      <c r="C1076" s="9">
        <v>1916</v>
      </c>
      <c r="D1076" s="10">
        <v>45646</v>
      </c>
      <c r="E1076" s="13" t="str">
        <f>+HYPERLINK("http://trademark.i-assist.jp/data/china/image_1916th/81112567.pdf","81112567")</f>
        <v>81112567</v>
      </c>
      <c r="F1076" s="12" t="s">
        <v>3008</v>
      </c>
      <c r="G1076" s="12" t="s">
        <v>3009</v>
      </c>
      <c r="H1076" s="9" t="s">
        <v>3010</v>
      </c>
      <c r="I1076" s="10">
        <v>45560</v>
      </c>
    </row>
    <row r="1077" spans="1:9" x14ac:dyDescent="0.15">
      <c r="A1077" s="9">
        <v>1076</v>
      </c>
      <c r="B1077" s="9" t="s">
        <v>9</v>
      </c>
      <c r="C1077" s="9">
        <v>1916</v>
      </c>
      <c r="D1077" s="10">
        <v>45646</v>
      </c>
      <c r="E1077" s="13" t="str">
        <f>+HYPERLINK("http://trademark.i-assist.jp/data/china/image_1916th/81113612.pdf","81113612")</f>
        <v>81113612</v>
      </c>
      <c r="F1077" s="9" t="s">
        <v>3011</v>
      </c>
      <c r="G1077" s="9" t="s">
        <v>3012</v>
      </c>
      <c r="H1077" s="9" t="s">
        <v>3013</v>
      </c>
      <c r="I1077" s="10">
        <v>45560</v>
      </c>
    </row>
    <row r="1078" spans="1:9" x14ac:dyDescent="0.15">
      <c r="A1078" s="9">
        <v>1077</v>
      </c>
      <c r="B1078" s="9" t="s">
        <v>9</v>
      </c>
      <c r="C1078" s="9">
        <v>1916</v>
      </c>
      <c r="D1078" s="10">
        <v>45646</v>
      </c>
      <c r="E1078" s="13" t="str">
        <f>+HYPERLINK("http://trademark.i-assist.jp/data/china/image_1916th/81113910.pdf","81113910")</f>
        <v>81113910</v>
      </c>
      <c r="F1078" s="9" t="s">
        <v>3014</v>
      </c>
      <c r="G1078" s="9" t="s">
        <v>3015</v>
      </c>
      <c r="H1078" s="9" t="s">
        <v>3016</v>
      </c>
      <c r="I1078" s="10">
        <v>45560</v>
      </c>
    </row>
    <row r="1079" spans="1:9" x14ac:dyDescent="0.15">
      <c r="A1079" s="9">
        <v>1078</v>
      </c>
      <c r="B1079" s="9" t="s">
        <v>9</v>
      </c>
      <c r="C1079" s="9">
        <v>1916</v>
      </c>
      <c r="D1079" s="10">
        <v>45646</v>
      </c>
      <c r="E1079" s="13" t="str">
        <f>+HYPERLINK("http://trademark.i-assist.jp/data/china/image_1916th/81115168.pdf","81115168")</f>
        <v>81115168</v>
      </c>
      <c r="F1079" s="9" t="s">
        <v>3017</v>
      </c>
      <c r="G1079" s="9" t="s">
        <v>3018</v>
      </c>
      <c r="H1079" s="9" t="s">
        <v>3019</v>
      </c>
      <c r="I1079" s="10">
        <v>45560</v>
      </c>
    </row>
    <row r="1080" spans="1:9" x14ac:dyDescent="0.15">
      <c r="A1080" s="9">
        <v>1079</v>
      </c>
      <c r="B1080" s="9" t="s">
        <v>9</v>
      </c>
      <c r="C1080" s="9">
        <v>1916</v>
      </c>
      <c r="D1080" s="10">
        <v>45646</v>
      </c>
      <c r="E1080" s="13" t="str">
        <f>+HYPERLINK("http://trademark.i-assist.jp/data/china/image_1916th/81115246.pdf","81115246")</f>
        <v>81115246</v>
      </c>
      <c r="F1080" s="9" t="s">
        <v>3020</v>
      </c>
      <c r="G1080" s="9" t="s">
        <v>3021</v>
      </c>
      <c r="H1080" s="9" t="s">
        <v>3022</v>
      </c>
      <c r="I1080" s="10">
        <v>45560</v>
      </c>
    </row>
    <row r="1081" spans="1:9" x14ac:dyDescent="0.15">
      <c r="A1081" s="9">
        <v>1080</v>
      </c>
      <c r="B1081" s="9" t="s">
        <v>9</v>
      </c>
      <c r="C1081" s="9">
        <v>1916</v>
      </c>
      <c r="D1081" s="10">
        <v>45646</v>
      </c>
      <c r="E1081" s="13" t="str">
        <f>+HYPERLINK("http://trademark.i-assist.jp/data/china/image_1916th/81115673.pdf","81115673")</f>
        <v>81115673</v>
      </c>
      <c r="F1081" s="9" t="s">
        <v>3023</v>
      </c>
      <c r="G1081" s="9" t="s">
        <v>3024</v>
      </c>
      <c r="H1081" s="9" t="s">
        <v>3025</v>
      </c>
      <c r="I1081" s="10">
        <v>45560</v>
      </c>
    </row>
    <row r="1082" spans="1:9" x14ac:dyDescent="0.15">
      <c r="A1082" s="9">
        <v>1081</v>
      </c>
      <c r="B1082" s="9" t="s">
        <v>9</v>
      </c>
      <c r="C1082" s="9">
        <v>1916</v>
      </c>
      <c r="D1082" s="10">
        <v>45646</v>
      </c>
      <c r="E1082" s="13" t="str">
        <f>+HYPERLINK("http://trademark.i-assist.jp/data/china/image_1916th/81115758.pdf","81115758")</f>
        <v>81115758</v>
      </c>
      <c r="F1082" s="9" t="s">
        <v>3026</v>
      </c>
      <c r="G1082" s="12" t="s">
        <v>3027</v>
      </c>
      <c r="H1082" s="9" t="s">
        <v>3028</v>
      </c>
      <c r="I1082" s="10">
        <v>45560</v>
      </c>
    </row>
    <row r="1083" spans="1:9" x14ac:dyDescent="0.15">
      <c r="A1083" s="9">
        <v>1082</v>
      </c>
      <c r="B1083" s="9" t="s">
        <v>9</v>
      </c>
      <c r="C1083" s="9">
        <v>1916</v>
      </c>
      <c r="D1083" s="10">
        <v>45646</v>
      </c>
      <c r="E1083" s="13" t="str">
        <f>+HYPERLINK("http://trademark.i-assist.jp/data/china/image_1916th/81115931.pdf","81115931")</f>
        <v>81115931</v>
      </c>
      <c r="F1083" s="9" t="s">
        <v>3029</v>
      </c>
      <c r="G1083" s="9" t="s">
        <v>3030</v>
      </c>
      <c r="H1083" s="12" t="s">
        <v>3031</v>
      </c>
      <c r="I1083" s="10">
        <v>45560</v>
      </c>
    </row>
    <row r="1084" spans="1:9" x14ac:dyDescent="0.15">
      <c r="A1084" s="9">
        <v>1083</v>
      </c>
      <c r="B1084" s="9" t="s">
        <v>9</v>
      </c>
      <c r="C1084" s="9">
        <v>1916</v>
      </c>
      <c r="D1084" s="10">
        <v>45646</v>
      </c>
      <c r="E1084" s="13" t="str">
        <f>+HYPERLINK("http://trademark.i-assist.jp/data/china/image_1916th/81115988.pdf","81115988")</f>
        <v>81115988</v>
      </c>
      <c r="F1084" s="9" t="s">
        <v>3032</v>
      </c>
      <c r="G1084" s="9" t="s">
        <v>3033</v>
      </c>
      <c r="H1084" s="9" t="s">
        <v>3034</v>
      </c>
      <c r="I1084" s="10">
        <v>45560</v>
      </c>
    </row>
    <row r="1085" spans="1:9" x14ac:dyDescent="0.15">
      <c r="A1085" s="9">
        <v>1084</v>
      </c>
      <c r="B1085" s="9" t="s">
        <v>9</v>
      </c>
      <c r="C1085" s="9">
        <v>1916</v>
      </c>
      <c r="D1085" s="10">
        <v>45646</v>
      </c>
      <c r="E1085" s="13" t="str">
        <f>+HYPERLINK("http://trademark.i-assist.jp/data/china/image_1916th/81116305.pdf","81116305")</f>
        <v>81116305</v>
      </c>
      <c r="F1085" s="9" t="s">
        <v>3035</v>
      </c>
      <c r="G1085" s="9" t="s">
        <v>3036</v>
      </c>
      <c r="H1085" s="9" t="s">
        <v>3037</v>
      </c>
      <c r="I1085" s="10">
        <v>45560</v>
      </c>
    </row>
    <row r="1086" spans="1:9" x14ac:dyDescent="0.15">
      <c r="A1086" s="9">
        <v>1085</v>
      </c>
      <c r="B1086" s="9" t="s">
        <v>9</v>
      </c>
      <c r="C1086" s="9">
        <v>1916</v>
      </c>
      <c r="D1086" s="10">
        <v>45646</v>
      </c>
      <c r="E1086" s="13" t="str">
        <f>+HYPERLINK("http://trademark.i-assist.jp/data/china/image_1916th/81116569.pdf","81116569")</f>
        <v>81116569</v>
      </c>
      <c r="F1086" s="12" t="s">
        <v>3038</v>
      </c>
      <c r="G1086" s="9" t="s">
        <v>3039</v>
      </c>
      <c r="H1086" s="9" t="s">
        <v>3040</v>
      </c>
      <c r="I1086" s="10">
        <v>45560</v>
      </c>
    </row>
    <row r="1087" spans="1:9" x14ac:dyDescent="0.15">
      <c r="A1087" s="9">
        <v>1086</v>
      </c>
      <c r="B1087" s="9" t="s">
        <v>9</v>
      </c>
      <c r="C1087" s="9">
        <v>1916</v>
      </c>
      <c r="D1087" s="10">
        <v>45646</v>
      </c>
      <c r="E1087" s="13" t="str">
        <f>+HYPERLINK("http://trademark.i-assist.jp/data/china/image_1916th/81116811.pdf","81116811")</f>
        <v>81116811</v>
      </c>
      <c r="F1087" s="9" t="s">
        <v>3041</v>
      </c>
      <c r="G1087" s="9" t="s">
        <v>3042</v>
      </c>
      <c r="H1087" s="12" t="s">
        <v>3043</v>
      </c>
      <c r="I1087" s="10">
        <v>45560</v>
      </c>
    </row>
    <row r="1088" spans="1:9" x14ac:dyDescent="0.15">
      <c r="A1088" s="9">
        <v>1087</v>
      </c>
      <c r="B1088" s="9" t="s">
        <v>9</v>
      </c>
      <c r="C1088" s="9">
        <v>1916</v>
      </c>
      <c r="D1088" s="10">
        <v>45646</v>
      </c>
      <c r="E1088" s="13" t="str">
        <f>+HYPERLINK("http://trademark.i-assist.jp/data/china/image_1916th/81117539.pdf","81117539")</f>
        <v>81117539</v>
      </c>
      <c r="F1088" s="9" t="s">
        <v>3044</v>
      </c>
      <c r="G1088" s="9" t="s">
        <v>3045</v>
      </c>
      <c r="H1088" s="9" t="s">
        <v>3046</v>
      </c>
      <c r="I1088" s="10">
        <v>45560</v>
      </c>
    </row>
    <row r="1089" spans="1:9" x14ac:dyDescent="0.15">
      <c r="A1089" s="9">
        <v>1088</v>
      </c>
      <c r="B1089" s="9" t="s">
        <v>9</v>
      </c>
      <c r="C1089" s="9">
        <v>1916</v>
      </c>
      <c r="D1089" s="10">
        <v>45646</v>
      </c>
      <c r="E1089" s="13" t="str">
        <f>+HYPERLINK("http://trademark.i-assist.jp/data/china/image_1916th/81117579.pdf","81117579")</f>
        <v>81117579</v>
      </c>
      <c r="F1089" s="9" t="s">
        <v>3047</v>
      </c>
      <c r="G1089" s="9" t="s">
        <v>3048</v>
      </c>
      <c r="H1089" s="9" t="s">
        <v>3049</v>
      </c>
      <c r="I1089" s="10">
        <v>45560</v>
      </c>
    </row>
    <row r="1090" spans="1:9" x14ac:dyDescent="0.15">
      <c r="A1090" s="9">
        <v>1089</v>
      </c>
      <c r="B1090" s="9" t="s">
        <v>9</v>
      </c>
      <c r="C1090" s="9">
        <v>1916</v>
      </c>
      <c r="D1090" s="10">
        <v>45646</v>
      </c>
      <c r="E1090" s="13" t="str">
        <f>+HYPERLINK("http://trademark.i-assist.jp/data/china/image_1916th/81117651.pdf","81117651")</f>
        <v>81117651</v>
      </c>
      <c r="F1090" s="9" t="s">
        <v>3050</v>
      </c>
      <c r="G1090" s="9" t="s">
        <v>3051</v>
      </c>
      <c r="H1090" s="9" t="s">
        <v>3052</v>
      </c>
      <c r="I1090" s="10">
        <v>45560</v>
      </c>
    </row>
    <row r="1091" spans="1:9" x14ac:dyDescent="0.15">
      <c r="A1091" s="9">
        <v>1090</v>
      </c>
      <c r="B1091" s="9" t="s">
        <v>9</v>
      </c>
      <c r="C1091" s="9">
        <v>1916</v>
      </c>
      <c r="D1091" s="10">
        <v>45646</v>
      </c>
      <c r="E1091" s="13" t="str">
        <f>+HYPERLINK("http://trademark.i-assist.jp/data/china/image_1916th/81117798.pdf","81117798")</f>
        <v>81117798</v>
      </c>
      <c r="F1091" s="9" t="s">
        <v>3053</v>
      </c>
      <c r="G1091" s="12" t="s">
        <v>2870</v>
      </c>
      <c r="H1091" s="9" t="s">
        <v>3054</v>
      </c>
      <c r="I1091" s="10">
        <v>45560</v>
      </c>
    </row>
    <row r="1092" spans="1:9" x14ac:dyDescent="0.15">
      <c r="A1092" s="9">
        <v>1091</v>
      </c>
      <c r="B1092" s="9" t="s">
        <v>9</v>
      </c>
      <c r="C1092" s="9">
        <v>1916</v>
      </c>
      <c r="D1092" s="10">
        <v>45646</v>
      </c>
      <c r="E1092" s="13" t="str">
        <f>+HYPERLINK("http://trademark.i-assist.jp/data/china/image_1916th/81117943.pdf","81117943")</f>
        <v>81117943</v>
      </c>
      <c r="F1092" s="9" t="s">
        <v>3055</v>
      </c>
      <c r="G1092" s="9" t="s">
        <v>2962</v>
      </c>
      <c r="H1092" s="12" t="s">
        <v>3056</v>
      </c>
      <c r="I1092" s="10">
        <v>45560</v>
      </c>
    </row>
    <row r="1093" spans="1:9" x14ac:dyDescent="0.15">
      <c r="A1093" s="9">
        <v>1092</v>
      </c>
      <c r="B1093" s="9" t="s">
        <v>9</v>
      </c>
      <c r="C1093" s="9">
        <v>1916</v>
      </c>
      <c r="D1093" s="10">
        <v>45646</v>
      </c>
      <c r="E1093" s="13" t="str">
        <f>+HYPERLINK("http://trademark.i-assist.jp/data/china/image_1916th/81118533.pdf","81118533")</f>
        <v>81118533</v>
      </c>
      <c r="F1093" s="9" t="s">
        <v>3057</v>
      </c>
      <c r="G1093" s="9" t="s">
        <v>2859</v>
      </c>
      <c r="H1093" s="12" t="s">
        <v>3058</v>
      </c>
      <c r="I1093" s="10">
        <v>45560</v>
      </c>
    </row>
    <row r="1094" spans="1:9" x14ac:dyDescent="0.15">
      <c r="A1094" s="9">
        <v>1093</v>
      </c>
      <c r="B1094" s="9" t="s">
        <v>9</v>
      </c>
      <c r="C1094" s="9">
        <v>1916</v>
      </c>
      <c r="D1094" s="10">
        <v>45646</v>
      </c>
      <c r="E1094" s="13" t="str">
        <f>+HYPERLINK("http://trademark.i-assist.jp/data/china/image_1916th/81118536.pdf","81118536")</f>
        <v>81118536</v>
      </c>
      <c r="F1094" s="9" t="s">
        <v>3059</v>
      </c>
      <c r="G1094" s="9" t="s">
        <v>2859</v>
      </c>
      <c r="H1094" s="9" t="s">
        <v>3060</v>
      </c>
      <c r="I1094" s="10">
        <v>45560</v>
      </c>
    </row>
    <row r="1095" spans="1:9" x14ac:dyDescent="0.15">
      <c r="A1095" s="9">
        <v>1094</v>
      </c>
      <c r="B1095" s="9" t="s">
        <v>9</v>
      </c>
      <c r="C1095" s="9">
        <v>1916</v>
      </c>
      <c r="D1095" s="10">
        <v>45646</v>
      </c>
      <c r="E1095" s="13" t="str">
        <f>+HYPERLINK("http://trademark.i-assist.jp/data/china/image_1916th/81119227.pdf","81119227")</f>
        <v>81119227</v>
      </c>
      <c r="F1095" s="9" t="s">
        <v>3061</v>
      </c>
      <c r="G1095" s="9" t="s">
        <v>1558</v>
      </c>
      <c r="H1095" s="9" t="s">
        <v>3062</v>
      </c>
      <c r="I1095" s="10">
        <v>45561</v>
      </c>
    </row>
    <row r="1096" spans="1:9" x14ac:dyDescent="0.15">
      <c r="A1096" s="9">
        <v>1095</v>
      </c>
      <c r="B1096" s="9" t="s">
        <v>9</v>
      </c>
      <c r="C1096" s="9">
        <v>1916</v>
      </c>
      <c r="D1096" s="10">
        <v>45646</v>
      </c>
      <c r="E1096" s="13" t="str">
        <f>+HYPERLINK("http://trademark.i-assist.jp/data/china/image_1916th/81119253.pdf","81119253")</f>
        <v>81119253</v>
      </c>
      <c r="F1096" s="9" t="s">
        <v>3063</v>
      </c>
      <c r="G1096" s="12" t="s">
        <v>3064</v>
      </c>
      <c r="H1096" s="12" t="s">
        <v>3065</v>
      </c>
      <c r="I1096" s="10">
        <v>45561</v>
      </c>
    </row>
    <row r="1097" spans="1:9" x14ac:dyDescent="0.15">
      <c r="A1097" s="9">
        <v>1096</v>
      </c>
      <c r="B1097" s="9" t="s">
        <v>9</v>
      </c>
      <c r="C1097" s="9">
        <v>1916</v>
      </c>
      <c r="D1097" s="10">
        <v>45646</v>
      </c>
      <c r="E1097" s="13" t="str">
        <f>+HYPERLINK("http://trademark.i-assist.jp/data/china/image_1916th/81119369.pdf","81119369")</f>
        <v>81119369</v>
      </c>
      <c r="F1097" s="12" t="s">
        <v>13</v>
      </c>
      <c r="G1097" s="9" t="s">
        <v>3066</v>
      </c>
      <c r="H1097" s="9" t="s">
        <v>3067</v>
      </c>
      <c r="I1097" s="10">
        <v>45561</v>
      </c>
    </row>
    <row r="1098" spans="1:9" x14ac:dyDescent="0.15">
      <c r="A1098" s="9">
        <v>1097</v>
      </c>
      <c r="B1098" s="9" t="s">
        <v>9</v>
      </c>
      <c r="C1098" s="9">
        <v>1916</v>
      </c>
      <c r="D1098" s="10">
        <v>45646</v>
      </c>
      <c r="E1098" s="13" t="str">
        <f>+HYPERLINK("http://trademark.i-assist.jp/data/china/image_1916th/81119557.pdf","81119557")</f>
        <v>81119557</v>
      </c>
      <c r="F1098" s="12" t="s">
        <v>3068</v>
      </c>
      <c r="G1098" s="9" t="s">
        <v>3069</v>
      </c>
      <c r="H1098" s="9" t="s">
        <v>3070</v>
      </c>
      <c r="I1098" s="10">
        <v>45561</v>
      </c>
    </row>
    <row r="1099" spans="1:9" x14ac:dyDescent="0.15">
      <c r="A1099" s="9">
        <v>1098</v>
      </c>
      <c r="B1099" s="9" t="s">
        <v>9</v>
      </c>
      <c r="C1099" s="9">
        <v>1916</v>
      </c>
      <c r="D1099" s="10">
        <v>45646</v>
      </c>
      <c r="E1099" s="13" t="str">
        <f>+HYPERLINK("http://trademark.i-assist.jp/data/china/image_1916th/81119558.pdf","81119558")</f>
        <v>81119558</v>
      </c>
      <c r="F1099" s="9" t="s">
        <v>3071</v>
      </c>
      <c r="G1099" s="12" t="s">
        <v>3072</v>
      </c>
      <c r="H1099" s="12" t="s">
        <v>3073</v>
      </c>
      <c r="I1099" s="10">
        <v>45561</v>
      </c>
    </row>
    <row r="1100" spans="1:9" x14ac:dyDescent="0.15">
      <c r="A1100" s="9">
        <v>1099</v>
      </c>
      <c r="B1100" s="9" t="s">
        <v>9</v>
      </c>
      <c r="C1100" s="9">
        <v>1916</v>
      </c>
      <c r="D1100" s="10">
        <v>45646</v>
      </c>
      <c r="E1100" s="13" t="str">
        <f>+HYPERLINK("http://trademark.i-assist.jp/data/china/image_1916th/81119868.pdf","81119868")</f>
        <v>81119868</v>
      </c>
      <c r="F1100" s="9" t="s">
        <v>3074</v>
      </c>
      <c r="G1100" s="9" t="s">
        <v>3075</v>
      </c>
      <c r="H1100" s="9" t="s">
        <v>3076</v>
      </c>
      <c r="I1100" s="10">
        <v>45561</v>
      </c>
    </row>
    <row r="1101" spans="1:9" x14ac:dyDescent="0.15">
      <c r="A1101" s="9">
        <v>1100</v>
      </c>
      <c r="B1101" s="9" t="s">
        <v>9</v>
      </c>
      <c r="C1101" s="9">
        <v>1916</v>
      </c>
      <c r="D1101" s="10">
        <v>45646</v>
      </c>
      <c r="E1101" s="13" t="str">
        <f>+HYPERLINK("http://trademark.i-assist.jp/data/china/image_1916th/81120863.pdf","81120863")</f>
        <v>81120863</v>
      </c>
      <c r="F1101" s="9" t="s">
        <v>3077</v>
      </c>
      <c r="G1101" s="9" t="s">
        <v>3078</v>
      </c>
      <c r="H1101" s="12" t="s">
        <v>3079</v>
      </c>
      <c r="I1101" s="10">
        <v>45561</v>
      </c>
    </row>
    <row r="1102" spans="1:9" x14ac:dyDescent="0.15">
      <c r="A1102" s="9">
        <v>1101</v>
      </c>
      <c r="B1102" s="9" t="s">
        <v>9</v>
      </c>
      <c r="C1102" s="9">
        <v>1916</v>
      </c>
      <c r="D1102" s="10">
        <v>45646</v>
      </c>
      <c r="E1102" s="13" t="str">
        <f>+HYPERLINK("http://trademark.i-assist.jp/data/china/image_1916th/81121065.pdf","81121065")</f>
        <v>81121065</v>
      </c>
      <c r="F1102" s="12" t="s">
        <v>3080</v>
      </c>
      <c r="G1102" s="9" t="s">
        <v>3081</v>
      </c>
      <c r="H1102" s="9" t="s">
        <v>3082</v>
      </c>
      <c r="I1102" s="10">
        <v>45561</v>
      </c>
    </row>
    <row r="1103" spans="1:9" x14ac:dyDescent="0.15">
      <c r="A1103" s="9">
        <v>1102</v>
      </c>
      <c r="B1103" s="9" t="s">
        <v>9</v>
      </c>
      <c r="C1103" s="9">
        <v>1916</v>
      </c>
      <c r="D1103" s="10">
        <v>45646</v>
      </c>
      <c r="E1103" s="13" t="str">
        <f>+HYPERLINK("http://trademark.i-assist.jp/data/china/image_1916th/81121658.pdf","81121658")</f>
        <v>81121658</v>
      </c>
      <c r="F1103" s="9" t="s">
        <v>3083</v>
      </c>
      <c r="G1103" s="9" t="s">
        <v>3084</v>
      </c>
      <c r="H1103" s="9" t="s">
        <v>3085</v>
      </c>
      <c r="I1103" s="10">
        <v>45561</v>
      </c>
    </row>
    <row r="1104" spans="1:9" x14ac:dyDescent="0.15">
      <c r="A1104" s="9">
        <v>1103</v>
      </c>
      <c r="B1104" s="9" t="s">
        <v>9</v>
      </c>
      <c r="C1104" s="9">
        <v>1916</v>
      </c>
      <c r="D1104" s="10">
        <v>45646</v>
      </c>
      <c r="E1104" s="13" t="str">
        <f>+HYPERLINK("http://trademark.i-assist.jp/data/china/image_1916th/81121738.pdf","81121738")</f>
        <v>81121738</v>
      </c>
      <c r="F1104" s="9" t="s">
        <v>3086</v>
      </c>
      <c r="G1104" s="9" t="s">
        <v>3087</v>
      </c>
      <c r="H1104" s="12" t="s">
        <v>3088</v>
      </c>
      <c r="I1104" s="10">
        <v>45561</v>
      </c>
    </row>
    <row r="1105" spans="1:9" x14ac:dyDescent="0.15">
      <c r="A1105" s="9">
        <v>1104</v>
      </c>
      <c r="B1105" s="9" t="s">
        <v>9</v>
      </c>
      <c r="C1105" s="9">
        <v>1916</v>
      </c>
      <c r="D1105" s="10">
        <v>45646</v>
      </c>
      <c r="E1105" s="13" t="str">
        <f>+HYPERLINK("http://trademark.i-assist.jp/data/china/image_1916th/81121923.pdf","81121923")</f>
        <v>81121923</v>
      </c>
      <c r="F1105" s="9" t="s">
        <v>3089</v>
      </c>
      <c r="G1105" s="12" t="s">
        <v>3090</v>
      </c>
      <c r="H1105" s="9" t="s">
        <v>3091</v>
      </c>
      <c r="I1105" s="10">
        <v>45561</v>
      </c>
    </row>
    <row r="1106" spans="1:9" x14ac:dyDescent="0.15">
      <c r="A1106" s="9">
        <v>1105</v>
      </c>
      <c r="B1106" s="9" t="s">
        <v>9</v>
      </c>
      <c r="C1106" s="9">
        <v>1916</v>
      </c>
      <c r="D1106" s="10">
        <v>45646</v>
      </c>
      <c r="E1106" s="13" t="str">
        <f>+HYPERLINK("http://trademark.i-assist.jp/data/china/image_1916th/81121974.pdf","81121974")</f>
        <v>81121974</v>
      </c>
      <c r="F1106" s="9" t="s">
        <v>3092</v>
      </c>
      <c r="G1106" s="9" t="s">
        <v>3093</v>
      </c>
      <c r="H1106" s="9" t="s">
        <v>3094</v>
      </c>
      <c r="I1106" s="10">
        <v>45561</v>
      </c>
    </row>
    <row r="1107" spans="1:9" x14ac:dyDescent="0.15">
      <c r="A1107" s="9">
        <v>1106</v>
      </c>
      <c r="B1107" s="9" t="s">
        <v>9</v>
      </c>
      <c r="C1107" s="9">
        <v>1916</v>
      </c>
      <c r="D1107" s="10">
        <v>45646</v>
      </c>
      <c r="E1107" s="13" t="str">
        <f>+HYPERLINK("http://trademark.i-assist.jp/data/china/image_1916th/81122371.pdf","81122371")</f>
        <v>81122371</v>
      </c>
      <c r="F1107" s="9" t="s">
        <v>3095</v>
      </c>
      <c r="G1107" s="12" t="s">
        <v>1257</v>
      </c>
      <c r="H1107" s="9" t="s">
        <v>3096</v>
      </c>
      <c r="I1107" s="10">
        <v>45561</v>
      </c>
    </row>
    <row r="1108" spans="1:9" x14ac:dyDescent="0.15">
      <c r="A1108" s="9">
        <v>1107</v>
      </c>
      <c r="B1108" s="9" t="s">
        <v>9</v>
      </c>
      <c r="C1108" s="9">
        <v>1916</v>
      </c>
      <c r="D1108" s="10">
        <v>45646</v>
      </c>
      <c r="E1108" s="13" t="str">
        <f>+HYPERLINK("http://trademark.i-assist.jp/data/china/image_1916th/81122443.pdf","81122443")</f>
        <v>81122443</v>
      </c>
      <c r="F1108" s="9" t="s">
        <v>3097</v>
      </c>
      <c r="G1108" s="9" t="s">
        <v>3098</v>
      </c>
      <c r="H1108" s="12" t="s">
        <v>3099</v>
      </c>
      <c r="I1108" s="10">
        <v>45561</v>
      </c>
    </row>
    <row r="1109" spans="1:9" x14ac:dyDescent="0.15">
      <c r="A1109" s="9">
        <v>1108</v>
      </c>
      <c r="B1109" s="9" t="s">
        <v>9</v>
      </c>
      <c r="C1109" s="9">
        <v>1916</v>
      </c>
      <c r="D1109" s="10">
        <v>45646</v>
      </c>
      <c r="E1109" s="13" t="str">
        <f>+HYPERLINK("http://trademark.i-assist.jp/data/china/image_1916th/81122524.pdf","81122524")</f>
        <v>81122524</v>
      </c>
      <c r="F1109" s="9" t="s">
        <v>3100</v>
      </c>
      <c r="G1109" s="9" t="s">
        <v>3101</v>
      </c>
      <c r="H1109" s="9" t="s">
        <v>3102</v>
      </c>
      <c r="I1109" s="10">
        <v>45561</v>
      </c>
    </row>
    <row r="1110" spans="1:9" x14ac:dyDescent="0.15">
      <c r="A1110" s="9">
        <v>1109</v>
      </c>
      <c r="B1110" s="9" t="s">
        <v>9</v>
      </c>
      <c r="C1110" s="9">
        <v>1916</v>
      </c>
      <c r="D1110" s="10">
        <v>45646</v>
      </c>
      <c r="E1110" s="13" t="str">
        <f>+HYPERLINK("http://trademark.i-assist.jp/data/china/image_1916th/81122946.pdf","81122946")</f>
        <v>81122946</v>
      </c>
      <c r="F1110" s="9" t="s">
        <v>3103</v>
      </c>
      <c r="G1110" s="12" t="s">
        <v>3104</v>
      </c>
      <c r="H1110" s="9" t="s">
        <v>3105</v>
      </c>
      <c r="I1110" s="10">
        <v>45561</v>
      </c>
    </row>
    <row r="1111" spans="1:9" x14ac:dyDescent="0.15">
      <c r="A1111" s="9">
        <v>1110</v>
      </c>
      <c r="B1111" s="9" t="s">
        <v>9</v>
      </c>
      <c r="C1111" s="9">
        <v>1916</v>
      </c>
      <c r="D1111" s="10">
        <v>45646</v>
      </c>
      <c r="E1111" s="13" t="str">
        <f>+HYPERLINK("http://trademark.i-assist.jp/data/china/image_1916th/81123013.pdf","81123013")</f>
        <v>81123013</v>
      </c>
      <c r="F1111" s="9" t="s">
        <v>3106</v>
      </c>
      <c r="G1111" s="9" t="s">
        <v>3107</v>
      </c>
      <c r="H1111" s="9" t="s">
        <v>3108</v>
      </c>
      <c r="I1111" s="10">
        <v>45561</v>
      </c>
    </row>
    <row r="1112" spans="1:9" x14ac:dyDescent="0.15">
      <c r="A1112" s="9">
        <v>1111</v>
      </c>
      <c r="B1112" s="9" t="s">
        <v>9</v>
      </c>
      <c r="C1112" s="9">
        <v>1916</v>
      </c>
      <c r="D1112" s="10">
        <v>45646</v>
      </c>
      <c r="E1112" s="13" t="str">
        <f>+HYPERLINK("http://trademark.i-assist.jp/data/china/image_1916th/81123206.pdf","81123206")</f>
        <v>81123206</v>
      </c>
      <c r="F1112" s="9" t="s">
        <v>3109</v>
      </c>
      <c r="G1112" s="12" t="s">
        <v>3110</v>
      </c>
      <c r="H1112" s="9" t="s">
        <v>3111</v>
      </c>
      <c r="I1112" s="10">
        <v>45561</v>
      </c>
    </row>
    <row r="1113" spans="1:9" x14ac:dyDescent="0.15">
      <c r="A1113" s="9">
        <v>1112</v>
      </c>
      <c r="B1113" s="9" t="s">
        <v>9</v>
      </c>
      <c r="C1113" s="9">
        <v>1916</v>
      </c>
      <c r="D1113" s="10">
        <v>45646</v>
      </c>
      <c r="E1113" s="13" t="str">
        <f>+HYPERLINK("http://trademark.i-assist.jp/data/china/image_1916th/81123631.pdf","81123631")</f>
        <v>81123631</v>
      </c>
      <c r="F1113" s="9" t="s">
        <v>3112</v>
      </c>
      <c r="G1113" s="9" t="s">
        <v>3113</v>
      </c>
      <c r="H1113" s="9" t="s">
        <v>3114</v>
      </c>
      <c r="I1113" s="10">
        <v>45561</v>
      </c>
    </row>
    <row r="1114" spans="1:9" x14ac:dyDescent="0.15">
      <c r="A1114" s="9">
        <v>1113</v>
      </c>
      <c r="B1114" s="9" t="s">
        <v>9</v>
      </c>
      <c r="C1114" s="9">
        <v>1916</v>
      </c>
      <c r="D1114" s="10">
        <v>45646</v>
      </c>
      <c r="E1114" s="13" t="str">
        <f>+HYPERLINK("http://trademark.i-assist.jp/data/china/image_1916th/81123808.pdf","81123808")</f>
        <v>81123808</v>
      </c>
      <c r="F1114" s="9" t="s">
        <v>3115</v>
      </c>
      <c r="G1114" s="9" t="s">
        <v>3116</v>
      </c>
      <c r="H1114" s="9" t="s">
        <v>3117</v>
      </c>
      <c r="I1114" s="10">
        <v>45561</v>
      </c>
    </row>
    <row r="1115" spans="1:9" x14ac:dyDescent="0.15">
      <c r="A1115" s="9">
        <v>1114</v>
      </c>
      <c r="B1115" s="9" t="s">
        <v>9</v>
      </c>
      <c r="C1115" s="9">
        <v>1916</v>
      </c>
      <c r="D1115" s="10">
        <v>45646</v>
      </c>
      <c r="E1115" s="13" t="str">
        <f>+HYPERLINK("http://trademark.i-assist.jp/data/china/image_1916th/81123913.pdf","81123913")</f>
        <v>81123913</v>
      </c>
      <c r="F1115" s="9" t="s">
        <v>3118</v>
      </c>
      <c r="G1115" s="9" t="s">
        <v>3119</v>
      </c>
      <c r="H1115" s="9" t="s">
        <v>3120</v>
      </c>
      <c r="I1115" s="10">
        <v>45561</v>
      </c>
    </row>
    <row r="1116" spans="1:9" x14ac:dyDescent="0.15">
      <c r="A1116" s="9">
        <v>1115</v>
      </c>
      <c r="B1116" s="9" t="s">
        <v>9</v>
      </c>
      <c r="C1116" s="9">
        <v>1916</v>
      </c>
      <c r="D1116" s="10">
        <v>45646</v>
      </c>
      <c r="E1116" s="13" t="str">
        <f>+HYPERLINK("http://trademark.i-assist.jp/data/china/image_1916th/81123941.pdf","81123941")</f>
        <v>81123941</v>
      </c>
      <c r="F1116" s="12" t="s">
        <v>3121</v>
      </c>
      <c r="G1116" s="12" t="s">
        <v>3122</v>
      </c>
      <c r="H1116" s="12" t="s">
        <v>3123</v>
      </c>
      <c r="I1116" s="10">
        <v>45561</v>
      </c>
    </row>
    <row r="1117" spans="1:9" x14ac:dyDescent="0.15">
      <c r="A1117" s="9">
        <v>1116</v>
      </c>
      <c r="B1117" s="9" t="s">
        <v>9</v>
      </c>
      <c r="C1117" s="9">
        <v>1916</v>
      </c>
      <c r="D1117" s="10">
        <v>45646</v>
      </c>
      <c r="E1117" s="13" t="str">
        <f>+HYPERLINK("http://trademark.i-assist.jp/data/china/image_1916th/81123980.pdf","81123980")</f>
        <v>81123980</v>
      </c>
      <c r="F1117" s="9" t="s">
        <v>3124</v>
      </c>
      <c r="G1117" s="12" t="s">
        <v>3122</v>
      </c>
      <c r="H1117" s="9" t="s">
        <v>3125</v>
      </c>
      <c r="I1117" s="10">
        <v>45561</v>
      </c>
    </row>
    <row r="1118" spans="1:9" x14ac:dyDescent="0.15">
      <c r="A1118" s="9">
        <v>1117</v>
      </c>
      <c r="B1118" s="9" t="s">
        <v>9</v>
      </c>
      <c r="C1118" s="9">
        <v>1916</v>
      </c>
      <c r="D1118" s="10">
        <v>45646</v>
      </c>
      <c r="E1118" s="13" t="str">
        <f>+HYPERLINK("http://trademark.i-assist.jp/data/china/image_1916th/81124619.pdf","81124619")</f>
        <v>81124619</v>
      </c>
      <c r="F1118" s="9" t="s">
        <v>3126</v>
      </c>
      <c r="G1118" s="9" t="s">
        <v>3127</v>
      </c>
      <c r="H1118" s="9" t="s">
        <v>3128</v>
      </c>
      <c r="I1118" s="10">
        <v>45561</v>
      </c>
    </row>
    <row r="1119" spans="1:9" x14ac:dyDescent="0.15">
      <c r="A1119" s="9">
        <v>1118</v>
      </c>
      <c r="B1119" s="9" t="s">
        <v>9</v>
      </c>
      <c r="C1119" s="9">
        <v>1916</v>
      </c>
      <c r="D1119" s="10">
        <v>45646</v>
      </c>
      <c r="E1119" s="13" t="str">
        <f>+HYPERLINK("http://trademark.i-assist.jp/data/china/image_1916th/81125126.pdf","81125126")</f>
        <v>81125126</v>
      </c>
      <c r="F1119" s="9" t="s">
        <v>3129</v>
      </c>
      <c r="G1119" s="12" t="s">
        <v>3130</v>
      </c>
      <c r="H1119" s="9" t="s">
        <v>3131</v>
      </c>
      <c r="I1119" s="10">
        <v>45561</v>
      </c>
    </row>
    <row r="1120" spans="1:9" x14ac:dyDescent="0.15">
      <c r="A1120" s="9">
        <v>1119</v>
      </c>
      <c r="B1120" s="9" t="s">
        <v>9</v>
      </c>
      <c r="C1120" s="9">
        <v>1916</v>
      </c>
      <c r="D1120" s="10">
        <v>45646</v>
      </c>
      <c r="E1120" s="13" t="str">
        <f>+HYPERLINK("http://trademark.i-assist.jp/data/china/image_1916th/81125169.pdf","81125169")</f>
        <v>81125169</v>
      </c>
      <c r="F1120" s="9" t="s">
        <v>3132</v>
      </c>
      <c r="G1120" s="9" t="s">
        <v>3133</v>
      </c>
      <c r="H1120" s="9" t="s">
        <v>3134</v>
      </c>
      <c r="I1120" s="10">
        <v>45561</v>
      </c>
    </row>
    <row r="1121" spans="1:9" x14ac:dyDescent="0.15">
      <c r="A1121" s="9">
        <v>1120</v>
      </c>
      <c r="B1121" s="9" t="s">
        <v>9</v>
      </c>
      <c r="C1121" s="9">
        <v>1916</v>
      </c>
      <c r="D1121" s="10">
        <v>45646</v>
      </c>
      <c r="E1121" s="13" t="str">
        <f>+HYPERLINK("http://trademark.i-assist.jp/data/china/image_1916th/81125397.pdf","81125397")</f>
        <v>81125397</v>
      </c>
      <c r="F1121" s="9" t="s">
        <v>3135</v>
      </c>
      <c r="G1121" s="9" t="s">
        <v>3136</v>
      </c>
      <c r="H1121" s="9" t="s">
        <v>3137</v>
      </c>
      <c r="I1121" s="10">
        <v>45561</v>
      </c>
    </row>
    <row r="1122" spans="1:9" x14ac:dyDescent="0.15">
      <c r="A1122" s="9">
        <v>1121</v>
      </c>
      <c r="B1122" s="9" t="s">
        <v>9</v>
      </c>
      <c r="C1122" s="9">
        <v>1916</v>
      </c>
      <c r="D1122" s="10">
        <v>45646</v>
      </c>
      <c r="E1122" s="13" t="str">
        <f>+HYPERLINK("http://trademark.i-assist.jp/data/china/image_1916th/81125768.pdf","81125768")</f>
        <v>81125768</v>
      </c>
      <c r="F1122" s="12" t="s">
        <v>13</v>
      </c>
      <c r="G1122" s="9" t="s">
        <v>3138</v>
      </c>
      <c r="H1122" s="9" t="s">
        <v>3139</v>
      </c>
      <c r="I1122" s="10">
        <v>45561</v>
      </c>
    </row>
    <row r="1123" spans="1:9" x14ac:dyDescent="0.15">
      <c r="A1123" s="9">
        <v>1122</v>
      </c>
      <c r="B1123" s="9" t="s">
        <v>9</v>
      </c>
      <c r="C1123" s="9">
        <v>1916</v>
      </c>
      <c r="D1123" s="10">
        <v>45646</v>
      </c>
      <c r="E1123" s="13" t="str">
        <f>+HYPERLINK("http://trademark.i-assist.jp/data/china/image_1916th/81125783.pdf","81125783")</f>
        <v>81125783</v>
      </c>
      <c r="F1123" s="9" t="s">
        <v>3140</v>
      </c>
      <c r="G1123" s="9" t="s">
        <v>35</v>
      </c>
      <c r="H1123" s="9" t="s">
        <v>3141</v>
      </c>
      <c r="I1123" s="10">
        <v>45561</v>
      </c>
    </row>
    <row r="1124" spans="1:9" x14ac:dyDescent="0.15">
      <c r="A1124" s="9">
        <v>1123</v>
      </c>
      <c r="B1124" s="9" t="s">
        <v>9</v>
      </c>
      <c r="C1124" s="9">
        <v>1916</v>
      </c>
      <c r="D1124" s="10">
        <v>45646</v>
      </c>
      <c r="E1124" s="13" t="str">
        <f>+HYPERLINK("http://trademark.i-assist.jp/data/china/image_1916th/81126268.pdf","81126268")</f>
        <v>81126268</v>
      </c>
      <c r="F1124" s="12" t="s">
        <v>3142</v>
      </c>
      <c r="G1124" s="9" t="s">
        <v>3143</v>
      </c>
      <c r="H1124" s="9" t="s">
        <v>3144</v>
      </c>
      <c r="I1124" s="10">
        <v>45561</v>
      </c>
    </row>
    <row r="1125" spans="1:9" x14ac:dyDescent="0.15">
      <c r="A1125" s="9">
        <v>1124</v>
      </c>
      <c r="B1125" s="9" t="s">
        <v>9</v>
      </c>
      <c r="C1125" s="9">
        <v>1916</v>
      </c>
      <c r="D1125" s="10">
        <v>45646</v>
      </c>
      <c r="E1125" s="13" t="str">
        <f>+HYPERLINK("http://trademark.i-assist.jp/data/china/image_1916th/81126453.pdf","81126453")</f>
        <v>81126453</v>
      </c>
      <c r="F1125" s="12" t="s">
        <v>3145</v>
      </c>
      <c r="G1125" s="12" t="s">
        <v>3122</v>
      </c>
      <c r="H1125" s="9" t="s">
        <v>3146</v>
      </c>
      <c r="I1125" s="10">
        <v>45561</v>
      </c>
    </row>
    <row r="1126" spans="1:9" x14ac:dyDescent="0.15">
      <c r="A1126" s="9">
        <v>1125</v>
      </c>
      <c r="B1126" s="9" t="s">
        <v>9</v>
      </c>
      <c r="C1126" s="9">
        <v>1916</v>
      </c>
      <c r="D1126" s="10">
        <v>45646</v>
      </c>
      <c r="E1126" s="13" t="str">
        <f>+HYPERLINK("http://trademark.i-assist.jp/data/china/image_1916th/81126526.pdf","81126526")</f>
        <v>81126526</v>
      </c>
      <c r="F1126" s="9" t="s">
        <v>3147</v>
      </c>
      <c r="G1126" s="9" t="s">
        <v>3069</v>
      </c>
      <c r="H1126" s="9" t="s">
        <v>3148</v>
      </c>
      <c r="I1126" s="10">
        <v>45561</v>
      </c>
    </row>
    <row r="1127" spans="1:9" x14ac:dyDescent="0.15">
      <c r="A1127" s="9">
        <v>1126</v>
      </c>
      <c r="B1127" s="9" t="s">
        <v>9</v>
      </c>
      <c r="C1127" s="9">
        <v>1916</v>
      </c>
      <c r="D1127" s="10">
        <v>45646</v>
      </c>
      <c r="E1127" s="13" t="str">
        <f>+HYPERLINK("http://trademark.i-assist.jp/data/china/image_1916th/81126666.pdf","81126666")</f>
        <v>81126666</v>
      </c>
      <c r="F1127" s="9" t="s">
        <v>3149</v>
      </c>
      <c r="G1127" s="9" t="s">
        <v>3150</v>
      </c>
      <c r="H1127" s="9" t="s">
        <v>3151</v>
      </c>
      <c r="I1127" s="10">
        <v>45561</v>
      </c>
    </row>
    <row r="1128" spans="1:9" x14ac:dyDescent="0.15">
      <c r="A1128" s="9">
        <v>1127</v>
      </c>
      <c r="B1128" s="9" t="s">
        <v>9</v>
      </c>
      <c r="C1128" s="9">
        <v>1916</v>
      </c>
      <c r="D1128" s="10">
        <v>45646</v>
      </c>
      <c r="E1128" s="13" t="str">
        <f>+HYPERLINK("http://trademark.i-assist.jp/data/china/image_1916th/81127028.pdf","81127028")</f>
        <v>81127028</v>
      </c>
      <c r="F1128" s="9" t="s">
        <v>3152</v>
      </c>
      <c r="G1128" s="9" t="s">
        <v>3098</v>
      </c>
      <c r="H1128" s="12" t="s">
        <v>3153</v>
      </c>
      <c r="I1128" s="10">
        <v>45561</v>
      </c>
    </row>
    <row r="1129" spans="1:9" x14ac:dyDescent="0.15">
      <c r="A1129" s="9">
        <v>1128</v>
      </c>
      <c r="B1129" s="9" t="s">
        <v>9</v>
      </c>
      <c r="C1129" s="9">
        <v>1916</v>
      </c>
      <c r="D1129" s="10">
        <v>45646</v>
      </c>
      <c r="E1129" s="13" t="str">
        <f>+HYPERLINK("http://trademark.i-assist.jp/data/china/image_1916th/81127095.pdf","81127095")</f>
        <v>81127095</v>
      </c>
      <c r="F1129" s="9" t="s">
        <v>3154</v>
      </c>
      <c r="G1129" s="9" t="s">
        <v>3155</v>
      </c>
      <c r="H1129" s="9" t="s">
        <v>3156</v>
      </c>
      <c r="I1129" s="10">
        <v>45561</v>
      </c>
    </row>
    <row r="1130" spans="1:9" x14ac:dyDescent="0.15">
      <c r="A1130" s="9">
        <v>1129</v>
      </c>
      <c r="B1130" s="9" t="s">
        <v>9</v>
      </c>
      <c r="C1130" s="9">
        <v>1916</v>
      </c>
      <c r="D1130" s="10">
        <v>45646</v>
      </c>
      <c r="E1130" s="13" t="str">
        <f>+HYPERLINK("http://trademark.i-assist.jp/data/china/image_1916th/81127746.pdf","81127746")</f>
        <v>81127746</v>
      </c>
      <c r="F1130" s="9" t="s">
        <v>3157</v>
      </c>
      <c r="G1130" s="12" t="s">
        <v>3158</v>
      </c>
      <c r="H1130" s="9" t="s">
        <v>3159</v>
      </c>
      <c r="I1130" s="10">
        <v>45561</v>
      </c>
    </row>
    <row r="1131" spans="1:9" x14ac:dyDescent="0.15">
      <c r="A1131" s="9">
        <v>1130</v>
      </c>
      <c r="B1131" s="9" t="s">
        <v>9</v>
      </c>
      <c r="C1131" s="9">
        <v>1916</v>
      </c>
      <c r="D1131" s="10">
        <v>45646</v>
      </c>
      <c r="E1131" s="13" t="str">
        <f>+HYPERLINK("http://trademark.i-assist.jp/data/china/image_1916th/81128429.pdf","81128429")</f>
        <v>81128429</v>
      </c>
      <c r="F1131" s="12" t="s">
        <v>13</v>
      </c>
      <c r="G1131" s="9" t="s">
        <v>3160</v>
      </c>
      <c r="H1131" s="9" t="s">
        <v>3161</v>
      </c>
      <c r="I1131" s="10">
        <v>45561</v>
      </c>
    </row>
    <row r="1132" spans="1:9" x14ac:dyDescent="0.15">
      <c r="A1132" s="9">
        <v>1131</v>
      </c>
      <c r="B1132" s="9" t="s">
        <v>9</v>
      </c>
      <c r="C1132" s="9">
        <v>1916</v>
      </c>
      <c r="D1132" s="10">
        <v>45646</v>
      </c>
      <c r="E1132" s="13" t="str">
        <f>+HYPERLINK("http://trademark.i-assist.jp/data/china/image_1916th/81128594.pdf","81128594")</f>
        <v>81128594</v>
      </c>
      <c r="F1132" s="9" t="s">
        <v>3162</v>
      </c>
      <c r="G1132" s="9" t="s">
        <v>3163</v>
      </c>
      <c r="H1132" s="9" t="s">
        <v>3164</v>
      </c>
      <c r="I1132" s="10">
        <v>45561</v>
      </c>
    </row>
    <row r="1133" spans="1:9" x14ac:dyDescent="0.15">
      <c r="A1133" s="9">
        <v>1132</v>
      </c>
      <c r="B1133" s="9" t="s">
        <v>9</v>
      </c>
      <c r="C1133" s="9">
        <v>1916</v>
      </c>
      <c r="D1133" s="10">
        <v>45646</v>
      </c>
      <c r="E1133" s="13" t="str">
        <f>+HYPERLINK("http://trademark.i-assist.jp/data/china/image_1916th/81128979.pdf","81128979")</f>
        <v>81128979</v>
      </c>
      <c r="F1133" s="9" t="s">
        <v>3165</v>
      </c>
      <c r="G1133" s="9" t="s">
        <v>3166</v>
      </c>
      <c r="H1133" s="9" t="s">
        <v>3167</v>
      </c>
      <c r="I1133" s="10">
        <v>45561</v>
      </c>
    </row>
    <row r="1134" spans="1:9" x14ac:dyDescent="0.15">
      <c r="A1134" s="9">
        <v>1133</v>
      </c>
      <c r="B1134" s="9" t="s">
        <v>9</v>
      </c>
      <c r="C1134" s="9">
        <v>1916</v>
      </c>
      <c r="D1134" s="10">
        <v>45646</v>
      </c>
      <c r="E1134" s="13" t="str">
        <f>+HYPERLINK("http://trademark.i-assist.jp/data/china/image_1916th/81129024.pdf","81129024")</f>
        <v>81129024</v>
      </c>
      <c r="F1134" s="9" t="s">
        <v>3168</v>
      </c>
      <c r="G1134" s="9" t="s">
        <v>3169</v>
      </c>
      <c r="H1134" s="9" t="s">
        <v>3170</v>
      </c>
      <c r="I1134" s="10">
        <v>45561</v>
      </c>
    </row>
    <row r="1135" spans="1:9" x14ac:dyDescent="0.15">
      <c r="A1135" s="9">
        <v>1134</v>
      </c>
      <c r="B1135" s="9" t="s">
        <v>9</v>
      </c>
      <c r="C1135" s="9">
        <v>1916</v>
      </c>
      <c r="D1135" s="10">
        <v>45646</v>
      </c>
      <c r="E1135" s="13" t="str">
        <f>+HYPERLINK("http://trademark.i-assist.jp/data/china/image_1916th/81129259.pdf","81129259")</f>
        <v>81129259</v>
      </c>
      <c r="F1135" s="9" t="s">
        <v>3171</v>
      </c>
      <c r="G1135" s="9" t="s">
        <v>3172</v>
      </c>
      <c r="H1135" s="9" t="s">
        <v>3173</v>
      </c>
      <c r="I1135" s="10">
        <v>45561</v>
      </c>
    </row>
    <row r="1136" spans="1:9" x14ac:dyDescent="0.15">
      <c r="A1136" s="9">
        <v>1135</v>
      </c>
      <c r="B1136" s="9" t="s">
        <v>9</v>
      </c>
      <c r="C1136" s="9">
        <v>1916</v>
      </c>
      <c r="D1136" s="10">
        <v>45646</v>
      </c>
      <c r="E1136" s="13" t="str">
        <f>+HYPERLINK("http://trademark.i-assist.jp/data/china/image_1916th/81129290.pdf","81129290")</f>
        <v>81129290</v>
      </c>
      <c r="F1136" s="9" t="s">
        <v>3174</v>
      </c>
      <c r="G1136" s="9" t="s">
        <v>3175</v>
      </c>
      <c r="H1136" s="9" t="s">
        <v>3176</v>
      </c>
      <c r="I1136" s="10">
        <v>45561</v>
      </c>
    </row>
    <row r="1137" spans="1:9" x14ac:dyDescent="0.15">
      <c r="A1137" s="9">
        <v>1136</v>
      </c>
      <c r="B1137" s="9" t="s">
        <v>9</v>
      </c>
      <c r="C1137" s="9">
        <v>1916</v>
      </c>
      <c r="D1137" s="10">
        <v>45646</v>
      </c>
      <c r="E1137" s="13" t="str">
        <f>+HYPERLINK("http://trademark.i-assist.jp/data/china/image_1916th/81129504.pdf","81129504")</f>
        <v>81129504</v>
      </c>
      <c r="F1137" s="9" t="s">
        <v>3177</v>
      </c>
      <c r="G1137" s="9" t="s">
        <v>3178</v>
      </c>
      <c r="H1137" s="9" t="s">
        <v>3179</v>
      </c>
      <c r="I1137" s="10">
        <v>45561</v>
      </c>
    </row>
    <row r="1138" spans="1:9" x14ac:dyDescent="0.15">
      <c r="A1138" s="9">
        <v>1137</v>
      </c>
      <c r="B1138" s="9" t="s">
        <v>9</v>
      </c>
      <c r="C1138" s="9">
        <v>1916</v>
      </c>
      <c r="D1138" s="10">
        <v>45646</v>
      </c>
      <c r="E1138" s="13" t="str">
        <f>+HYPERLINK("http://trademark.i-assist.jp/data/china/image_1916th/81129805.pdf","81129805")</f>
        <v>81129805</v>
      </c>
      <c r="F1138" s="9" t="s">
        <v>3180</v>
      </c>
      <c r="G1138" s="9" t="s">
        <v>3069</v>
      </c>
      <c r="H1138" s="9" t="s">
        <v>3181</v>
      </c>
      <c r="I1138" s="10">
        <v>45561</v>
      </c>
    </row>
    <row r="1139" spans="1:9" x14ac:dyDescent="0.15">
      <c r="A1139" s="9">
        <v>1138</v>
      </c>
      <c r="B1139" s="9" t="s">
        <v>9</v>
      </c>
      <c r="C1139" s="9">
        <v>1916</v>
      </c>
      <c r="D1139" s="10">
        <v>45646</v>
      </c>
      <c r="E1139" s="13" t="str">
        <f>+HYPERLINK("http://trademark.i-assist.jp/data/china/image_1916th/81129827.pdf","81129827")</f>
        <v>81129827</v>
      </c>
      <c r="F1139" s="9" t="s">
        <v>3182</v>
      </c>
      <c r="G1139" s="9" t="s">
        <v>3069</v>
      </c>
      <c r="H1139" s="9" t="s">
        <v>3183</v>
      </c>
      <c r="I1139" s="10">
        <v>45561</v>
      </c>
    </row>
    <row r="1140" spans="1:9" x14ac:dyDescent="0.15">
      <c r="A1140" s="9">
        <v>1139</v>
      </c>
      <c r="B1140" s="9" t="s">
        <v>9</v>
      </c>
      <c r="C1140" s="9">
        <v>1916</v>
      </c>
      <c r="D1140" s="10">
        <v>45646</v>
      </c>
      <c r="E1140" s="13" t="str">
        <f>+HYPERLINK("http://trademark.i-assist.jp/data/china/image_1916th/81129842.pdf","81129842")</f>
        <v>81129842</v>
      </c>
      <c r="F1140" s="9" t="s">
        <v>3184</v>
      </c>
      <c r="G1140" s="12" t="s">
        <v>3185</v>
      </c>
      <c r="H1140" s="12" t="s">
        <v>3186</v>
      </c>
      <c r="I1140" s="10">
        <v>45561</v>
      </c>
    </row>
    <row r="1141" spans="1:9" x14ac:dyDescent="0.15">
      <c r="A1141" s="9">
        <v>1140</v>
      </c>
      <c r="B1141" s="9" t="s">
        <v>9</v>
      </c>
      <c r="C1141" s="9">
        <v>1916</v>
      </c>
      <c r="D1141" s="10">
        <v>45646</v>
      </c>
      <c r="E1141" s="13" t="str">
        <f>+HYPERLINK("http://trademark.i-assist.jp/data/china/image_1916th/81130040.pdf","81130040")</f>
        <v>81130040</v>
      </c>
      <c r="F1141" s="9" t="s">
        <v>3187</v>
      </c>
      <c r="G1141" s="9" t="s">
        <v>3188</v>
      </c>
      <c r="H1141" s="9" t="s">
        <v>3189</v>
      </c>
      <c r="I1141" s="10">
        <v>45561</v>
      </c>
    </row>
    <row r="1142" spans="1:9" x14ac:dyDescent="0.15">
      <c r="A1142" s="9">
        <v>1141</v>
      </c>
      <c r="B1142" s="9" t="s">
        <v>9</v>
      </c>
      <c r="C1142" s="9">
        <v>1916</v>
      </c>
      <c r="D1142" s="10">
        <v>45646</v>
      </c>
      <c r="E1142" s="13" t="str">
        <f>+HYPERLINK("http://trademark.i-assist.jp/data/china/image_1916th/81130169.pdf","81130169")</f>
        <v>81130169</v>
      </c>
      <c r="F1142" s="12" t="s">
        <v>3190</v>
      </c>
      <c r="G1142" s="12" t="s">
        <v>1742</v>
      </c>
      <c r="H1142" s="9" t="s">
        <v>3191</v>
      </c>
      <c r="I1142" s="10">
        <v>45561</v>
      </c>
    </row>
    <row r="1143" spans="1:9" x14ac:dyDescent="0.15">
      <c r="A1143" s="9">
        <v>1142</v>
      </c>
      <c r="B1143" s="9" t="s">
        <v>9</v>
      </c>
      <c r="C1143" s="9">
        <v>1916</v>
      </c>
      <c r="D1143" s="10">
        <v>45646</v>
      </c>
      <c r="E1143" s="13" t="str">
        <f>+HYPERLINK("http://trademark.i-assist.jp/data/china/image_1916th/81130390.pdf","81130390")</f>
        <v>81130390</v>
      </c>
      <c r="F1143" s="9" t="s">
        <v>3192</v>
      </c>
      <c r="G1143" s="12" t="s">
        <v>3122</v>
      </c>
      <c r="H1143" s="9" t="s">
        <v>3193</v>
      </c>
      <c r="I1143" s="10">
        <v>45561</v>
      </c>
    </row>
    <row r="1144" spans="1:9" x14ac:dyDescent="0.15">
      <c r="A1144" s="9">
        <v>1143</v>
      </c>
      <c r="B1144" s="9" t="s">
        <v>9</v>
      </c>
      <c r="C1144" s="9">
        <v>1916</v>
      </c>
      <c r="D1144" s="10">
        <v>45646</v>
      </c>
      <c r="E1144" s="13" t="str">
        <f>+HYPERLINK("http://trademark.i-assist.jp/data/china/image_1916th/81130408.pdf","81130408")</f>
        <v>81130408</v>
      </c>
      <c r="F1144" s="12" t="s">
        <v>3194</v>
      </c>
      <c r="G1144" s="12" t="s">
        <v>3122</v>
      </c>
      <c r="H1144" s="9" t="s">
        <v>3195</v>
      </c>
      <c r="I1144" s="10">
        <v>45561</v>
      </c>
    </row>
    <row r="1145" spans="1:9" x14ac:dyDescent="0.15">
      <c r="A1145" s="9">
        <v>1144</v>
      </c>
      <c r="B1145" s="9" t="s">
        <v>9</v>
      </c>
      <c r="C1145" s="9">
        <v>1916</v>
      </c>
      <c r="D1145" s="10">
        <v>45646</v>
      </c>
      <c r="E1145" s="13" t="str">
        <f>+HYPERLINK("http://trademark.i-assist.jp/data/china/image_1916th/81130508.pdf","81130508")</f>
        <v>81130508</v>
      </c>
      <c r="F1145" s="9" t="s">
        <v>3196</v>
      </c>
      <c r="G1145" s="12" t="s">
        <v>3197</v>
      </c>
      <c r="H1145" s="9" t="s">
        <v>3198</v>
      </c>
      <c r="I1145" s="10">
        <v>45561</v>
      </c>
    </row>
    <row r="1146" spans="1:9" x14ac:dyDescent="0.15">
      <c r="A1146" s="9">
        <v>1145</v>
      </c>
      <c r="B1146" s="9" t="s">
        <v>9</v>
      </c>
      <c r="C1146" s="9">
        <v>1916</v>
      </c>
      <c r="D1146" s="10">
        <v>45646</v>
      </c>
      <c r="E1146" s="13" t="str">
        <f>+HYPERLINK("http://trademark.i-assist.jp/data/china/image_1916th/81130509.pdf","81130509")</f>
        <v>81130509</v>
      </c>
      <c r="F1146" s="9" t="s">
        <v>3199</v>
      </c>
      <c r="G1146" s="9" t="s">
        <v>3200</v>
      </c>
      <c r="H1146" s="9" t="s">
        <v>3201</v>
      </c>
      <c r="I1146" s="10">
        <v>45561</v>
      </c>
    </row>
    <row r="1147" spans="1:9" x14ac:dyDescent="0.15">
      <c r="A1147" s="9">
        <v>1146</v>
      </c>
      <c r="B1147" s="9" t="s">
        <v>9</v>
      </c>
      <c r="C1147" s="9">
        <v>1916</v>
      </c>
      <c r="D1147" s="10">
        <v>45646</v>
      </c>
      <c r="E1147" s="13" t="str">
        <f>+HYPERLINK("http://trademark.i-assist.jp/data/china/image_1916th/81130580.pdf","81130580")</f>
        <v>81130580</v>
      </c>
      <c r="F1147" s="12" t="s">
        <v>3202</v>
      </c>
      <c r="G1147" s="9" t="s">
        <v>3203</v>
      </c>
      <c r="H1147" s="9" t="s">
        <v>3204</v>
      </c>
      <c r="I1147" s="10">
        <v>45561</v>
      </c>
    </row>
    <row r="1148" spans="1:9" x14ac:dyDescent="0.15">
      <c r="A1148" s="9">
        <v>1147</v>
      </c>
      <c r="B1148" s="9" t="s">
        <v>9</v>
      </c>
      <c r="C1148" s="9">
        <v>1916</v>
      </c>
      <c r="D1148" s="10">
        <v>45646</v>
      </c>
      <c r="E1148" s="13" t="str">
        <f>+HYPERLINK("http://trademark.i-assist.jp/data/china/image_1916th/81131197.pdf","81131197")</f>
        <v>81131197</v>
      </c>
      <c r="F1148" s="9" t="s">
        <v>3205</v>
      </c>
      <c r="G1148" s="9" t="s">
        <v>3206</v>
      </c>
      <c r="H1148" s="9" t="s">
        <v>3207</v>
      </c>
      <c r="I1148" s="10">
        <v>45561</v>
      </c>
    </row>
    <row r="1149" spans="1:9" x14ac:dyDescent="0.15">
      <c r="A1149" s="9">
        <v>1148</v>
      </c>
      <c r="B1149" s="9" t="s">
        <v>9</v>
      </c>
      <c r="C1149" s="9">
        <v>1916</v>
      </c>
      <c r="D1149" s="10">
        <v>45646</v>
      </c>
      <c r="E1149" s="13" t="str">
        <f>+HYPERLINK("http://trademark.i-assist.jp/data/china/image_1916th/81131211.pdf","81131211")</f>
        <v>81131211</v>
      </c>
      <c r="F1149" s="9" t="s">
        <v>3208</v>
      </c>
      <c r="G1149" s="12" t="s">
        <v>2016</v>
      </c>
      <c r="H1149" s="9" t="s">
        <v>3209</v>
      </c>
      <c r="I1149" s="10">
        <v>45561</v>
      </c>
    </row>
    <row r="1150" spans="1:9" x14ac:dyDescent="0.15">
      <c r="A1150" s="9">
        <v>1149</v>
      </c>
      <c r="B1150" s="9" t="s">
        <v>9</v>
      </c>
      <c r="C1150" s="9">
        <v>1916</v>
      </c>
      <c r="D1150" s="10">
        <v>45646</v>
      </c>
      <c r="E1150" s="13" t="str">
        <f>+HYPERLINK("http://trademark.i-assist.jp/data/china/image_1916th/81132082.pdf","81132082")</f>
        <v>81132082</v>
      </c>
      <c r="F1150" s="9" t="s">
        <v>3210</v>
      </c>
      <c r="G1150" s="9" t="s">
        <v>3211</v>
      </c>
      <c r="H1150" s="9" t="s">
        <v>3212</v>
      </c>
      <c r="I1150" s="10">
        <v>45561</v>
      </c>
    </row>
    <row r="1151" spans="1:9" x14ac:dyDescent="0.15">
      <c r="A1151" s="9">
        <v>1150</v>
      </c>
      <c r="B1151" s="9" t="s">
        <v>9</v>
      </c>
      <c r="C1151" s="9">
        <v>1916</v>
      </c>
      <c r="D1151" s="10">
        <v>45646</v>
      </c>
      <c r="E1151" s="13" t="str">
        <f>+HYPERLINK("http://trademark.i-assist.jp/data/china/image_1916th/81132135.pdf","81132135")</f>
        <v>81132135</v>
      </c>
      <c r="F1151" s="9" t="s">
        <v>3213</v>
      </c>
      <c r="G1151" s="12" t="s">
        <v>3214</v>
      </c>
      <c r="H1151" s="9" t="s">
        <v>3215</v>
      </c>
      <c r="I1151" s="10">
        <v>45561</v>
      </c>
    </row>
    <row r="1152" spans="1:9" x14ac:dyDescent="0.15">
      <c r="A1152" s="9">
        <v>1151</v>
      </c>
      <c r="B1152" s="9" t="s">
        <v>9</v>
      </c>
      <c r="C1152" s="9">
        <v>1916</v>
      </c>
      <c r="D1152" s="10">
        <v>45646</v>
      </c>
      <c r="E1152" s="13" t="str">
        <f>+HYPERLINK("http://trademark.i-assist.jp/data/china/image_1916th/81132361.pdf","81132361")</f>
        <v>81132361</v>
      </c>
      <c r="F1152" s="9" t="s">
        <v>3216</v>
      </c>
      <c r="G1152" s="12" t="s">
        <v>3217</v>
      </c>
      <c r="H1152" s="9" t="s">
        <v>3218</v>
      </c>
      <c r="I1152" s="10">
        <v>45561</v>
      </c>
    </row>
    <row r="1153" spans="1:9" x14ac:dyDescent="0.15">
      <c r="A1153" s="9">
        <v>1152</v>
      </c>
      <c r="B1153" s="9" t="s">
        <v>9</v>
      </c>
      <c r="C1153" s="9">
        <v>1916</v>
      </c>
      <c r="D1153" s="10">
        <v>45646</v>
      </c>
      <c r="E1153" s="13" t="str">
        <f>+HYPERLINK("http://trademark.i-assist.jp/data/china/image_1916th/81132380.pdf","81132380")</f>
        <v>81132380</v>
      </c>
      <c r="F1153" s="9" t="s">
        <v>3219</v>
      </c>
      <c r="G1153" s="9" t="s">
        <v>3220</v>
      </c>
      <c r="H1153" s="9" t="s">
        <v>3221</v>
      </c>
      <c r="I1153" s="10">
        <v>45561</v>
      </c>
    </row>
    <row r="1154" spans="1:9" x14ac:dyDescent="0.15">
      <c r="A1154" s="9">
        <v>1153</v>
      </c>
      <c r="B1154" s="9" t="s">
        <v>9</v>
      </c>
      <c r="C1154" s="9">
        <v>1916</v>
      </c>
      <c r="D1154" s="10">
        <v>45646</v>
      </c>
      <c r="E1154" s="13" t="str">
        <f>+HYPERLINK("http://trademark.i-assist.jp/data/china/image_1916th/81132490.pdf","81132490")</f>
        <v>81132490</v>
      </c>
      <c r="F1154" s="9" t="s">
        <v>3222</v>
      </c>
      <c r="G1154" s="9" t="s">
        <v>3223</v>
      </c>
      <c r="H1154" s="9" t="s">
        <v>3224</v>
      </c>
      <c r="I1154" s="10">
        <v>45561</v>
      </c>
    </row>
    <row r="1155" spans="1:9" x14ac:dyDescent="0.15">
      <c r="A1155" s="9">
        <v>1154</v>
      </c>
      <c r="B1155" s="9" t="s">
        <v>9</v>
      </c>
      <c r="C1155" s="9">
        <v>1916</v>
      </c>
      <c r="D1155" s="10">
        <v>45646</v>
      </c>
      <c r="E1155" s="13" t="str">
        <f>+HYPERLINK("http://trademark.i-assist.jp/data/china/image_1916th/81132557.pdf","81132557")</f>
        <v>81132557</v>
      </c>
      <c r="F1155" s="9" t="s">
        <v>3225</v>
      </c>
      <c r="G1155" s="12" t="s">
        <v>3197</v>
      </c>
      <c r="H1155" s="9" t="s">
        <v>3226</v>
      </c>
      <c r="I1155" s="10">
        <v>45561</v>
      </c>
    </row>
    <row r="1156" spans="1:9" x14ac:dyDescent="0.15">
      <c r="A1156" s="9">
        <v>1155</v>
      </c>
      <c r="B1156" s="9" t="s">
        <v>9</v>
      </c>
      <c r="C1156" s="9">
        <v>1916</v>
      </c>
      <c r="D1156" s="10">
        <v>45646</v>
      </c>
      <c r="E1156" s="13" t="str">
        <f>+HYPERLINK("http://trademark.i-assist.jp/data/china/image_1916th/81132593.pdf","81132593")</f>
        <v>81132593</v>
      </c>
      <c r="F1156" s="9" t="s">
        <v>3227</v>
      </c>
      <c r="G1156" s="9" t="s">
        <v>3228</v>
      </c>
      <c r="H1156" s="9" t="s">
        <v>3229</v>
      </c>
      <c r="I1156" s="10">
        <v>45561</v>
      </c>
    </row>
    <row r="1157" spans="1:9" x14ac:dyDescent="0.15">
      <c r="A1157" s="9">
        <v>1156</v>
      </c>
      <c r="B1157" s="9" t="s">
        <v>9</v>
      </c>
      <c r="C1157" s="9">
        <v>1916</v>
      </c>
      <c r="D1157" s="10">
        <v>45646</v>
      </c>
      <c r="E1157" s="13" t="str">
        <f>+HYPERLINK("http://trademark.i-assist.jp/data/china/image_1916th/81132884.pdf","81132884")</f>
        <v>81132884</v>
      </c>
      <c r="F1157" s="9" t="s">
        <v>3230</v>
      </c>
      <c r="G1157" s="9" t="s">
        <v>3231</v>
      </c>
      <c r="H1157" s="9" t="s">
        <v>3232</v>
      </c>
      <c r="I1157" s="10">
        <v>45561</v>
      </c>
    </row>
    <row r="1158" spans="1:9" x14ac:dyDescent="0.15">
      <c r="A1158" s="9">
        <v>1157</v>
      </c>
      <c r="B1158" s="9" t="s">
        <v>9</v>
      </c>
      <c r="C1158" s="9">
        <v>1916</v>
      </c>
      <c r="D1158" s="10">
        <v>45646</v>
      </c>
      <c r="E1158" s="13" t="str">
        <f>+HYPERLINK("http://trademark.i-assist.jp/data/china/image_1916th/81133105.pdf","81133105")</f>
        <v>81133105</v>
      </c>
      <c r="F1158" s="9" t="s">
        <v>3233</v>
      </c>
      <c r="G1158" s="12" t="s">
        <v>3234</v>
      </c>
      <c r="H1158" s="12" t="s">
        <v>3235</v>
      </c>
      <c r="I1158" s="10">
        <v>45561</v>
      </c>
    </row>
    <row r="1159" spans="1:9" x14ac:dyDescent="0.15">
      <c r="A1159" s="9">
        <v>1158</v>
      </c>
      <c r="B1159" s="9" t="s">
        <v>9</v>
      </c>
      <c r="C1159" s="9">
        <v>1916</v>
      </c>
      <c r="D1159" s="10">
        <v>45646</v>
      </c>
      <c r="E1159" s="13" t="str">
        <f>+HYPERLINK("http://trademark.i-assist.jp/data/china/image_1916th/81133230.pdf","81133230")</f>
        <v>81133230</v>
      </c>
      <c r="F1159" s="9" t="s">
        <v>3132</v>
      </c>
      <c r="G1159" s="9" t="s">
        <v>3133</v>
      </c>
      <c r="H1159" s="9" t="s">
        <v>3236</v>
      </c>
      <c r="I1159" s="10">
        <v>45561</v>
      </c>
    </row>
    <row r="1160" spans="1:9" x14ac:dyDescent="0.15">
      <c r="A1160" s="9">
        <v>1159</v>
      </c>
      <c r="B1160" s="9" t="s">
        <v>9</v>
      </c>
      <c r="C1160" s="9">
        <v>1916</v>
      </c>
      <c r="D1160" s="10">
        <v>45646</v>
      </c>
      <c r="E1160" s="13" t="str">
        <f>+HYPERLINK("http://trademark.i-assist.jp/data/china/image_1916th/81133247.pdf","81133247")</f>
        <v>81133247</v>
      </c>
      <c r="F1160" s="9" t="s">
        <v>3237</v>
      </c>
      <c r="G1160" s="9" t="s">
        <v>3238</v>
      </c>
      <c r="H1160" s="9" t="s">
        <v>3239</v>
      </c>
      <c r="I1160" s="10">
        <v>45561</v>
      </c>
    </row>
    <row r="1161" spans="1:9" x14ac:dyDescent="0.15">
      <c r="A1161" s="9">
        <v>1160</v>
      </c>
      <c r="B1161" s="9" t="s">
        <v>9</v>
      </c>
      <c r="C1161" s="9">
        <v>1916</v>
      </c>
      <c r="D1161" s="10">
        <v>45646</v>
      </c>
      <c r="E1161" s="13" t="str">
        <f>+HYPERLINK("http://trademark.i-assist.jp/data/china/image_1916th/81133645.pdf","81133645")</f>
        <v>81133645</v>
      </c>
      <c r="F1161" s="9" t="s">
        <v>3240</v>
      </c>
      <c r="G1161" s="9" t="s">
        <v>3241</v>
      </c>
      <c r="H1161" s="9" t="s">
        <v>3242</v>
      </c>
      <c r="I1161" s="10">
        <v>45561</v>
      </c>
    </row>
    <row r="1162" spans="1:9" x14ac:dyDescent="0.15">
      <c r="A1162" s="9">
        <v>1161</v>
      </c>
      <c r="B1162" s="9" t="s">
        <v>9</v>
      </c>
      <c r="C1162" s="9">
        <v>1916</v>
      </c>
      <c r="D1162" s="10">
        <v>45646</v>
      </c>
      <c r="E1162" s="13" t="str">
        <f>+HYPERLINK("http://trademark.i-assist.jp/data/china/image_1916th/81133726.pdf","81133726")</f>
        <v>81133726</v>
      </c>
      <c r="F1162" s="9" t="s">
        <v>3243</v>
      </c>
      <c r="G1162" s="9" t="s">
        <v>3244</v>
      </c>
      <c r="H1162" s="9" t="s">
        <v>3245</v>
      </c>
      <c r="I1162" s="10">
        <v>45561</v>
      </c>
    </row>
    <row r="1163" spans="1:9" x14ac:dyDescent="0.15">
      <c r="A1163" s="9">
        <v>1162</v>
      </c>
      <c r="B1163" s="9" t="s">
        <v>9</v>
      </c>
      <c r="C1163" s="9">
        <v>1916</v>
      </c>
      <c r="D1163" s="10">
        <v>45646</v>
      </c>
      <c r="E1163" s="13" t="str">
        <f>+HYPERLINK("http://trademark.i-assist.jp/data/china/image_1916th/81133765.pdf","81133765")</f>
        <v>81133765</v>
      </c>
      <c r="F1163" s="9" t="s">
        <v>3246</v>
      </c>
      <c r="G1163" s="12" t="s">
        <v>3247</v>
      </c>
      <c r="H1163" s="9" t="s">
        <v>3248</v>
      </c>
      <c r="I1163" s="10">
        <v>45561</v>
      </c>
    </row>
    <row r="1164" spans="1:9" x14ac:dyDescent="0.15">
      <c r="A1164" s="9">
        <v>1163</v>
      </c>
      <c r="B1164" s="9" t="s">
        <v>9</v>
      </c>
      <c r="C1164" s="9">
        <v>1916</v>
      </c>
      <c r="D1164" s="10">
        <v>45646</v>
      </c>
      <c r="E1164" s="13" t="str">
        <f>+HYPERLINK("http://trademark.i-assist.jp/data/china/image_1916th/81133956.pdf","81133956")</f>
        <v>81133956</v>
      </c>
      <c r="F1164" s="9" t="s">
        <v>3249</v>
      </c>
      <c r="G1164" s="12" t="s">
        <v>50</v>
      </c>
      <c r="H1164" s="9" t="s">
        <v>3250</v>
      </c>
      <c r="I1164" s="10">
        <v>45561</v>
      </c>
    </row>
    <row r="1165" spans="1:9" x14ac:dyDescent="0.15">
      <c r="A1165" s="9">
        <v>1164</v>
      </c>
      <c r="B1165" s="9" t="s">
        <v>9</v>
      </c>
      <c r="C1165" s="9">
        <v>1916</v>
      </c>
      <c r="D1165" s="10">
        <v>45646</v>
      </c>
      <c r="E1165" s="13" t="str">
        <f>+HYPERLINK("http://trademark.i-assist.jp/data/china/image_1916th/81134172.pdf","81134172")</f>
        <v>81134172</v>
      </c>
      <c r="F1165" s="9" t="s">
        <v>3251</v>
      </c>
      <c r="G1165" s="9" t="s">
        <v>3119</v>
      </c>
      <c r="H1165" s="9" t="s">
        <v>3252</v>
      </c>
      <c r="I1165" s="10">
        <v>45561</v>
      </c>
    </row>
    <row r="1166" spans="1:9" x14ac:dyDescent="0.15">
      <c r="A1166" s="9">
        <v>1165</v>
      </c>
      <c r="B1166" s="9" t="s">
        <v>9</v>
      </c>
      <c r="C1166" s="9">
        <v>1916</v>
      </c>
      <c r="D1166" s="10">
        <v>45646</v>
      </c>
      <c r="E1166" s="13" t="str">
        <f>+HYPERLINK("http://trademark.i-assist.jp/data/china/image_1916th/81134206.pdf","81134206")</f>
        <v>81134206</v>
      </c>
      <c r="F1166" s="9" t="s">
        <v>3253</v>
      </c>
      <c r="G1166" s="9" t="s">
        <v>3254</v>
      </c>
      <c r="H1166" s="9" t="s">
        <v>3255</v>
      </c>
      <c r="I1166" s="10">
        <v>45561</v>
      </c>
    </row>
    <row r="1167" spans="1:9" x14ac:dyDescent="0.15">
      <c r="A1167" s="9">
        <v>1166</v>
      </c>
      <c r="B1167" s="9" t="s">
        <v>9</v>
      </c>
      <c r="C1167" s="9">
        <v>1916</v>
      </c>
      <c r="D1167" s="10">
        <v>45646</v>
      </c>
      <c r="E1167" s="13" t="str">
        <f>+HYPERLINK("http://trademark.i-assist.jp/data/china/image_1916th/81134414.pdf","81134414")</f>
        <v>81134414</v>
      </c>
      <c r="F1167" s="9" t="s">
        <v>3256</v>
      </c>
      <c r="G1167" s="9" t="s">
        <v>3257</v>
      </c>
      <c r="H1167" s="9" t="s">
        <v>3258</v>
      </c>
      <c r="I1167" s="10">
        <v>45561</v>
      </c>
    </row>
    <row r="1168" spans="1:9" x14ac:dyDescent="0.15">
      <c r="A1168" s="9">
        <v>1167</v>
      </c>
      <c r="B1168" s="9" t="s">
        <v>9</v>
      </c>
      <c r="C1168" s="9">
        <v>1916</v>
      </c>
      <c r="D1168" s="10">
        <v>45646</v>
      </c>
      <c r="E1168" s="13" t="str">
        <f>+HYPERLINK("http://trademark.i-assist.jp/data/china/image_1916th/81134436.pdf","81134436")</f>
        <v>81134436</v>
      </c>
      <c r="F1168" s="9" t="s">
        <v>3259</v>
      </c>
      <c r="G1168" s="12" t="s">
        <v>3260</v>
      </c>
      <c r="H1168" s="9" t="s">
        <v>3261</v>
      </c>
      <c r="I1168" s="10">
        <v>45561</v>
      </c>
    </row>
    <row r="1169" spans="1:9" x14ac:dyDescent="0.15">
      <c r="A1169" s="9">
        <v>1168</v>
      </c>
      <c r="B1169" s="9" t="s">
        <v>9</v>
      </c>
      <c r="C1169" s="9">
        <v>1916</v>
      </c>
      <c r="D1169" s="10">
        <v>45646</v>
      </c>
      <c r="E1169" s="13" t="str">
        <f>+HYPERLINK("http://trademark.i-assist.jp/data/china/image_1916th/81134455.pdf","81134455")</f>
        <v>81134455</v>
      </c>
      <c r="F1169" s="9" t="s">
        <v>3262</v>
      </c>
      <c r="G1169" s="12" t="s">
        <v>3263</v>
      </c>
      <c r="H1169" s="12" t="s">
        <v>3264</v>
      </c>
      <c r="I1169" s="10">
        <v>45561</v>
      </c>
    </row>
    <row r="1170" spans="1:9" x14ac:dyDescent="0.15">
      <c r="A1170" s="9">
        <v>1169</v>
      </c>
      <c r="B1170" s="9" t="s">
        <v>9</v>
      </c>
      <c r="C1170" s="9">
        <v>1916</v>
      </c>
      <c r="D1170" s="10">
        <v>45646</v>
      </c>
      <c r="E1170" s="13" t="str">
        <f>+HYPERLINK("http://trademark.i-assist.jp/data/china/image_1916th/81134760.pdf","81134760")</f>
        <v>81134760</v>
      </c>
      <c r="F1170" s="12" t="s">
        <v>13</v>
      </c>
      <c r="G1170" s="9" t="s">
        <v>3265</v>
      </c>
      <c r="H1170" s="9" t="s">
        <v>3266</v>
      </c>
      <c r="I1170" s="10">
        <v>45561</v>
      </c>
    </row>
    <row r="1171" spans="1:9" x14ac:dyDescent="0.15">
      <c r="A1171" s="9">
        <v>1170</v>
      </c>
      <c r="B1171" s="9" t="s">
        <v>9</v>
      </c>
      <c r="C1171" s="9">
        <v>1916</v>
      </c>
      <c r="D1171" s="10">
        <v>45646</v>
      </c>
      <c r="E1171" s="13" t="str">
        <f>+HYPERLINK("http://trademark.i-assist.jp/data/china/image_1916th/81134992.pdf","81134992")</f>
        <v>81134992</v>
      </c>
      <c r="F1171" s="9" t="s">
        <v>3267</v>
      </c>
      <c r="G1171" s="9" t="s">
        <v>3268</v>
      </c>
      <c r="H1171" s="9" t="s">
        <v>3269</v>
      </c>
      <c r="I1171" s="10">
        <v>45561</v>
      </c>
    </row>
    <row r="1172" spans="1:9" x14ac:dyDescent="0.15">
      <c r="A1172" s="9">
        <v>1171</v>
      </c>
      <c r="B1172" s="9" t="s">
        <v>9</v>
      </c>
      <c r="C1172" s="9">
        <v>1916</v>
      </c>
      <c r="D1172" s="10">
        <v>45646</v>
      </c>
      <c r="E1172" s="13" t="str">
        <f>+HYPERLINK("http://trademark.i-assist.jp/data/china/image_1916th/81135232.pdf","81135232")</f>
        <v>81135232</v>
      </c>
      <c r="F1172" s="9" t="s">
        <v>3270</v>
      </c>
      <c r="G1172" s="9" t="s">
        <v>3166</v>
      </c>
      <c r="H1172" s="9" t="s">
        <v>3271</v>
      </c>
      <c r="I1172" s="10">
        <v>45561</v>
      </c>
    </row>
    <row r="1173" spans="1:9" x14ac:dyDescent="0.15">
      <c r="A1173" s="9">
        <v>1172</v>
      </c>
      <c r="B1173" s="9" t="s">
        <v>9</v>
      </c>
      <c r="C1173" s="9">
        <v>1916</v>
      </c>
      <c r="D1173" s="10">
        <v>45646</v>
      </c>
      <c r="E1173" s="13" t="str">
        <f>+HYPERLINK("http://trademark.i-assist.jp/data/china/image_1916th/81135795.pdf","81135795")</f>
        <v>81135795</v>
      </c>
      <c r="F1173" s="9" t="s">
        <v>3272</v>
      </c>
      <c r="G1173" s="9" t="s">
        <v>3273</v>
      </c>
      <c r="H1173" s="12" t="s">
        <v>3274</v>
      </c>
      <c r="I1173" s="10">
        <v>45561</v>
      </c>
    </row>
    <row r="1174" spans="1:9" x14ac:dyDescent="0.15">
      <c r="A1174" s="9">
        <v>1173</v>
      </c>
      <c r="B1174" s="9" t="s">
        <v>9</v>
      </c>
      <c r="C1174" s="9">
        <v>1916</v>
      </c>
      <c r="D1174" s="10">
        <v>45646</v>
      </c>
      <c r="E1174" s="13" t="str">
        <f>+HYPERLINK("http://trademark.i-assist.jp/data/china/image_1916th/81136202.pdf","81136202")</f>
        <v>81136202</v>
      </c>
      <c r="F1174" s="9" t="s">
        <v>3275</v>
      </c>
      <c r="G1174" s="9" t="s">
        <v>3276</v>
      </c>
      <c r="H1174" s="12" t="s">
        <v>3277</v>
      </c>
      <c r="I1174" s="10">
        <v>45561</v>
      </c>
    </row>
    <row r="1175" spans="1:9" x14ac:dyDescent="0.15">
      <c r="A1175" s="9">
        <v>1174</v>
      </c>
      <c r="B1175" s="9" t="s">
        <v>9</v>
      </c>
      <c r="C1175" s="9">
        <v>1916</v>
      </c>
      <c r="D1175" s="10">
        <v>45646</v>
      </c>
      <c r="E1175" s="13" t="str">
        <f>+HYPERLINK("http://trademark.i-assist.jp/data/china/image_1916th/81136270.pdf","81136270")</f>
        <v>81136270</v>
      </c>
      <c r="F1175" s="9" t="s">
        <v>3278</v>
      </c>
      <c r="G1175" s="9" t="s">
        <v>3279</v>
      </c>
      <c r="H1175" s="9" t="s">
        <v>3280</v>
      </c>
      <c r="I1175" s="10">
        <v>45561</v>
      </c>
    </row>
    <row r="1176" spans="1:9" x14ac:dyDescent="0.15">
      <c r="A1176" s="9">
        <v>1175</v>
      </c>
      <c r="B1176" s="9" t="s">
        <v>9</v>
      </c>
      <c r="C1176" s="9">
        <v>1916</v>
      </c>
      <c r="D1176" s="10">
        <v>45646</v>
      </c>
      <c r="E1176" s="13" t="str">
        <f>+HYPERLINK("http://trademark.i-assist.jp/data/china/image_1916th/81136482.pdf","81136482")</f>
        <v>81136482</v>
      </c>
      <c r="F1176" s="9" t="s">
        <v>3281</v>
      </c>
      <c r="G1176" s="9" t="s">
        <v>3069</v>
      </c>
      <c r="H1176" s="9" t="s">
        <v>3282</v>
      </c>
      <c r="I1176" s="10">
        <v>45561</v>
      </c>
    </row>
    <row r="1177" spans="1:9" x14ac:dyDescent="0.15">
      <c r="A1177" s="9">
        <v>1176</v>
      </c>
      <c r="B1177" s="9" t="s">
        <v>9</v>
      </c>
      <c r="C1177" s="9">
        <v>1916</v>
      </c>
      <c r="D1177" s="10">
        <v>45646</v>
      </c>
      <c r="E1177" s="13" t="str">
        <f>+HYPERLINK("http://trademark.i-assist.jp/data/china/image_1916th/81136785.pdf","81136785")</f>
        <v>81136785</v>
      </c>
      <c r="F1177" s="9" t="s">
        <v>3283</v>
      </c>
      <c r="G1177" s="12" t="s">
        <v>3284</v>
      </c>
      <c r="H1177" s="9" t="s">
        <v>3285</v>
      </c>
      <c r="I1177" s="10">
        <v>45561</v>
      </c>
    </row>
    <row r="1178" spans="1:9" x14ac:dyDescent="0.15">
      <c r="A1178" s="9">
        <v>1177</v>
      </c>
      <c r="B1178" s="9" t="s">
        <v>9</v>
      </c>
      <c r="C1178" s="9">
        <v>1916</v>
      </c>
      <c r="D1178" s="10">
        <v>45646</v>
      </c>
      <c r="E1178" s="13" t="str">
        <f>+HYPERLINK("http://trademark.i-assist.jp/data/china/image_1916th/81137259.pdf","81137259")</f>
        <v>81137259</v>
      </c>
      <c r="F1178" s="12" t="s">
        <v>3286</v>
      </c>
      <c r="G1178" s="9" t="s">
        <v>3287</v>
      </c>
      <c r="H1178" s="9" t="s">
        <v>3288</v>
      </c>
      <c r="I1178" s="10">
        <v>45561</v>
      </c>
    </row>
    <row r="1179" spans="1:9" x14ac:dyDescent="0.15">
      <c r="A1179" s="9">
        <v>1178</v>
      </c>
      <c r="B1179" s="9" t="s">
        <v>9</v>
      </c>
      <c r="C1179" s="9">
        <v>1916</v>
      </c>
      <c r="D1179" s="10">
        <v>45646</v>
      </c>
      <c r="E1179" s="13" t="str">
        <f>+HYPERLINK("http://trademark.i-assist.jp/data/china/image_1916th/81137373.pdf","81137373")</f>
        <v>81137373</v>
      </c>
      <c r="F1179" s="9" t="s">
        <v>3289</v>
      </c>
      <c r="G1179" s="9" t="s">
        <v>3290</v>
      </c>
      <c r="H1179" s="9" t="s">
        <v>3291</v>
      </c>
      <c r="I1179" s="10">
        <v>45561</v>
      </c>
    </row>
    <row r="1180" spans="1:9" x14ac:dyDescent="0.15">
      <c r="A1180" s="9">
        <v>1179</v>
      </c>
      <c r="B1180" s="9" t="s">
        <v>9</v>
      </c>
      <c r="C1180" s="9">
        <v>1916</v>
      </c>
      <c r="D1180" s="10">
        <v>45646</v>
      </c>
      <c r="E1180" s="13" t="str">
        <f>+HYPERLINK("http://trademark.i-assist.jp/data/china/image_1916th/81137721.pdf","81137721")</f>
        <v>81137721</v>
      </c>
      <c r="F1180" s="9" t="s">
        <v>3292</v>
      </c>
      <c r="G1180" s="12" t="s">
        <v>3293</v>
      </c>
      <c r="H1180" s="9" t="s">
        <v>3294</v>
      </c>
      <c r="I1180" s="10">
        <v>45561</v>
      </c>
    </row>
    <row r="1181" spans="1:9" x14ac:dyDescent="0.15">
      <c r="A1181" s="9">
        <v>1180</v>
      </c>
      <c r="B1181" s="9" t="s">
        <v>9</v>
      </c>
      <c r="C1181" s="9">
        <v>1916</v>
      </c>
      <c r="D1181" s="10">
        <v>45646</v>
      </c>
      <c r="E1181" s="13" t="str">
        <f>+HYPERLINK("http://trademark.i-assist.jp/data/china/image_1916th/81137958.pdf","81137958")</f>
        <v>81137958</v>
      </c>
      <c r="F1181" s="9" t="s">
        <v>3295</v>
      </c>
      <c r="G1181" s="12" t="s">
        <v>3296</v>
      </c>
      <c r="H1181" s="9" t="s">
        <v>3297</v>
      </c>
      <c r="I1181" s="10">
        <v>45561</v>
      </c>
    </row>
    <row r="1182" spans="1:9" x14ac:dyDescent="0.15">
      <c r="A1182" s="9">
        <v>1181</v>
      </c>
      <c r="B1182" s="9" t="s">
        <v>9</v>
      </c>
      <c r="C1182" s="9">
        <v>1916</v>
      </c>
      <c r="D1182" s="10">
        <v>45646</v>
      </c>
      <c r="E1182" s="13" t="str">
        <f>+HYPERLINK("http://trademark.i-assist.jp/data/china/image_1916th/81138050.pdf","81138050")</f>
        <v>81138050</v>
      </c>
      <c r="F1182" s="9" t="s">
        <v>3298</v>
      </c>
      <c r="G1182" s="9" t="s">
        <v>3299</v>
      </c>
      <c r="H1182" s="12" t="s">
        <v>3300</v>
      </c>
      <c r="I1182" s="10">
        <v>45561</v>
      </c>
    </row>
    <row r="1183" spans="1:9" x14ac:dyDescent="0.15">
      <c r="A1183" s="9">
        <v>1182</v>
      </c>
      <c r="B1183" s="9" t="s">
        <v>9</v>
      </c>
      <c r="C1183" s="9">
        <v>1916</v>
      </c>
      <c r="D1183" s="10">
        <v>45646</v>
      </c>
      <c r="E1183" s="13" t="str">
        <f>+HYPERLINK("http://trademark.i-assist.jp/data/china/image_1916th/81138444.pdf","81138444")</f>
        <v>81138444</v>
      </c>
      <c r="F1183" s="9" t="s">
        <v>3301</v>
      </c>
      <c r="G1183" s="9" t="s">
        <v>3302</v>
      </c>
      <c r="H1183" s="9" t="s">
        <v>3303</v>
      </c>
      <c r="I1183" s="10">
        <v>45561</v>
      </c>
    </row>
    <row r="1184" spans="1:9" x14ac:dyDescent="0.15">
      <c r="A1184" s="9">
        <v>1183</v>
      </c>
      <c r="B1184" s="9" t="s">
        <v>9</v>
      </c>
      <c r="C1184" s="9">
        <v>1916</v>
      </c>
      <c r="D1184" s="10">
        <v>45646</v>
      </c>
      <c r="E1184" s="13" t="str">
        <f>+HYPERLINK("http://trademark.i-assist.jp/data/china/image_1916th/81138508.pdf","81138508")</f>
        <v>81138508</v>
      </c>
      <c r="F1184" s="9" t="s">
        <v>3304</v>
      </c>
      <c r="G1184" s="9" t="s">
        <v>3305</v>
      </c>
      <c r="H1184" s="9" t="s">
        <v>3306</v>
      </c>
      <c r="I1184" s="10">
        <v>45561</v>
      </c>
    </row>
    <row r="1185" spans="1:9" x14ac:dyDescent="0.15">
      <c r="A1185" s="9">
        <v>1184</v>
      </c>
      <c r="B1185" s="9" t="s">
        <v>9</v>
      </c>
      <c r="C1185" s="9">
        <v>1916</v>
      </c>
      <c r="D1185" s="10">
        <v>45646</v>
      </c>
      <c r="E1185" s="13" t="str">
        <f>+HYPERLINK("http://trademark.i-assist.jp/data/china/image_1916th/81139436.pdf","81139436")</f>
        <v>81139436</v>
      </c>
      <c r="F1185" s="9" t="s">
        <v>3307</v>
      </c>
      <c r="G1185" s="12" t="s">
        <v>3122</v>
      </c>
      <c r="H1185" s="9" t="s">
        <v>3308</v>
      </c>
      <c r="I1185" s="10">
        <v>45561</v>
      </c>
    </row>
    <row r="1186" spans="1:9" x14ac:dyDescent="0.15">
      <c r="A1186" s="9">
        <v>1185</v>
      </c>
      <c r="B1186" s="9" t="s">
        <v>9</v>
      </c>
      <c r="C1186" s="9">
        <v>1916</v>
      </c>
      <c r="D1186" s="10">
        <v>45646</v>
      </c>
      <c r="E1186" s="13" t="str">
        <f>+HYPERLINK("http://trademark.i-assist.jp/data/china/image_1916th/81139589.pdf","81139589")</f>
        <v>81139589</v>
      </c>
      <c r="F1186" s="9" t="s">
        <v>3309</v>
      </c>
      <c r="G1186" s="12" t="s">
        <v>3310</v>
      </c>
      <c r="H1186" s="9" t="s">
        <v>3311</v>
      </c>
      <c r="I1186" s="10">
        <v>45561</v>
      </c>
    </row>
    <row r="1187" spans="1:9" x14ac:dyDescent="0.15">
      <c r="A1187" s="9">
        <v>1186</v>
      </c>
      <c r="B1187" s="9" t="s">
        <v>9</v>
      </c>
      <c r="C1187" s="9">
        <v>1916</v>
      </c>
      <c r="D1187" s="10">
        <v>45646</v>
      </c>
      <c r="E1187" s="13" t="str">
        <f>+HYPERLINK("http://trademark.i-assist.jp/data/china/image_1916th/81140626.pdf","81140626")</f>
        <v>81140626</v>
      </c>
      <c r="F1187" s="9" t="s">
        <v>3312</v>
      </c>
      <c r="G1187" s="9" t="s">
        <v>3313</v>
      </c>
      <c r="H1187" s="9" t="s">
        <v>3314</v>
      </c>
      <c r="I1187" s="10">
        <v>45561</v>
      </c>
    </row>
    <row r="1188" spans="1:9" x14ac:dyDescent="0.15">
      <c r="A1188" s="9">
        <v>1187</v>
      </c>
      <c r="B1188" s="9" t="s">
        <v>9</v>
      </c>
      <c r="C1188" s="9">
        <v>1916</v>
      </c>
      <c r="D1188" s="10">
        <v>45646</v>
      </c>
      <c r="E1188" s="13" t="str">
        <f>+HYPERLINK("http://trademark.i-assist.jp/data/china/image_1916th/81141062.pdf","81141062")</f>
        <v>81141062</v>
      </c>
      <c r="F1188" s="9" t="s">
        <v>3315</v>
      </c>
      <c r="G1188" s="12" t="s">
        <v>3214</v>
      </c>
      <c r="H1188" s="9" t="s">
        <v>3316</v>
      </c>
      <c r="I1188" s="10">
        <v>45561</v>
      </c>
    </row>
    <row r="1189" spans="1:9" x14ac:dyDescent="0.15">
      <c r="A1189" s="9">
        <v>1188</v>
      </c>
      <c r="B1189" s="9" t="s">
        <v>9</v>
      </c>
      <c r="C1189" s="9">
        <v>1916</v>
      </c>
      <c r="D1189" s="10">
        <v>45646</v>
      </c>
      <c r="E1189" s="13" t="str">
        <f>+HYPERLINK("http://trademark.i-assist.jp/data/china/image_1916th/81141353.pdf","81141353")</f>
        <v>81141353</v>
      </c>
      <c r="F1189" s="9" t="s">
        <v>3317</v>
      </c>
      <c r="G1189" s="9" t="s">
        <v>3318</v>
      </c>
      <c r="H1189" s="9" t="s">
        <v>3319</v>
      </c>
      <c r="I1189" s="10">
        <v>45561</v>
      </c>
    </row>
    <row r="1190" spans="1:9" x14ac:dyDescent="0.15">
      <c r="A1190" s="9">
        <v>1189</v>
      </c>
      <c r="B1190" s="9" t="s">
        <v>9</v>
      </c>
      <c r="C1190" s="9">
        <v>1916</v>
      </c>
      <c r="D1190" s="10">
        <v>45646</v>
      </c>
      <c r="E1190" s="13" t="str">
        <f>+HYPERLINK("http://trademark.i-assist.jp/data/china/image_1916th/81141792.pdf","81141792")</f>
        <v>81141792</v>
      </c>
      <c r="F1190" s="9" t="s">
        <v>3320</v>
      </c>
      <c r="G1190" s="9" t="s">
        <v>3321</v>
      </c>
      <c r="H1190" s="9" t="s">
        <v>3322</v>
      </c>
      <c r="I1190" s="10">
        <v>45561</v>
      </c>
    </row>
    <row r="1191" spans="1:9" x14ac:dyDescent="0.15">
      <c r="A1191" s="9">
        <v>1190</v>
      </c>
      <c r="B1191" s="9" t="s">
        <v>9</v>
      </c>
      <c r="C1191" s="9">
        <v>1916</v>
      </c>
      <c r="D1191" s="10">
        <v>45646</v>
      </c>
      <c r="E1191" s="13" t="str">
        <f>+HYPERLINK("http://trademark.i-assist.jp/data/china/image_1916th/81142139.pdf","81142139")</f>
        <v>81142139</v>
      </c>
      <c r="F1191" s="12" t="s">
        <v>3323</v>
      </c>
      <c r="G1191" s="12" t="s">
        <v>3324</v>
      </c>
      <c r="H1191" s="9" t="s">
        <v>3325</v>
      </c>
      <c r="I1191" s="10">
        <v>45561</v>
      </c>
    </row>
    <row r="1192" spans="1:9" x14ac:dyDescent="0.15">
      <c r="A1192" s="9">
        <v>1191</v>
      </c>
      <c r="B1192" s="9" t="s">
        <v>9</v>
      </c>
      <c r="C1192" s="9">
        <v>1916</v>
      </c>
      <c r="D1192" s="10">
        <v>45646</v>
      </c>
      <c r="E1192" s="13" t="str">
        <f>+HYPERLINK("http://trademark.i-assist.jp/data/china/image_1916th/81142233.pdf","81142233")</f>
        <v>81142233</v>
      </c>
      <c r="F1192" s="9" t="s">
        <v>3326</v>
      </c>
      <c r="G1192" s="9" t="s">
        <v>3327</v>
      </c>
      <c r="H1192" s="12" t="s">
        <v>3328</v>
      </c>
      <c r="I1192" s="10">
        <v>45561</v>
      </c>
    </row>
    <row r="1193" spans="1:9" x14ac:dyDescent="0.15">
      <c r="A1193" s="9">
        <v>1192</v>
      </c>
      <c r="B1193" s="9" t="s">
        <v>9</v>
      </c>
      <c r="C1193" s="9">
        <v>1916</v>
      </c>
      <c r="D1193" s="10">
        <v>45646</v>
      </c>
      <c r="E1193" s="13" t="str">
        <f>+HYPERLINK("http://trademark.i-assist.jp/data/china/image_1916th/81142867.pdf","81142867")</f>
        <v>81142867</v>
      </c>
      <c r="F1193" s="9" t="s">
        <v>3329</v>
      </c>
      <c r="G1193" s="9" t="s">
        <v>3330</v>
      </c>
      <c r="H1193" s="9" t="s">
        <v>3331</v>
      </c>
      <c r="I1193" s="10">
        <v>45561</v>
      </c>
    </row>
    <row r="1194" spans="1:9" x14ac:dyDescent="0.15">
      <c r="A1194" s="9">
        <v>1193</v>
      </c>
      <c r="B1194" s="9" t="s">
        <v>9</v>
      </c>
      <c r="C1194" s="9">
        <v>1916</v>
      </c>
      <c r="D1194" s="10">
        <v>45646</v>
      </c>
      <c r="E1194" s="13" t="str">
        <f>+HYPERLINK("http://trademark.i-assist.jp/data/china/image_1916th/81143219.pdf","81143219")</f>
        <v>81143219</v>
      </c>
      <c r="F1194" s="9" t="s">
        <v>3332</v>
      </c>
      <c r="G1194" s="12" t="s">
        <v>3333</v>
      </c>
      <c r="H1194" s="9" t="s">
        <v>3334</v>
      </c>
      <c r="I1194" s="10">
        <v>45562</v>
      </c>
    </row>
    <row r="1195" spans="1:9" x14ac:dyDescent="0.15">
      <c r="A1195" s="9">
        <v>1194</v>
      </c>
      <c r="B1195" s="9" t="s">
        <v>9</v>
      </c>
      <c r="C1195" s="9">
        <v>1916</v>
      </c>
      <c r="D1195" s="10">
        <v>45646</v>
      </c>
      <c r="E1195" s="13" t="str">
        <f>+HYPERLINK("http://trademark.i-assist.jp/data/china/image_1916th/81143232.pdf","81143232")</f>
        <v>81143232</v>
      </c>
      <c r="F1195" s="9" t="s">
        <v>3335</v>
      </c>
      <c r="G1195" s="9" t="s">
        <v>3336</v>
      </c>
      <c r="H1195" s="9" t="s">
        <v>3337</v>
      </c>
      <c r="I1195" s="10">
        <v>45562</v>
      </c>
    </row>
    <row r="1196" spans="1:9" x14ac:dyDescent="0.15">
      <c r="A1196" s="9">
        <v>1195</v>
      </c>
      <c r="B1196" s="9" t="s">
        <v>9</v>
      </c>
      <c r="C1196" s="9">
        <v>1916</v>
      </c>
      <c r="D1196" s="10">
        <v>45646</v>
      </c>
      <c r="E1196" s="13" t="str">
        <f>+HYPERLINK("http://trademark.i-assist.jp/data/china/image_1916th/81143334.pdf","81143334")</f>
        <v>81143334</v>
      </c>
      <c r="F1196" s="12" t="s">
        <v>3338</v>
      </c>
      <c r="G1196" s="9" t="s">
        <v>3339</v>
      </c>
      <c r="H1196" s="9" t="s">
        <v>3340</v>
      </c>
      <c r="I1196" s="10">
        <v>45562</v>
      </c>
    </row>
    <row r="1197" spans="1:9" x14ac:dyDescent="0.15">
      <c r="A1197" s="9">
        <v>1196</v>
      </c>
      <c r="B1197" s="9" t="s">
        <v>9</v>
      </c>
      <c r="C1197" s="9">
        <v>1916</v>
      </c>
      <c r="D1197" s="10">
        <v>45646</v>
      </c>
      <c r="E1197" s="13" t="str">
        <f>+HYPERLINK("http://trademark.i-assist.jp/data/china/image_1916th/81143437.pdf","81143437")</f>
        <v>81143437</v>
      </c>
      <c r="F1197" s="9" t="s">
        <v>3341</v>
      </c>
      <c r="G1197" s="12" t="s">
        <v>3342</v>
      </c>
      <c r="H1197" s="9" t="s">
        <v>3343</v>
      </c>
      <c r="I1197" s="10">
        <v>45562</v>
      </c>
    </row>
    <row r="1198" spans="1:9" x14ac:dyDescent="0.15">
      <c r="A1198" s="9">
        <v>1197</v>
      </c>
      <c r="B1198" s="9" t="s">
        <v>9</v>
      </c>
      <c r="C1198" s="9">
        <v>1916</v>
      </c>
      <c r="D1198" s="10">
        <v>45646</v>
      </c>
      <c r="E1198" s="13" t="str">
        <f>+HYPERLINK("http://trademark.i-assist.jp/data/china/image_1916th/81143656.pdf","81143656")</f>
        <v>81143656</v>
      </c>
      <c r="F1198" s="9" t="s">
        <v>3344</v>
      </c>
      <c r="G1198" s="12" t="s">
        <v>3345</v>
      </c>
      <c r="H1198" s="9" t="s">
        <v>3346</v>
      </c>
      <c r="I1198" s="10">
        <v>45562</v>
      </c>
    </row>
    <row r="1199" spans="1:9" x14ac:dyDescent="0.15">
      <c r="A1199" s="9">
        <v>1198</v>
      </c>
      <c r="B1199" s="9" t="s">
        <v>9</v>
      </c>
      <c r="C1199" s="9">
        <v>1916</v>
      </c>
      <c r="D1199" s="10">
        <v>45646</v>
      </c>
      <c r="E1199" s="13" t="str">
        <f>+HYPERLINK("http://trademark.i-assist.jp/data/china/image_1916th/81143767.pdf","81143767")</f>
        <v>81143767</v>
      </c>
      <c r="F1199" s="9" t="s">
        <v>3347</v>
      </c>
      <c r="G1199" s="9" t="s">
        <v>3348</v>
      </c>
      <c r="H1199" s="12" t="s">
        <v>3349</v>
      </c>
      <c r="I1199" s="10">
        <v>45562</v>
      </c>
    </row>
    <row r="1200" spans="1:9" x14ac:dyDescent="0.15">
      <c r="A1200" s="9">
        <v>1199</v>
      </c>
      <c r="B1200" s="9" t="s">
        <v>9</v>
      </c>
      <c r="C1200" s="9">
        <v>1916</v>
      </c>
      <c r="D1200" s="10">
        <v>45646</v>
      </c>
      <c r="E1200" s="13" t="str">
        <f>+HYPERLINK("http://trademark.i-assist.jp/data/china/image_1916th/81144213.pdf","81144213")</f>
        <v>81144213</v>
      </c>
      <c r="F1200" s="9" t="s">
        <v>3350</v>
      </c>
      <c r="G1200" s="12" t="s">
        <v>3351</v>
      </c>
      <c r="H1200" s="9" t="s">
        <v>3352</v>
      </c>
      <c r="I1200" s="10">
        <v>45562</v>
      </c>
    </row>
    <row r="1201" spans="1:9" x14ac:dyDescent="0.15">
      <c r="A1201" s="9">
        <v>1200</v>
      </c>
      <c r="B1201" s="9" t="s">
        <v>9</v>
      </c>
      <c r="C1201" s="9">
        <v>1916</v>
      </c>
      <c r="D1201" s="10">
        <v>45646</v>
      </c>
      <c r="E1201" s="13" t="str">
        <f>+HYPERLINK("http://trademark.i-assist.jp/data/china/image_1916th/81144545.pdf","81144545")</f>
        <v>81144545</v>
      </c>
      <c r="F1201" s="12" t="s">
        <v>3353</v>
      </c>
      <c r="G1201" s="9" t="s">
        <v>3354</v>
      </c>
      <c r="H1201" s="9" t="s">
        <v>3355</v>
      </c>
      <c r="I1201" s="10">
        <v>45562</v>
      </c>
    </row>
    <row r="1202" spans="1:9" x14ac:dyDescent="0.15">
      <c r="A1202" s="9">
        <v>1201</v>
      </c>
      <c r="B1202" s="9" t="s">
        <v>9</v>
      </c>
      <c r="C1202" s="9">
        <v>1916</v>
      </c>
      <c r="D1202" s="10">
        <v>45646</v>
      </c>
      <c r="E1202" s="13" t="str">
        <f>+HYPERLINK("http://trademark.i-assist.jp/data/china/image_1916th/81144629.pdf","81144629")</f>
        <v>81144629</v>
      </c>
      <c r="F1202" s="12" t="s">
        <v>13</v>
      </c>
      <c r="G1202" s="9" t="s">
        <v>3356</v>
      </c>
      <c r="H1202" s="9" t="s">
        <v>3357</v>
      </c>
      <c r="I1202" s="10">
        <v>45562</v>
      </c>
    </row>
    <row r="1203" spans="1:9" x14ac:dyDescent="0.15">
      <c r="A1203" s="9">
        <v>1202</v>
      </c>
      <c r="B1203" s="9" t="s">
        <v>9</v>
      </c>
      <c r="C1203" s="9">
        <v>1916</v>
      </c>
      <c r="D1203" s="10">
        <v>45646</v>
      </c>
      <c r="E1203" s="13" t="str">
        <f>+HYPERLINK("http://trademark.i-assist.jp/data/china/image_1916th/81144634.pdf","81144634")</f>
        <v>81144634</v>
      </c>
      <c r="F1203" s="9" t="s">
        <v>3358</v>
      </c>
      <c r="G1203" s="9" t="s">
        <v>3359</v>
      </c>
      <c r="H1203" s="9" t="s">
        <v>3360</v>
      </c>
      <c r="I1203" s="10">
        <v>45562</v>
      </c>
    </row>
    <row r="1204" spans="1:9" x14ac:dyDescent="0.15">
      <c r="A1204" s="9">
        <v>1203</v>
      </c>
      <c r="B1204" s="9" t="s">
        <v>9</v>
      </c>
      <c r="C1204" s="9">
        <v>1916</v>
      </c>
      <c r="D1204" s="10">
        <v>45646</v>
      </c>
      <c r="E1204" s="13" t="str">
        <f>+HYPERLINK("http://trademark.i-assist.jp/data/china/image_1916th/81144666.pdf","81144666")</f>
        <v>81144666</v>
      </c>
      <c r="F1204" s="9" t="s">
        <v>3361</v>
      </c>
      <c r="G1204" s="9" t="s">
        <v>3362</v>
      </c>
      <c r="H1204" s="12" t="s">
        <v>3363</v>
      </c>
      <c r="I1204" s="10">
        <v>45562</v>
      </c>
    </row>
    <row r="1205" spans="1:9" x14ac:dyDescent="0.15">
      <c r="A1205" s="9">
        <v>1204</v>
      </c>
      <c r="B1205" s="9" t="s">
        <v>9</v>
      </c>
      <c r="C1205" s="9">
        <v>1916</v>
      </c>
      <c r="D1205" s="10">
        <v>45646</v>
      </c>
      <c r="E1205" s="13" t="str">
        <f>+HYPERLINK("http://trademark.i-assist.jp/data/china/image_1916th/81144821.pdf","81144821")</f>
        <v>81144821</v>
      </c>
      <c r="F1205" s="9" t="s">
        <v>3364</v>
      </c>
      <c r="G1205" s="9" t="s">
        <v>3365</v>
      </c>
      <c r="H1205" s="9" t="s">
        <v>3366</v>
      </c>
      <c r="I1205" s="10">
        <v>45562</v>
      </c>
    </row>
    <row r="1206" spans="1:9" x14ac:dyDescent="0.15">
      <c r="A1206" s="9">
        <v>1205</v>
      </c>
      <c r="B1206" s="9" t="s">
        <v>9</v>
      </c>
      <c r="C1206" s="9">
        <v>1916</v>
      </c>
      <c r="D1206" s="10">
        <v>45646</v>
      </c>
      <c r="E1206" s="13" t="str">
        <f>+HYPERLINK("http://trademark.i-assist.jp/data/china/image_1916th/81144869.pdf","81144869")</f>
        <v>81144869</v>
      </c>
      <c r="F1206" s="9" t="s">
        <v>3367</v>
      </c>
      <c r="G1206" s="9" t="s">
        <v>3368</v>
      </c>
      <c r="H1206" s="9" t="s">
        <v>3369</v>
      </c>
      <c r="I1206" s="10">
        <v>45562</v>
      </c>
    </row>
    <row r="1207" spans="1:9" x14ac:dyDescent="0.15">
      <c r="A1207" s="9">
        <v>1206</v>
      </c>
      <c r="B1207" s="9" t="s">
        <v>9</v>
      </c>
      <c r="C1207" s="9">
        <v>1916</v>
      </c>
      <c r="D1207" s="10">
        <v>45646</v>
      </c>
      <c r="E1207" s="13" t="str">
        <f>+HYPERLINK("http://trademark.i-assist.jp/data/china/image_1916th/81144884.pdf","81144884")</f>
        <v>81144884</v>
      </c>
      <c r="F1207" s="9" t="s">
        <v>3370</v>
      </c>
      <c r="G1207" s="12" t="s">
        <v>3371</v>
      </c>
      <c r="H1207" s="9" t="s">
        <v>3372</v>
      </c>
      <c r="I1207" s="10">
        <v>45562</v>
      </c>
    </row>
    <row r="1208" spans="1:9" x14ac:dyDescent="0.15">
      <c r="A1208" s="9">
        <v>1207</v>
      </c>
      <c r="B1208" s="9" t="s">
        <v>9</v>
      </c>
      <c r="C1208" s="9">
        <v>1916</v>
      </c>
      <c r="D1208" s="10">
        <v>45646</v>
      </c>
      <c r="E1208" s="13" t="str">
        <f>+HYPERLINK("http://trademark.i-assist.jp/data/china/image_1916th/81145151.pdf","81145151")</f>
        <v>81145151</v>
      </c>
      <c r="F1208" s="9" t="s">
        <v>3373</v>
      </c>
      <c r="G1208" s="9" t="s">
        <v>3374</v>
      </c>
      <c r="H1208" s="9" t="s">
        <v>3375</v>
      </c>
      <c r="I1208" s="10">
        <v>45562</v>
      </c>
    </row>
    <row r="1209" spans="1:9" x14ac:dyDescent="0.15">
      <c r="A1209" s="9">
        <v>1208</v>
      </c>
      <c r="B1209" s="9" t="s">
        <v>9</v>
      </c>
      <c r="C1209" s="9">
        <v>1916</v>
      </c>
      <c r="D1209" s="10">
        <v>45646</v>
      </c>
      <c r="E1209" s="13" t="str">
        <f>+HYPERLINK("http://trademark.i-assist.jp/data/china/image_1916th/81146002.pdf","81146002")</f>
        <v>81146002</v>
      </c>
      <c r="F1209" s="9" t="s">
        <v>3376</v>
      </c>
      <c r="G1209" s="9" t="s">
        <v>3368</v>
      </c>
      <c r="H1209" s="12" t="s">
        <v>3377</v>
      </c>
      <c r="I1209" s="10">
        <v>45562</v>
      </c>
    </row>
    <row r="1210" spans="1:9" x14ac:dyDescent="0.15">
      <c r="A1210" s="9">
        <v>1209</v>
      </c>
      <c r="B1210" s="9" t="s">
        <v>9</v>
      </c>
      <c r="C1210" s="9">
        <v>1916</v>
      </c>
      <c r="D1210" s="10">
        <v>45646</v>
      </c>
      <c r="E1210" s="13" t="str">
        <f>+HYPERLINK("http://trademark.i-assist.jp/data/china/image_1916th/81146025.pdf","81146025")</f>
        <v>81146025</v>
      </c>
      <c r="F1210" s="12" t="s">
        <v>3378</v>
      </c>
      <c r="G1210" s="9" t="s">
        <v>3379</v>
      </c>
      <c r="H1210" s="9" t="s">
        <v>3380</v>
      </c>
      <c r="I1210" s="10">
        <v>45562</v>
      </c>
    </row>
    <row r="1211" spans="1:9" x14ac:dyDescent="0.15">
      <c r="A1211" s="9">
        <v>1210</v>
      </c>
      <c r="B1211" s="9" t="s">
        <v>9</v>
      </c>
      <c r="C1211" s="9">
        <v>1916</v>
      </c>
      <c r="D1211" s="10">
        <v>45646</v>
      </c>
      <c r="E1211" s="13" t="str">
        <f>+HYPERLINK("http://trademark.i-assist.jp/data/china/image_1916th/81146051.pdf","81146051")</f>
        <v>81146051</v>
      </c>
      <c r="F1211" s="9" t="s">
        <v>3381</v>
      </c>
      <c r="G1211" s="9" t="s">
        <v>3382</v>
      </c>
      <c r="H1211" s="9" t="s">
        <v>3383</v>
      </c>
      <c r="I1211" s="10">
        <v>45562</v>
      </c>
    </row>
    <row r="1212" spans="1:9" x14ac:dyDescent="0.15">
      <c r="A1212" s="9">
        <v>1211</v>
      </c>
      <c r="B1212" s="9" t="s">
        <v>9</v>
      </c>
      <c r="C1212" s="9">
        <v>1916</v>
      </c>
      <c r="D1212" s="10">
        <v>45646</v>
      </c>
      <c r="E1212" s="13" t="str">
        <f>+HYPERLINK("http://trademark.i-assist.jp/data/china/image_1916th/81146092.pdf","81146092")</f>
        <v>81146092</v>
      </c>
      <c r="F1212" s="9" t="s">
        <v>3384</v>
      </c>
      <c r="G1212" s="9" t="s">
        <v>3385</v>
      </c>
      <c r="H1212" s="9" t="s">
        <v>3386</v>
      </c>
      <c r="I1212" s="10">
        <v>45562</v>
      </c>
    </row>
    <row r="1213" spans="1:9" x14ac:dyDescent="0.15">
      <c r="A1213" s="9">
        <v>1212</v>
      </c>
      <c r="B1213" s="9" t="s">
        <v>9</v>
      </c>
      <c r="C1213" s="9">
        <v>1916</v>
      </c>
      <c r="D1213" s="10">
        <v>45646</v>
      </c>
      <c r="E1213" s="13" t="str">
        <f>+HYPERLINK("http://trademark.i-assist.jp/data/china/image_1916th/81146130.pdf","81146130")</f>
        <v>81146130</v>
      </c>
      <c r="F1213" s="9" t="s">
        <v>3387</v>
      </c>
      <c r="G1213" s="9" t="s">
        <v>3388</v>
      </c>
      <c r="H1213" s="9" t="s">
        <v>3389</v>
      </c>
      <c r="I1213" s="10">
        <v>45562</v>
      </c>
    </row>
    <row r="1214" spans="1:9" x14ac:dyDescent="0.15">
      <c r="A1214" s="9">
        <v>1213</v>
      </c>
      <c r="B1214" s="9" t="s">
        <v>9</v>
      </c>
      <c r="C1214" s="9">
        <v>1916</v>
      </c>
      <c r="D1214" s="10">
        <v>45646</v>
      </c>
      <c r="E1214" s="13" t="str">
        <f>+HYPERLINK("http://trademark.i-assist.jp/data/china/image_1916th/81146184.pdf","81146184")</f>
        <v>81146184</v>
      </c>
      <c r="F1214" s="9" t="s">
        <v>3390</v>
      </c>
      <c r="G1214" s="9" t="s">
        <v>3391</v>
      </c>
      <c r="H1214" s="9" t="s">
        <v>3392</v>
      </c>
      <c r="I1214" s="10">
        <v>45562</v>
      </c>
    </row>
    <row r="1215" spans="1:9" x14ac:dyDescent="0.15">
      <c r="A1215" s="9">
        <v>1214</v>
      </c>
      <c r="B1215" s="9" t="s">
        <v>9</v>
      </c>
      <c r="C1215" s="9">
        <v>1916</v>
      </c>
      <c r="D1215" s="10">
        <v>45646</v>
      </c>
      <c r="E1215" s="13" t="str">
        <f>+HYPERLINK("http://trademark.i-assist.jp/data/china/image_1916th/81146656.pdf","81146656")</f>
        <v>81146656</v>
      </c>
      <c r="F1215" s="9" t="s">
        <v>3393</v>
      </c>
      <c r="G1215" s="9" t="s">
        <v>3394</v>
      </c>
      <c r="H1215" s="9" t="s">
        <v>3395</v>
      </c>
      <c r="I1215" s="10">
        <v>45562</v>
      </c>
    </row>
    <row r="1216" spans="1:9" x14ac:dyDescent="0.15">
      <c r="A1216" s="9">
        <v>1215</v>
      </c>
      <c r="B1216" s="9" t="s">
        <v>9</v>
      </c>
      <c r="C1216" s="9">
        <v>1916</v>
      </c>
      <c r="D1216" s="10">
        <v>45646</v>
      </c>
      <c r="E1216" s="13" t="str">
        <f>+HYPERLINK("http://trademark.i-assist.jp/data/china/image_1916th/81146893.pdf","81146893")</f>
        <v>81146893</v>
      </c>
      <c r="F1216" s="12" t="s">
        <v>3396</v>
      </c>
      <c r="G1216" s="9" t="s">
        <v>3397</v>
      </c>
      <c r="H1216" s="9" t="s">
        <v>3398</v>
      </c>
      <c r="I1216" s="10">
        <v>45562</v>
      </c>
    </row>
    <row r="1217" spans="1:9" x14ac:dyDescent="0.15">
      <c r="A1217" s="9">
        <v>1216</v>
      </c>
      <c r="B1217" s="9" t="s">
        <v>9</v>
      </c>
      <c r="C1217" s="9">
        <v>1916</v>
      </c>
      <c r="D1217" s="10">
        <v>45646</v>
      </c>
      <c r="E1217" s="13" t="str">
        <f>+HYPERLINK("http://trademark.i-assist.jp/data/china/image_1916th/81147216.pdf","81147216")</f>
        <v>81147216</v>
      </c>
      <c r="F1217" s="9" t="s">
        <v>3399</v>
      </c>
      <c r="G1217" s="9" t="s">
        <v>3400</v>
      </c>
      <c r="H1217" s="9" t="s">
        <v>3401</v>
      </c>
      <c r="I1217" s="10">
        <v>45562</v>
      </c>
    </row>
    <row r="1218" spans="1:9" x14ac:dyDescent="0.15">
      <c r="A1218" s="9">
        <v>1217</v>
      </c>
      <c r="B1218" s="9" t="s">
        <v>9</v>
      </c>
      <c r="C1218" s="9">
        <v>1916</v>
      </c>
      <c r="D1218" s="10">
        <v>45646</v>
      </c>
      <c r="E1218" s="13" t="str">
        <f>+HYPERLINK("http://trademark.i-assist.jp/data/china/image_1916th/81147334.pdf","81147334")</f>
        <v>81147334</v>
      </c>
      <c r="F1218" s="9" t="s">
        <v>3402</v>
      </c>
      <c r="G1218" s="12" t="s">
        <v>3403</v>
      </c>
      <c r="H1218" s="9" t="s">
        <v>3404</v>
      </c>
      <c r="I1218" s="10">
        <v>45562</v>
      </c>
    </row>
    <row r="1219" spans="1:9" x14ac:dyDescent="0.15">
      <c r="A1219" s="9">
        <v>1218</v>
      </c>
      <c r="B1219" s="9" t="s">
        <v>9</v>
      </c>
      <c r="C1219" s="9">
        <v>1916</v>
      </c>
      <c r="D1219" s="10">
        <v>45646</v>
      </c>
      <c r="E1219" s="13" t="str">
        <f>+HYPERLINK("http://trademark.i-assist.jp/data/china/image_1916th/81147459.pdf","81147459")</f>
        <v>81147459</v>
      </c>
      <c r="F1219" s="9" t="s">
        <v>3405</v>
      </c>
      <c r="G1219" s="9" t="s">
        <v>3406</v>
      </c>
      <c r="H1219" s="9" t="s">
        <v>3407</v>
      </c>
      <c r="I1219" s="10">
        <v>45562</v>
      </c>
    </row>
    <row r="1220" spans="1:9" x14ac:dyDescent="0.15">
      <c r="A1220" s="9">
        <v>1219</v>
      </c>
      <c r="B1220" s="9" t="s">
        <v>9</v>
      </c>
      <c r="C1220" s="9">
        <v>1916</v>
      </c>
      <c r="D1220" s="10">
        <v>45646</v>
      </c>
      <c r="E1220" s="13" t="str">
        <f>+HYPERLINK("http://trademark.i-assist.jp/data/china/image_1916th/81147556.pdf","81147556")</f>
        <v>81147556</v>
      </c>
      <c r="F1220" s="12" t="s">
        <v>3408</v>
      </c>
      <c r="G1220" s="9" t="s">
        <v>3409</v>
      </c>
      <c r="H1220" s="12" t="s">
        <v>3410</v>
      </c>
      <c r="I1220" s="10">
        <v>45562</v>
      </c>
    </row>
    <row r="1221" spans="1:9" x14ac:dyDescent="0.15">
      <c r="A1221" s="9">
        <v>1220</v>
      </c>
      <c r="B1221" s="9" t="s">
        <v>9</v>
      </c>
      <c r="C1221" s="9">
        <v>1916</v>
      </c>
      <c r="D1221" s="10">
        <v>45646</v>
      </c>
      <c r="E1221" s="13" t="str">
        <f>+HYPERLINK("http://trademark.i-assist.jp/data/china/image_1916th/81147868.pdf","81147868")</f>
        <v>81147868</v>
      </c>
      <c r="F1221" s="9" t="s">
        <v>3411</v>
      </c>
      <c r="G1221" s="12" t="s">
        <v>3412</v>
      </c>
      <c r="H1221" s="9" t="s">
        <v>3413</v>
      </c>
      <c r="I1221" s="10">
        <v>45562</v>
      </c>
    </row>
    <row r="1222" spans="1:9" x14ac:dyDescent="0.15">
      <c r="A1222" s="9">
        <v>1221</v>
      </c>
      <c r="B1222" s="9" t="s">
        <v>9</v>
      </c>
      <c r="C1222" s="9">
        <v>1916</v>
      </c>
      <c r="D1222" s="10">
        <v>45646</v>
      </c>
      <c r="E1222" s="13" t="str">
        <f>+HYPERLINK("http://trademark.i-assist.jp/data/china/image_1916th/81148050.pdf","81148050")</f>
        <v>81148050</v>
      </c>
      <c r="F1222" s="9" t="s">
        <v>3414</v>
      </c>
      <c r="G1222" s="12" t="s">
        <v>3415</v>
      </c>
      <c r="H1222" s="9" t="s">
        <v>3416</v>
      </c>
      <c r="I1222" s="10">
        <v>45562</v>
      </c>
    </row>
    <row r="1223" spans="1:9" x14ac:dyDescent="0.15">
      <c r="A1223" s="9">
        <v>1222</v>
      </c>
      <c r="B1223" s="9" t="s">
        <v>9</v>
      </c>
      <c r="C1223" s="9">
        <v>1916</v>
      </c>
      <c r="D1223" s="10">
        <v>45646</v>
      </c>
      <c r="E1223" s="13" t="str">
        <f>+HYPERLINK("http://trademark.i-assist.jp/data/china/image_1916th/81148447.pdf","81148447")</f>
        <v>81148447</v>
      </c>
      <c r="F1223" s="9" t="s">
        <v>3417</v>
      </c>
      <c r="G1223" s="12" t="s">
        <v>21</v>
      </c>
      <c r="H1223" s="9" t="s">
        <v>3418</v>
      </c>
      <c r="I1223" s="10">
        <v>45562</v>
      </c>
    </row>
    <row r="1224" spans="1:9" x14ac:dyDescent="0.15">
      <c r="A1224" s="9">
        <v>1223</v>
      </c>
      <c r="B1224" s="9" t="s">
        <v>9</v>
      </c>
      <c r="C1224" s="9">
        <v>1916</v>
      </c>
      <c r="D1224" s="10">
        <v>45646</v>
      </c>
      <c r="E1224" s="13" t="str">
        <f>+HYPERLINK("http://trademark.i-assist.jp/data/china/image_1916th/81148498.pdf","81148498")</f>
        <v>81148498</v>
      </c>
      <c r="F1224" s="12" t="s">
        <v>3419</v>
      </c>
      <c r="G1224" s="9" t="s">
        <v>3420</v>
      </c>
      <c r="H1224" s="9" t="s">
        <v>3421</v>
      </c>
      <c r="I1224" s="10">
        <v>45562</v>
      </c>
    </row>
    <row r="1225" spans="1:9" x14ac:dyDescent="0.15">
      <c r="A1225" s="9">
        <v>1224</v>
      </c>
      <c r="B1225" s="9" t="s">
        <v>9</v>
      </c>
      <c r="C1225" s="9">
        <v>1916</v>
      </c>
      <c r="D1225" s="10">
        <v>45646</v>
      </c>
      <c r="E1225" s="13" t="str">
        <f>+HYPERLINK("http://trademark.i-assist.jp/data/china/image_1916th/81148767.pdf","81148767")</f>
        <v>81148767</v>
      </c>
      <c r="F1225" s="9" t="s">
        <v>3422</v>
      </c>
      <c r="G1225" s="12" t="s">
        <v>3423</v>
      </c>
      <c r="H1225" s="9" t="s">
        <v>3424</v>
      </c>
      <c r="I1225" s="10">
        <v>45562</v>
      </c>
    </row>
    <row r="1226" spans="1:9" x14ac:dyDescent="0.15">
      <c r="A1226" s="9">
        <v>1225</v>
      </c>
      <c r="B1226" s="9" t="s">
        <v>9</v>
      </c>
      <c r="C1226" s="9">
        <v>1916</v>
      </c>
      <c r="D1226" s="10">
        <v>45646</v>
      </c>
      <c r="E1226" s="13" t="str">
        <f>+HYPERLINK("http://trademark.i-assist.jp/data/china/image_1916th/81148847.pdf","81148847")</f>
        <v>81148847</v>
      </c>
      <c r="F1226" s="9" t="s">
        <v>3425</v>
      </c>
      <c r="G1226" s="12" t="s">
        <v>3426</v>
      </c>
      <c r="H1226" s="9" t="s">
        <v>3427</v>
      </c>
      <c r="I1226" s="10">
        <v>45562</v>
      </c>
    </row>
    <row r="1227" spans="1:9" x14ac:dyDescent="0.15">
      <c r="A1227" s="9">
        <v>1226</v>
      </c>
      <c r="B1227" s="9" t="s">
        <v>9</v>
      </c>
      <c r="C1227" s="9">
        <v>1916</v>
      </c>
      <c r="D1227" s="10">
        <v>45646</v>
      </c>
      <c r="E1227" s="13" t="str">
        <f>+HYPERLINK("http://trademark.i-assist.jp/data/china/image_1916th/81148935.pdf","81148935")</f>
        <v>81148935</v>
      </c>
      <c r="F1227" s="9" t="s">
        <v>3428</v>
      </c>
      <c r="G1227" s="9" t="s">
        <v>3388</v>
      </c>
      <c r="H1227" s="9" t="s">
        <v>3429</v>
      </c>
      <c r="I1227" s="10">
        <v>45562</v>
      </c>
    </row>
    <row r="1228" spans="1:9" x14ac:dyDescent="0.15">
      <c r="A1228" s="9">
        <v>1227</v>
      </c>
      <c r="B1228" s="9" t="s">
        <v>9</v>
      </c>
      <c r="C1228" s="9">
        <v>1916</v>
      </c>
      <c r="D1228" s="10">
        <v>45646</v>
      </c>
      <c r="E1228" s="13" t="str">
        <f>+HYPERLINK("http://trademark.i-assist.jp/data/china/image_1916th/81148945.pdf","81148945")</f>
        <v>81148945</v>
      </c>
      <c r="F1228" s="12" t="s">
        <v>3430</v>
      </c>
      <c r="G1228" s="9" t="s">
        <v>3431</v>
      </c>
      <c r="H1228" s="9" t="s">
        <v>3432</v>
      </c>
      <c r="I1228" s="10">
        <v>45562</v>
      </c>
    </row>
    <row r="1229" spans="1:9" x14ac:dyDescent="0.15">
      <c r="A1229" s="9">
        <v>1228</v>
      </c>
      <c r="B1229" s="9" t="s">
        <v>9</v>
      </c>
      <c r="C1229" s="9">
        <v>1916</v>
      </c>
      <c r="D1229" s="10">
        <v>45646</v>
      </c>
      <c r="E1229" s="13" t="str">
        <f>+HYPERLINK("http://trademark.i-assist.jp/data/china/image_1916th/81149111.pdf","81149111")</f>
        <v>81149111</v>
      </c>
      <c r="F1229" s="9" t="s">
        <v>3433</v>
      </c>
      <c r="G1229" s="12" t="s">
        <v>3434</v>
      </c>
      <c r="H1229" s="9" t="s">
        <v>3435</v>
      </c>
      <c r="I1229" s="10">
        <v>45562</v>
      </c>
    </row>
    <row r="1230" spans="1:9" x14ac:dyDescent="0.15">
      <c r="A1230" s="9">
        <v>1229</v>
      </c>
      <c r="B1230" s="9" t="s">
        <v>9</v>
      </c>
      <c r="C1230" s="9">
        <v>1916</v>
      </c>
      <c r="D1230" s="10">
        <v>45646</v>
      </c>
      <c r="E1230" s="13" t="str">
        <f>+HYPERLINK("http://trademark.i-assist.jp/data/china/image_1916th/81150200.pdf","81150200")</f>
        <v>81150200</v>
      </c>
      <c r="F1230" s="9" t="s">
        <v>3436</v>
      </c>
      <c r="G1230" s="12" t="s">
        <v>3437</v>
      </c>
      <c r="H1230" s="9" t="s">
        <v>3438</v>
      </c>
      <c r="I1230" s="10">
        <v>45562</v>
      </c>
    </row>
    <row r="1231" spans="1:9" x14ac:dyDescent="0.15">
      <c r="A1231" s="9">
        <v>1230</v>
      </c>
      <c r="B1231" s="9" t="s">
        <v>9</v>
      </c>
      <c r="C1231" s="9">
        <v>1916</v>
      </c>
      <c r="D1231" s="10">
        <v>45646</v>
      </c>
      <c r="E1231" s="13" t="str">
        <f>+HYPERLINK("http://trademark.i-assist.jp/data/china/image_1916th/81150766.pdf","81150766")</f>
        <v>81150766</v>
      </c>
      <c r="F1231" s="9" t="s">
        <v>3439</v>
      </c>
      <c r="G1231" s="9" t="s">
        <v>51</v>
      </c>
      <c r="H1231" s="9" t="s">
        <v>3440</v>
      </c>
      <c r="I1231" s="10">
        <v>45562</v>
      </c>
    </row>
    <row r="1232" spans="1:9" x14ac:dyDescent="0.15">
      <c r="A1232" s="9">
        <v>1231</v>
      </c>
      <c r="B1232" s="9" t="s">
        <v>9</v>
      </c>
      <c r="C1232" s="9">
        <v>1916</v>
      </c>
      <c r="D1232" s="10">
        <v>45646</v>
      </c>
      <c r="E1232" s="13" t="str">
        <f>+HYPERLINK("http://trademark.i-assist.jp/data/china/image_1916th/81150811.pdf","81150811")</f>
        <v>81150811</v>
      </c>
      <c r="F1232" s="9" t="s">
        <v>3441</v>
      </c>
      <c r="G1232" s="9" t="s">
        <v>3442</v>
      </c>
      <c r="H1232" s="9" t="s">
        <v>3443</v>
      </c>
      <c r="I1232" s="10">
        <v>45562</v>
      </c>
    </row>
    <row r="1233" spans="1:9" x14ac:dyDescent="0.15">
      <c r="A1233" s="9">
        <v>1232</v>
      </c>
      <c r="B1233" s="9" t="s">
        <v>9</v>
      </c>
      <c r="C1233" s="9">
        <v>1916</v>
      </c>
      <c r="D1233" s="10">
        <v>45646</v>
      </c>
      <c r="E1233" s="13" t="str">
        <f>+HYPERLINK("http://trademark.i-assist.jp/data/china/image_1916th/81150927.pdf","81150927")</f>
        <v>81150927</v>
      </c>
      <c r="F1233" s="9" t="s">
        <v>3444</v>
      </c>
      <c r="G1233" s="9" t="s">
        <v>73</v>
      </c>
      <c r="H1233" s="9" t="s">
        <v>3445</v>
      </c>
      <c r="I1233" s="10">
        <v>45562</v>
      </c>
    </row>
    <row r="1234" spans="1:9" x14ac:dyDescent="0.15">
      <c r="A1234" s="9">
        <v>1233</v>
      </c>
      <c r="B1234" s="9" t="s">
        <v>9</v>
      </c>
      <c r="C1234" s="9">
        <v>1916</v>
      </c>
      <c r="D1234" s="10">
        <v>45646</v>
      </c>
      <c r="E1234" s="13" t="str">
        <f>+HYPERLINK("http://trademark.i-assist.jp/data/china/image_1916th/81151134.pdf","81151134")</f>
        <v>81151134</v>
      </c>
      <c r="F1234" s="12" t="s">
        <v>3446</v>
      </c>
      <c r="G1234" s="9" t="s">
        <v>3447</v>
      </c>
      <c r="H1234" s="9" t="s">
        <v>3448</v>
      </c>
      <c r="I1234" s="10">
        <v>45562</v>
      </c>
    </row>
    <row r="1235" spans="1:9" x14ac:dyDescent="0.15">
      <c r="A1235" s="9">
        <v>1234</v>
      </c>
      <c r="B1235" s="9" t="s">
        <v>9</v>
      </c>
      <c r="C1235" s="9">
        <v>1916</v>
      </c>
      <c r="D1235" s="10">
        <v>45646</v>
      </c>
      <c r="E1235" s="13" t="str">
        <f>+HYPERLINK("http://trademark.i-assist.jp/data/china/image_1916th/81151583.pdf","81151583")</f>
        <v>81151583</v>
      </c>
      <c r="F1235" s="9" t="s">
        <v>3449</v>
      </c>
      <c r="G1235" s="9" t="s">
        <v>3368</v>
      </c>
      <c r="H1235" s="9" t="s">
        <v>3450</v>
      </c>
      <c r="I1235" s="10">
        <v>45562</v>
      </c>
    </row>
    <row r="1236" spans="1:9" x14ac:dyDescent="0.15">
      <c r="A1236" s="9">
        <v>1235</v>
      </c>
      <c r="B1236" s="9" t="s">
        <v>9</v>
      </c>
      <c r="C1236" s="9">
        <v>1916</v>
      </c>
      <c r="D1236" s="10">
        <v>45646</v>
      </c>
      <c r="E1236" s="13" t="str">
        <f>+HYPERLINK("http://trademark.i-assist.jp/data/china/image_1916th/81151949.pdf","81151949")</f>
        <v>81151949</v>
      </c>
      <c r="F1236" s="9" t="s">
        <v>3451</v>
      </c>
      <c r="G1236" s="9" t="s">
        <v>10</v>
      </c>
      <c r="H1236" s="9" t="s">
        <v>3452</v>
      </c>
      <c r="I1236" s="10">
        <v>45562</v>
      </c>
    </row>
    <row r="1237" spans="1:9" x14ac:dyDescent="0.15">
      <c r="A1237" s="9">
        <v>1236</v>
      </c>
      <c r="B1237" s="9" t="s">
        <v>9</v>
      </c>
      <c r="C1237" s="9">
        <v>1916</v>
      </c>
      <c r="D1237" s="10">
        <v>45646</v>
      </c>
      <c r="E1237" s="13" t="str">
        <f>+HYPERLINK("http://trademark.i-assist.jp/data/china/image_1916th/81152399.pdf","81152399")</f>
        <v>81152399</v>
      </c>
      <c r="F1237" s="12" t="s">
        <v>13</v>
      </c>
      <c r="G1237" s="9" t="s">
        <v>3453</v>
      </c>
      <c r="H1237" s="9" t="s">
        <v>3454</v>
      </c>
      <c r="I1237" s="10">
        <v>45562</v>
      </c>
    </row>
    <row r="1238" spans="1:9" x14ac:dyDescent="0.15">
      <c r="A1238" s="9">
        <v>1237</v>
      </c>
      <c r="B1238" s="9" t="s">
        <v>9</v>
      </c>
      <c r="C1238" s="9">
        <v>1916</v>
      </c>
      <c r="D1238" s="10">
        <v>45646</v>
      </c>
      <c r="E1238" s="13" t="str">
        <f>+HYPERLINK("http://trademark.i-assist.jp/data/china/image_1916th/81152851.pdf","81152851")</f>
        <v>81152851</v>
      </c>
      <c r="F1238" s="9" t="s">
        <v>3455</v>
      </c>
      <c r="G1238" s="9" t="s">
        <v>3172</v>
      </c>
      <c r="H1238" s="9" t="s">
        <v>3456</v>
      </c>
      <c r="I1238" s="10">
        <v>45562</v>
      </c>
    </row>
    <row r="1239" spans="1:9" x14ac:dyDescent="0.15">
      <c r="A1239" s="9">
        <v>1238</v>
      </c>
      <c r="B1239" s="9" t="s">
        <v>9</v>
      </c>
      <c r="C1239" s="9">
        <v>1916</v>
      </c>
      <c r="D1239" s="10">
        <v>45646</v>
      </c>
      <c r="E1239" s="13" t="str">
        <f>+HYPERLINK("http://trademark.i-assist.jp/data/china/image_1916th/81153030.pdf","81153030")</f>
        <v>81153030</v>
      </c>
      <c r="F1239" s="9" t="s">
        <v>3457</v>
      </c>
      <c r="G1239" s="9" t="s">
        <v>3458</v>
      </c>
      <c r="H1239" s="9" t="s">
        <v>3459</v>
      </c>
      <c r="I1239" s="10">
        <v>45562</v>
      </c>
    </row>
    <row r="1240" spans="1:9" x14ac:dyDescent="0.15">
      <c r="A1240" s="9">
        <v>1239</v>
      </c>
      <c r="B1240" s="9" t="s">
        <v>9</v>
      </c>
      <c r="C1240" s="9">
        <v>1916</v>
      </c>
      <c r="D1240" s="10">
        <v>45646</v>
      </c>
      <c r="E1240" s="13" t="str">
        <f>+HYPERLINK("http://trademark.i-assist.jp/data/china/image_1916th/81153100.pdf","81153100")</f>
        <v>81153100</v>
      </c>
      <c r="F1240" s="12" t="s">
        <v>13</v>
      </c>
      <c r="G1240" s="12" t="s">
        <v>3460</v>
      </c>
      <c r="H1240" s="9" t="s">
        <v>3461</v>
      </c>
      <c r="I1240" s="10">
        <v>45562</v>
      </c>
    </row>
    <row r="1241" spans="1:9" x14ac:dyDescent="0.15">
      <c r="A1241" s="9">
        <v>1240</v>
      </c>
      <c r="B1241" s="9" t="s">
        <v>9</v>
      </c>
      <c r="C1241" s="9">
        <v>1916</v>
      </c>
      <c r="D1241" s="10">
        <v>45646</v>
      </c>
      <c r="E1241" s="13" t="str">
        <f>+HYPERLINK("http://trademark.i-assist.jp/data/china/image_1916th/81153969.pdf","81153969")</f>
        <v>81153969</v>
      </c>
      <c r="F1241" s="12" t="s">
        <v>3462</v>
      </c>
      <c r="G1241" s="9" t="s">
        <v>1347</v>
      </c>
      <c r="H1241" s="9" t="s">
        <v>3463</v>
      </c>
      <c r="I1241" s="10">
        <v>45562</v>
      </c>
    </row>
    <row r="1242" spans="1:9" x14ac:dyDescent="0.15">
      <c r="A1242" s="9">
        <v>1241</v>
      </c>
      <c r="B1242" s="9" t="s">
        <v>9</v>
      </c>
      <c r="C1242" s="9">
        <v>1916</v>
      </c>
      <c r="D1242" s="10">
        <v>45646</v>
      </c>
      <c r="E1242" s="13" t="str">
        <f>+HYPERLINK("http://trademark.i-assist.jp/data/china/image_1916th/81154000.pdf","81154000")</f>
        <v>81154000</v>
      </c>
      <c r="F1242" s="9" t="s">
        <v>3464</v>
      </c>
      <c r="G1242" s="12" t="s">
        <v>3465</v>
      </c>
      <c r="H1242" s="9" t="s">
        <v>3466</v>
      </c>
      <c r="I1242" s="10">
        <v>45562</v>
      </c>
    </row>
    <row r="1243" spans="1:9" x14ac:dyDescent="0.15">
      <c r="A1243" s="9">
        <v>1242</v>
      </c>
      <c r="B1243" s="9" t="s">
        <v>9</v>
      </c>
      <c r="C1243" s="9">
        <v>1916</v>
      </c>
      <c r="D1243" s="10">
        <v>45646</v>
      </c>
      <c r="E1243" s="13" t="str">
        <f>+HYPERLINK("http://trademark.i-assist.jp/data/china/image_1916th/81154069.pdf","81154069")</f>
        <v>81154069</v>
      </c>
      <c r="F1243" s="9" t="s">
        <v>3467</v>
      </c>
      <c r="G1243" s="12" t="s">
        <v>3468</v>
      </c>
      <c r="H1243" s="9" t="s">
        <v>3469</v>
      </c>
      <c r="I1243" s="10">
        <v>45562</v>
      </c>
    </row>
    <row r="1244" spans="1:9" x14ac:dyDescent="0.15">
      <c r="A1244" s="9">
        <v>1243</v>
      </c>
      <c r="B1244" s="9" t="s">
        <v>9</v>
      </c>
      <c r="C1244" s="9">
        <v>1916</v>
      </c>
      <c r="D1244" s="10">
        <v>45646</v>
      </c>
      <c r="E1244" s="13" t="str">
        <f>+HYPERLINK("http://trademark.i-assist.jp/data/china/image_1916th/81154137.pdf","81154137")</f>
        <v>81154137</v>
      </c>
      <c r="F1244" s="12" t="s">
        <v>13</v>
      </c>
      <c r="G1244" s="9" t="s">
        <v>3470</v>
      </c>
      <c r="H1244" s="9" t="s">
        <v>3471</v>
      </c>
      <c r="I1244" s="10">
        <v>45562</v>
      </c>
    </row>
    <row r="1245" spans="1:9" x14ac:dyDescent="0.15">
      <c r="A1245" s="9">
        <v>1244</v>
      </c>
      <c r="B1245" s="9" t="s">
        <v>9</v>
      </c>
      <c r="C1245" s="9">
        <v>1916</v>
      </c>
      <c r="D1245" s="10">
        <v>45646</v>
      </c>
      <c r="E1245" s="13" t="str">
        <f>+HYPERLINK("http://trademark.i-assist.jp/data/china/image_1916th/81154431.pdf","81154431")</f>
        <v>81154431</v>
      </c>
      <c r="F1245" s="9" t="s">
        <v>3472</v>
      </c>
      <c r="G1245" s="12" t="s">
        <v>3473</v>
      </c>
      <c r="H1245" s="9" t="s">
        <v>3474</v>
      </c>
      <c r="I1245" s="10">
        <v>45562</v>
      </c>
    </row>
    <row r="1246" spans="1:9" x14ac:dyDescent="0.15">
      <c r="A1246" s="9">
        <v>1245</v>
      </c>
      <c r="B1246" s="9" t="s">
        <v>9</v>
      </c>
      <c r="C1246" s="9">
        <v>1916</v>
      </c>
      <c r="D1246" s="10">
        <v>45646</v>
      </c>
      <c r="E1246" s="13" t="str">
        <f>+HYPERLINK("http://trademark.i-assist.jp/data/china/image_1916th/81154569.pdf","81154569")</f>
        <v>81154569</v>
      </c>
      <c r="F1246" s="9" t="s">
        <v>3475</v>
      </c>
      <c r="G1246" s="9" t="s">
        <v>3476</v>
      </c>
      <c r="H1246" s="9" t="s">
        <v>3477</v>
      </c>
      <c r="I1246" s="10">
        <v>45562</v>
      </c>
    </row>
    <row r="1247" spans="1:9" x14ac:dyDescent="0.15">
      <c r="A1247" s="9">
        <v>1246</v>
      </c>
      <c r="B1247" s="9" t="s">
        <v>9</v>
      </c>
      <c r="C1247" s="9">
        <v>1916</v>
      </c>
      <c r="D1247" s="10">
        <v>45646</v>
      </c>
      <c r="E1247" s="13" t="str">
        <f>+HYPERLINK("http://trademark.i-assist.jp/data/china/image_1916th/81154822.pdf","81154822")</f>
        <v>81154822</v>
      </c>
      <c r="F1247" s="9" t="s">
        <v>3478</v>
      </c>
      <c r="G1247" s="9" t="s">
        <v>3479</v>
      </c>
      <c r="H1247" s="9" t="s">
        <v>3480</v>
      </c>
      <c r="I1247" s="10">
        <v>45562</v>
      </c>
    </row>
    <row r="1248" spans="1:9" x14ac:dyDescent="0.15">
      <c r="A1248" s="9">
        <v>1247</v>
      </c>
      <c r="B1248" s="9" t="s">
        <v>9</v>
      </c>
      <c r="C1248" s="9">
        <v>1916</v>
      </c>
      <c r="D1248" s="10">
        <v>45646</v>
      </c>
      <c r="E1248" s="13" t="str">
        <f>+HYPERLINK("http://trademark.i-assist.jp/data/china/image_1916th/81155180.pdf","81155180")</f>
        <v>81155180</v>
      </c>
      <c r="F1248" s="12" t="s">
        <v>3481</v>
      </c>
      <c r="G1248" s="9" t="s">
        <v>3482</v>
      </c>
      <c r="H1248" s="9" t="s">
        <v>3483</v>
      </c>
      <c r="I1248" s="10">
        <v>45562</v>
      </c>
    </row>
    <row r="1249" spans="1:9" x14ac:dyDescent="0.15">
      <c r="A1249" s="9">
        <v>1248</v>
      </c>
      <c r="B1249" s="9" t="s">
        <v>9</v>
      </c>
      <c r="C1249" s="9">
        <v>1916</v>
      </c>
      <c r="D1249" s="10">
        <v>45646</v>
      </c>
      <c r="E1249" s="13" t="str">
        <f>+HYPERLINK("http://trademark.i-assist.jp/data/china/image_1916th/81155482.pdf","81155482")</f>
        <v>81155482</v>
      </c>
      <c r="F1249" s="12" t="s">
        <v>3484</v>
      </c>
      <c r="G1249" s="9" t="s">
        <v>3485</v>
      </c>
      <c r="H1249" s="9" t="s">
        <v>3486</v>
      </c>
      <c r="I1249" s="10">
        <v>45562</v>
      </c>
    </row>
    <row r="1250" spans="1:9" x14ac:dyDescent="0.15">
      <c r="A1250" s="9">
        <v>1249</v>
      </c>
      <c r="B1250" s="9" t="s">
        <v>9</v>
      </c>
      <c r="C1250" s="9">
        <v>1916</v>
      </c>
      <c r="D1250" s="10">
        <v>45646</v>
      </c>
      <c r="E1250" s="13" t="str">
        <f>+HYPERLINK("http://trademark.i-assist.jp/data/china/image_1916th/81155758.pdf","81155758")</f>
        <v>81155758</v>
      </c>
      <c r="F1250" s="12" t="s">
        <v>3487</v>
      </c>
      <c r="G1250" s="12" t="s">
        <v>3488</v>
      </c>
      <c r="H1250" s="9" t="s">
        <v>3489</v>
      </c>
      <c r="I1250" s="10">
        <v>45562</v>
      </c>
    </row>
    <row r="1251" spans="1:9" x14ac:dyDescent="0.15">
      <c r="A1251" s="9">
        <v>1250</v>
      </c>
      <c r="B1251" s="9" t="s">
        <v>9</v>
      </c>
      <c r="C1251" s="9">
        <v>1916</v>
      </c>
      <c r="D1251" s="10">
        <v>45646</v>
      </c>
      <c r="E1251" s="13" t="str">
        <f>+HYPERLINK("http://trademark.i-assist.jp/data/china/image_1916th/81156188.pdf","81156188")</f>
        <v>81156188</v>
      </c>
      <c r="F1251" s="9" t="s">
        <v>3490</v>
      </c>
      <c r="G1251" s="12" t="s">
        <v>3491</v>
      </c>
      <c r="H1251" s="9" t="s">
        <v>3492</v>
      </c>
      <c r="I1251" s="10">
        <v>45562</v>
      </c>
    </row>
    <row r="1252" spans="1:9" x14ac:dyDescent="0.15">
      <c r="A1252" s="9">
        <v>1251</v>
      </c>
      <c r="B1252" s="9" t="s">
        <v>9</v>
      </c>
      <c r="C1252" s="9">
        <v>1916</v>
      </c>
      <c r="D1252" s="10">
        <v>45646</v>
      </c>
      <c r="E1252" s="13" t="str">
        <f>+HYPERLINK("http://trademark.i-assist.jp/data/china/image_1916th/81156341.pdf","81156341")</f>
        <v>81156341</v>
      </c>
      <c r="F1252" s="9" t="s">
        <v>3493</v>
      </c>
      <c r="G1252" s="12" t="s">
        <v>3426</v>
      </c>
      <c r="H1252" s="9" t="s">
        <v>3494</v>
      </c>
      <c r="I1252" s="10">
        <v>45562</v>
      </c>
    </row>
    <row r="1253" spans="1:9" x14ac:dyDescent="0.15">
      <c r="A1253" s="9">
        <v>1252</v>
      </c>
      <c r="B1253" s="9" t="s">
        <v>9</v>
      </c>
      <c r="C1253" s="9">
        <v>1916</v>
      </c>
      <c r="D1253" s="10">
        <v>45646</v>
      </c>
      <c r="E1253" s="13" t="str">
        <f>+HYPERLINK("http://trademark.i-assist.jp/data/china/image_1916th/81157468.pdf","81157468")</f>
        <v>81157468</v>
      </c>
      <c r="F1253" s="9" t="s">
        <v>3495</v>
      </c>
      <c r="G1253" s="9" t="s">
        <v>3496</v>
      </c>
      <c r="H1253" s="9" t="s">
        <v>3497</v>
      </c>
      <c r="I1253" s="10">
        <v>45562</v>
      </c>
    </row>
    <row r="1254" spans="1:9" x14ac:dyDescent="0.15">
      <c r="A1254" s="9">
        <v>1253</v>
      </c>
      <c r="B1254" s="9" t="s">
        <v>9</v>
      </c>
      <c r="C1254" s="9">
        <v>1916</v>
      </c>
      <c r="D1254" s="10">
        <v>45646</v>
      </c>
      <c r="E1254" s="13" t="str">
        <f>+HYPERLINK("http://trademark.i-assist.jp/data/china/image_1916th/81157774.pdf","81157774")</f>
        <v>81157774</v>
      </c>
      <c r="F1254" s="9" t="s">
        <v>3498</v>
      </c>
      <c r="G1254" s="9" t="s">
        <v>3499</v>
      </c>
      <c r="H1254" s="12" t="s">
        <v>3500</v>
      </c>
      <c r="I1254" s="10">
        <v>45562</v>
      </c>
    </row>
    <row r="1255" spans="1:9" x14ac:dyDescent="0.15">
      <c r="A1255" s="9">
        <v>1254</v>
      </c>
      <c r="B1255" s="9" t="s">
        <v>9</v>
      </c>
      <c r="C1255" s="9">
        <v>1916</v>
      </c>
      <c r="D1255" s="10">
        <v>45646</v>
      </c>
      <c r="E1255" s="13" t="str">
        <f>+HYPERLINK("http://trademark.i-assist.jp/data/china/image_1916th/81157861.pdf","81157861")</f>
        <v>81157861</v>
      </c>
      <c r="F1255" s="9" t="s">
        <v>3501</v>
      </c>
      <c r="G1255" s="9" t="s">
        <v>3502</v>
      </c>
      <c r="H1255" s="12" t="s">
        <v>3503</v>
      </c>
      <c r="I1255" s="10">
        <v>45562</v>
      </c>
    </row>
    <row r="1256" spans="1:9" x14ac:dyDescent="0.15">
      <c r="A1256" s="9">
        <v>1255</v>
      </c>
      <c r="B1256" s="9" t="s">
        <v>9</v>
      </c>
      <c r="C1256" s="9">
        <v>1916</v>
      </c>
      <c r="D1256" s="10">
        <v>45646</v>
      </c>
      <c r="E1256" s="13" t="str">
        <f>+HYPERLINK("http://trademark.i-assist.jp/data/china/image_1916th/81158362.pdf","81158362")</f>
        <v>81158362</v>
      </c>
      <c r="F1256" s="12" t="s">
        <v>3504</v>
      </c>
      <c r="G1256" s="9" t="s">
        <v>3505</v>
      </c>
      <c r="H1256" s="9" t="s">
        <v>3506</v>
      </c>
      <c r="I1256" s="10">
        <v>45562</v>
      </c>
    </row>
    <row r="1257" spans="1:9" x14ac:dyDescent="0.15">
      <c r="A1257" s="9">
        <v>1256</v>
      </c>
      <c r="B1257" s="9" t="s">
        <v>9</v>
      </c>
      <c r="C1257" s="9">
        <v>1916</v>
      </c>
      <c r="D1257" s="10">
        <v>45646</v>
      </c>
      <c r="E1257" s="13" t="str">
        <f>+HYPERLINK("http://trademark.i-assist.jp/data/china/image_1916th/81158411.pdf","81158411")</f>
        <v>81158411</v>
      </c>
      <c r="F1257" s="12" t="s">
        <v>13</v>
      </c>
      <c r="G1257" s="9" t="s">
        <v>3507</v>
      </c>
      <c r="H1257" s="9" t="s">
        <v>3508</v>
      </c>
      <c r="I1257" s="10">
        <v>45562</v>
      </c>
    </row>
    <row r="1258" spans="1:9" x14ac:dyDescent="0.15">
      <c r="A1258" s="9">
        <v>1257</v>
      </c>
      <c r="B1258" s="9" t="s">
        <v>9</v>
      </c>
      <c r="C1258" s="9">
        <v>1916</v>
      </c>
      <c r="D1258" s="10">
        <v>45646</v>
      </c>
      <c r="E1258" s="13" t="str">
        <f>+HYPERLINK("http://trademark.i-assist.jp/data/china/image_1916th/81158918.pdf","81158918")</f>
        <v>81158918</v>
      </c>
      <c r="F1258" s="12" t="s">
        <v>13</v>
      </c>
      <c r="G1258" s="9" t="s">
        <v>3470</v>
      </c>
      <c r="H1258" s="9" t="s">
        <v>3509</v>
      </c>
      <c r="I1258" s="10">
        <v>45562</v>
      </c>
    </row>
    <row r="1259" spans="1:9" x14ac:dyDescent="0.15">
      <c r="A1259" s="9">
        <v>1258</v>
      </c>
      <c r="B1259" s="9" t="s">
        <v>9</v>
      </c>
      <c r="C1259" s="9">
        <v>1916</v>
      </c>
      <c r="D1259" s="10">
        <v>45646</v>
      </c>
      <c r="E1259" s="13" t="str">
        <f>+HYPERLINK("http://trademark.i-assist.jp/data/china/image_1916th/81159025.pdf","81159025")</f>
        <v>81159025</v>
      </c>
      <c r="F1259" s="9" t="s">
        <v>3510</v>
      </c>
      <c r="G1259" s="9" t="s">
        <v>3511</v>
      </c>
      <c r="H1259" s="9" t="s">
        <v>3512</v>
      </c>
      <c r="I1259" s="10">
        <v>45562</v>
      </c>
    </row>
    <row r="1260" spans="1:9" x14ac:dyDescent="0.15">
      <c r="A1260" s="9">
        <v>1259</v>
      </c>
      <c r="B1260" s="9" t="s">
        <v>9</v>
      </c>
      <c r="C1260" s="9">
        <v>1916</v>
      </c>
      <c r="D1260" s="10">
        <v>45646</v>
      </c>
      <c r="E1260" s="13" t="str">
        <f>+HYPERLINK("http://trademark.i-assist.jp/data/china/image_1916th/81159095.pdf","81159095")</f>
        <v>81159095</v>
      </c>
      <c r="F1260" s="9" t="s">
        <v>3513</v>
      </c>
      <c r="G1260" s="9" t="s">
        <v>3514</v>
      </c>
      <c r="H1260" s="12" t="s">
        <v>3515</v>
      </c>
      <c r="I1260" s="10">
        <v>45562</v>
      </c>
    </row>
    <row r="1261" spans="1:9" x14ac:dyDescent="0.15">
      <c r="A1261" s="9">
        <v>1260</v>
      </c>
      <c r="B1261" s="9" t="s">
        <v>9</v>
      </c>
      <c r="C1261" s="9">
        <v>1916</v>
      </c>
      <c r="D1261" s="10">
        <v>45646</v>
      </c>
      <c r="E1261" s="13" t="str">
        <f>+HYPERLINK("http://trademark.i-assist.jp/data/china/image_1916th/81159171.pdf","81159171")</f>
        <v>81159171</v>
      </c>
      <c r="F1261" s="9" t="s">
        <v>3516</v>
      </c>
      <c r="G1261" s="12" t="s">
        <v>2373</v>
      </c>
      <c r="H1261" s="9" t="s">
        <v>3517</v>
      </c>
      <c r="I1261" s="10">
        <v>45562</v>
      </c>
    </row>
    <row r="1262" spans="1:9" x14ac:dyDescent="0.15">
      <c r="A1262" s="9">
        <v>1261</v>
      </c>
      <c r="B1262" s="9" t="s">
        <v>9</v>
      </c>
      <c r="C1262" s="9">
        <v>1916</v>
      </c>
      <c r="D1262" s="10">
        <v>45646</v>
      </c>
      <c r="E1262" s="13" t="str">
        <f>+HYPERLINK("http://trademark.i-assist.jp/data/china/image_1916th/81159408.pdf","81159408")</f>
        <v>81159408</v>
      </c>
      <c r="F1262" s="9" t="s">
        <v>3518</v>
      </c>
      <c r="G1262" s="9" t="s">
        <v>3519</v>
      </c>
      <c r="H1262" s="9" t="s">
        <v>3520</v>
      </c>
      <c r="I1262" s="10">
        <v>45562</v>
      </c>
    </row>
    <row r="1263" spans="1:9" x14ac:dyDescent="0.15">
      <c r="A1263" s="9">
        <v>1262</v>
      </c>
      <c r="B1263" s="9" t="s">
        <v>9</v>
      </c>
      <c r="C1263" s="9">
        <v>1916</v>
      </c>
      <c r="D1263" s="10">
        <v>45646</v>
      </c>
      <c r="E1263" s="13" t="str">
        <f>+HYPERLINK("http://trademark.i-assist.jp/data/china/image_1916th/81159625.pdf","81159625")</f>
        <v>81159625</v>
      </c>
      <c r="F1263" s="12" t="s">
        <v>3521</v>
      </c>
      <c r="G1263" s="9" t="s">
        <v>3522</v>
      </c>
      <c r="H1263" s="9" t="s">
        <v>3523</v>
      </c>
      <c r="I1263" s="10">
        <v>45562</v>
      </c>
    </row>
    <row r="1264" spans="1:9" x14ac:dyDescent="0.15">
      <c r="A1264" s="9">
        <v>1263</v>
      </c>
      <c r="B1264" s="9" t="s">
        <v>9</v>
      </c>
      <c r="C1264" s="9">
        <v>1916</v>
      </c>
      <c r="D1264" s="10">
        <v>45646</v>
      </c>
      <c r="E1264" s="13" t="str">
        <f>+HYPERLINK("http://trademark.i-assist.jp/data/china/image_1916th/81160081.pdf","81160081")</f>
        <v>81160081</v>
      </c>
      <c r="F1264" s="9" t="s">
        <v>3524</v>
      </c>
      <c r="G1264" s="9" t="s">
        <v>3525</v>
      </c>
      <c r="H1264" s="9" t="s">
        <v>3526</v>
      </c>
      <c r="I1264" s="10">
        <v>45562</v>
      </c>
    </row>
    <row r="1265" spans="1:9" x14ac:dyDescent="0.15">
      <c r="A1265" s="9">
        <v>1264</v>
      </c>
      <c r="B1265" s="9" t="s">
        <v>9</v>
      </c>
      <c r="C1265" s="9">
        <v>1916</v>
      </c>
      <c r="D1265" s="10">
        <v>45646</v>
      </c>
      <c r="E1265" s="13" t="str">
        <f>+HYPERLINK("http://trademark.i-assist.jp/data/china/image_1916th/81160485.pdf","81160485")</f>
        <v>81160485</v>
      </c>
      <c r="F1265" s="9" t="s">
        <v>3527</v>
      </c>
      <c r="G1265" s="9" t="s">
        <v>3528</v>
      </c>
      <c r="H1265" s="9" t="s">
        <v>3529</v>
      </c>
      <c r="I1265" s="10">
        <v>45562</v>
      </c>
    </row>
    <row r="1266" spans="1:9" x14ac:dyDescent="0.15">
      <c r="A1266" s="9">
        <v>1265</v>
      </c>
      <c r="B1266" s="9" t="s">
        <v>9</v>
      </c>
      <c r="C1266" s="9">
        <v>1916</v>
      </c>
      <c r="D1266" s="10">
        <v>45646</v>
      </c>
      <c r="E1266" s="13" t="str">
        <f>+HYPERLINK("http://trademark.i-assist.jp/data/china/image_1916th/81160514.pdf","81160514")</f>
        <v>81160514</v>
      </c>
      <c r="F1266" s="9" t="s">
        <v>3530</v>
      </c>
      <c r="G1266" s="9" t="s">
        <v>3531</v>
      </c>
      <c r="H1266" s="9" t="s">
        <v>3532</v>
      </c>
      <c r="I1266" s="10">
        <v>45562</v>
      </c>
    </row>
    <row r="1267" spans="1:9" x14ac:dyDescent="0.15">
      <c r="A1267" s="9">
        <v>1266</v>
      </c>
      <c r="B1267" s="9" t="s">
        <v>9</v>
      </c>
      <c r="C1267" s="9">
        <v>1916</v>
      </c>
      <c r="D1267" s="10">
        <v>45646</v>
      </c>
      <c r="E1267" s="13" t="str">
        <f>+HYPERLINK("http://trademark.i-assist.jp/data/china/image_1916th/81160824.pdf","81160824")</f>
        <v>81160824</v>
      </c>
      <c r="F1267" s="9" t="s">
        <v>3533</v>
      </c>
      <c r="G1267" s="9" t="s">
        <v>3534</v>
      </c>
      <c r="H1267" s="9" t="s">
        <v>3535</v>
      </c>
      <c r="I1267" s="10">
        <v>45562</v>
      </c>
    </row>
    <row r="1268" spans="1:9" x14ac:dyDescent="0.15">
      <c r="A1268" s="9">
        <v>1267</v>
      </c>
      <c r="B1268" s="9" t="s">
        <v>9</v>
      </c>
      <c r="C1268" s="9">
        <v>1916</v>
      </c>
      <c r="D1268" s="10">
        <v>45646</v>
      </c>
      <c r="E1268" s="13" t="str">
        <f>+HYPERLINK("http://trademark.i-assist.jp/data/china/image_1916th/81161142.pdf","81161142")</f>
        <v>81161142</v>
      </c>
      <c r="F1268" s="9" t="s">
        <v>3536</v>
      </c>
      <c r="G1268" s="9" t="s">
        <v>3507</v>
      </c>
      <c r="H1268" s="9" t="s">
        <v>3537</v>
      </c>
      <c r="I1268" s="10">
        <v>45562</v>
      </c>
    </row>
    <row r="1269" spans="1:9" x14ac:dyDescent="0.15">
      <c r="A1269" s="9">
        <v>1268</v>
      </c>
      <c r="B1269" s="9" t="s">
        <v>9</v>
      </c>
      <c r="C1269" s="9">
        <v>1916</v>
      </c>
      <c r="D1269" s="10">
        <v>45646</v>
      </c>
      <c r="E1269" s="13" t="str">
        <f>+HYPERLINK("http://trademark.i-assist.jp/data/china/image_1916th/81161407.pdf","81161407")</f>
        <v>81161407</v>
      </c>
      <c r="F1269" s="9" t="s">
        <v>3332</v>
      </c>
      <c r="G1269" s="12" t="s">
        <v>3333</v>
      </c>
      <c r="H1269" s="9" t="s">
        <v>3538</v>
      </c>
      <c r="I1269" s="10">
        <v>45562</v>
      </c>
    </row>
    <row r="1270" spans="1:9" x14ac:dyDescent="0.15">
      <c r="A1270" s="9">
        <v>1269</v>
      </c>
      <c r="B1270" s="9" t="s">
        <v>9</v>
      </c>
      <c r="C1270" s="9">
        <v>1916</v>
      </c>
      <c r="D1270" s="10">
        <v>45646</v>
      </c>
      <c r="E1270" s="13" t="str">
        <f>+HYPERLINK("http://trademark.i-assist.jp/data/china/image_1916th/81161448.pdf","81161448")</f>
        <v>81161448</v>
      </c>
      <c r="F1270" s="12" t="s">
        <v>3539</v>
      </c>
      <c r="G1270" s="9" t="s">
        <v>3540</v>
      </c>
      <c r="H1270" s="9" t="s">
        <v>3541</v>
      </c>
      <c r="I1270" s="10">
        <v>45562</v>
      </c>
    </row>
    <row r="1271" spans="1:9" x14ac:dyDescent="0.15">
      <c r="A1271" s="9">
        <v>1270</v>
      </c>
      <c r="B1271" s="9" t="s">
        <v>9</v>
      </c>
      <c r="C1271" s="9">
        <v>1916</v>
      </c>
      <c r="D1271" s="10">
        <v>45646</v>
      </c>
      <c r="E1271" s="13" t="str">
        <f>+HYPERLINK("http://trademark.i-assist.jp/data/china/image_1916th/81161544.pdf","81161544")</f>
        <v>81161544</v>
      </c>
      <c r="F1271" s="9" t="s">
        <v>3542</v>
      </c>
      <c r="G1271" s="9" t="s">
        <v>3543</v>
      </c>
      <c r="H1271" s="9" t="s">
        <v>3544</v>
      </c>
      <c r="I1271" s="10">
        <v>45562</v>
      </c>
    </row>
    <row r="1272" spans="1:9" x14ac:dyDescent="0.15">
      <c r="A1272" s="9">
        <v>1271</v>
      </c>
      <c r="B1272" s="9" t="s">
        <v>9</v>
      </c>
      <c r="C1272" s="9">
        <v>1916</v>
      </c>
      <c r="D1272" s="10">
        <v>45646</v>
      </c>
      <c r="E1272" s="13" t="str">
        <f>+HYPERLINK("http://trademark.i-assist.jp/data/china/image_1916th/81161547.pdf","81161547")</f>
        <v>81161547</v>
      </c>
      <c r="F1272" s="9" t="s">
        <v>3545</v>
      </c>
      <c r="G1272" s="9" t="s">
        <v>3546</v>
      </c>
      <c r="H1272" s="12" t="s">
        <v>3547</v>
      </c>
      <c r="I1272" s="10">
        <v>45562</v>
      </c>
    </row>
    <row r="1273" spans="1:9" x14ac:dyDescent="0.15">
      <c r="A1273" s="9">
        <v>1272</v>
      </c>
      <c r="B1273" s="9" t="s">
        <v>9</v>
      </c>
      <c r="C1273" s="9">
        <v>1916</v>
      </c>
      <c r="D1273" s="10">
        <v>45646</v>
      </c>
      <c r="E1273" s="13" t="str">
        <f>+HYPERLINK("http://trademark.i-assist.jp/data/china/image_1916th/81161887.pdf","81161887")</f>
        <v>81161887</v>
      </c>
      <c r="F1273" s="9" t="s">
        <v>3548</v>
      </c>
      <c r="G1273" s="9" t="s">
        <v>3499</v>
      </c>
      <c r="H1273" s="9" t="s">
        <v>3549</v>
      </c>
      <c r="I1273" s="10">
        <v>45562</v>
      </c>
    </row>
    <row r="1274" spans="1:9" x14ac:dyDescent="0.15">
      <c r="A1274" s="9">
        <v>1273</v>
      </c>
      <c r="B1274" s="9" t="s">
        <v>9</v>
      </c>
      <c r="C1274" s="9">
        <v>1916</v>
      </c>
      <c r="D1274" s="10">
        <v>45646</v>
      </c>
      <c r="E1274" s="13" t="str">
        <f>+HYPERLINK("http://trademark.i-assist.jp/data/china/image_1916th/81162219.pdf","81162219")</f>
        <v>81162219</v>
      </c>
      <c r="F1274" s="9" t="s">
        <v>3550</v>
      </c>
      <c r="G1274" s="12" t="s">
        <v>2836</v>
      </c>
      <c r="H1274" s="9" t="s">
        <v>3551</v>
      </c>
      <c r="I1274" s="10">
        <v>45562</v>
      </c>
    </row>
    <row r="1275" spans="1:9" x14ac:dyDescent="0.15">
      <c r="A1275" s="9">
        <v>1274</v>
      </c>
      <c r="B1275" s="9" t="s">
        <v>9</v>
      </c>
      <c r="C1275" s="9">
        <v>1916</v>
      </c>
      <c r="D1275" s="10">
        <v>45646</v>
      </c>
      <c r="E1275" s="13" t="str">
        <f>+HYPERLINK("http://trademark.i-assist.jp/data/china/image_1916th/81162312.pdf","81162312")</f>
        <v>81162312</v>
      </c>
      <c r="F1275" s="12" t="s">
        <v>3552</v>
      </c>
      <c r="G1275" s="9" t="s">
        <v>3522</v>
      </c>
      <c r="H1275" s="9" t="s">
        <v>3553</v>
      </c>
      <c r="I1275" s="10">
        <v>45562</v>
      </c>
    </row>
    <row r="1276" spans="1:9" x14ac:dyDescent="0.15">
      <c r="A1276" s="9">
        <v>1275</v>
      </c>
      <c r="B1276" s="9" t="s">
        <v>9</v>
      </c>
      <c r="C1276" s="9">
        <v>1916</v>
      </c>
      <c r="D1276" s="10">
        <v>45646</v>
      </c>
      <c r="E1276" s="13" t="str">
        <f>+HYPERLINK("http://trademark.i-assist.jp/data/china/image_1916th/81162521.pdf","81162521")</f>
        <v>81162521</v>
      </c>
      <c r="F1276" s="9" t="s">
        <v>3554</v>
      </c>
      <c r="G1276" s="12" t="s">
        <v>3555</v>
      </c>
      <c r="H1276" s="9" t="s">
        <v>3556</v>
      </c>
      <c r="I1276" s="10">
        <v>45562</v>
      </c>
    </row>
    <row r="1277" spans="1:9" x14ac:dyDescent="0.15">
      <c r="A1277" s="9">
        <v>1276</v>
      </c>
      <c r="B1277" s="9" t="s">
        <v>9</v>
      </c>
      <c r="C1277" s="9">
        <v>1916</v>
      </c>
      <c r="D1277" s="10">
        <v>45646</v>
      </c>
      <c r="E1277" s="13" t="str">
        <f>+HYPERLINK("http://trademark.i-assist.jp/data/china/image_1916th/81163413.pdf","81163413")</f>
        <v>81163413</v>
      </c>
      <c r="F1277" s="9" t="s">
        <v>3557</v>
      </c>
      <c r="G1277" s="12" t="s">
        <v>3558</v>
      </c>
      <c r="H1277" s="9" t="s">
        <v>3559</v>
      </c>
      <c r="I1277" s="10">
        <v>45563</v>
      </c>
    </row>
    <row r="1278" spans="1:9" x14ac:dyDescent="0.15">
      <c r="A1278" s="9">
        <v>1277</v>
      </c>
      <c r="B1278" s="9" t="s">
        <v>9</v>
      </c>
      <c r="C1278" s="9">
        <v>1916</v>
      </c>
      <c r="D1278" s="10">
        <v>45646</v>
      </c>
      <c r="E1278" s="13" t="str">
        <f>+HYPERLINK("http://trademark.i-assist.jp/data/china/image_1916th/81163646.pdf","81163646")</f>
        <v>81163646</v>
      </c>
      <c r="F1278" s="9" t="s">
        <v>3560</v>
      </c>
      <c r="G1278" s="9" t="s">
        <v>58</v>
      </c>
      <c r="H1278" s="9" t="s">
        <v>3561</v>
      </c>
      <c r="I1278" s="10">
        <v>45563</v>
      </c>
    </row>
    <row r="1279" spans="1:9" x14ac:dyDescent="0.15">
      <c r="A1279" s="9">
        <v>1278</v>
      </c>
      <c r="B1279" s="9" t="s">
        <v>9</v>
      </c>
      <c r="C1279" s="9">
        <v>1916</v>
      </c>
      <c r="D1279" s="10">
        <v>45646</v>
      </c>
      <c r="E1279" s="13" t="str">
        <f>+HYPERLINK("http://trademark.i-assist.jp/data/china/image_1916th/81163784.pdf","81163784")</f>
        <v>81163784</v>
      </c>
      <c r="F1279" s="9" t="s">
        <v>3562</v>
      </c>
      <c r="G1279" s="9" t="s">
        <v>3563</v>
      </c>
      <c r="H1279" s="9" t="s">
        <v>3564</v>
      </c>
      <c r="I1279" s="10">
        <v>45563</v>
      </c>
    </row>
    <row r="1280" spans="1:9" x14ac:dyDescent="0.15">
      <c r="A1280" s="9">
        <v>1279</v>
      </c>
      <c r="B1280" s="9" t="s">
        <v>9</v>
      </c>
      <c r="C1280" s="9">
        <v>1916</v>
      </c>
      <c r="D1280" s="10">
        <v>45646</v>
      </c>
      <c r="E1280" s="13" t="str">
        <f>+HYPERLINK("http://trademark.i-assist.jp/data/china/image_1916th/81163926.pdf","81163926")</f>
        <v>81163926</v>
      </c>
      <c r="F1280" s="9" t="s">
        <v>3565</v>
      </c>
      <c r="G1280" s="12" t="s">
        <v>3566</v>
      </c>
      <c r="H1280" s="9" t="s">
        <v>3567</v>
      </c>
      <c r="I1280" s="10">
        <v>45563</v>
      </c>
    </row>
    <row r="1281" spans="1:9" x14ac:dyDescent="0.15">
      <c r="A1281" s="9">
        <v>1280</v>
      </c>
      <c r="B1281" s="9" t="s">
        <v>9</v>
      </c>
      <c r="C1281" s="9">
        <v>1916</v>
      </c>
      <c r="D1281" s="10">
        <v>45646</v>
      </c>
      <c r="E1281" s="13" t="str">
        <f>+HYPERLINK("http://trademark.i-assist.jp/data/china/image_1916th/81164087.pdf","81164087")</f>
        <v>81164087</v>
      </c>
      <c r="F1281" s="9" t="s">
        <v>3568</v>
      </c>
      <c r="G1281" s="12" t="s">
        <v>3569</v>
      </c>
      <c r="H1281" s="9" t="s">
        <v>3570</v>
      </c>
      <c r="I1281" s="10">
        <v>45563</v>
      </c>
    </row>
    <row r="1282" spans="1:9" x14ac:dyDescent="0.15">
      <c r="A1282" s="9">
        <v>1281</v>
      </c>
      <c r="B1282" s="9" t="s">
        <v>9</v>
      </c>
      <c r="C1282" s="9">
        <v>1916</v>
      </c>
      <c r="D1282" s="10">
        <v>45646</v>
      </c>
      <c r="E1282" s="13" t="str">
        <f>+HYPERLINK("http://trademark.i-assist.jp/data/china/image_1916th/81164225.pdf","81164225")</f>
        <v>81164225</v>
      </c>
      <c r="F1282" s="9" t="s">
        <v>3571</v>
      </c>
      <c r="G1282" s="12" t="s">
        <v>3572</v>
      </c>
      <c r="H1282" s="9" t="s">
        <v>3573</v>
      </c>
      <c r="I1282" s="10">
        <v>45563</v>
      </c>
    </row>
    <row r="1283" spans="1:9" x14ac:dyDescent="0.15">
      <c r="A1283" s="9">
        <v>1282</v>
      </c>
      <c r="B1283" s="9" t="s">
        <v>9</v>
      </c>
      <c r="C1283" s="9">
        <v>1916</v>
      </c>
      <c r="D1283" s="10">
        <v>45646</v>
      </c>
      <c r="E1283" s="13" t="str">
        <f>+HYPERLINK("http://trademark.i-assist.jp/data/china/image_1916th/81164487.pdf","81164487")</f>
        <v>81164487</v>
      </c>
      <c r="F1283" s="9" t="s">
        <v>3574</v>
      </c>
      <c r="G1283" s="9" t="s">
        <v>3575</v>
      </c>
      <c r="H1283" s="9" t="s">
        <v>3576</v>
      </c>
      <c r="I1283" s="10">
        <v>45563</v>
      </c>
    </row>
    <row r="1284" spans="1:9" x14ac:dyDescent="0.15">
      <c r="A1284" s="9">
        <v>1283</v>
      </c>
      <c r="B1284" s="9" t="s">
        <v>9</v>
      </c>
      <c r="C1284" s="9">
        <v>1916</v>
      </c>
      <c r="D1284" s="10">
        <v>45646</v>
      </c>
      <c r="E1284" s="13" t="str">
        <f>+HYPERLINK("http://trademark.i-assist.jp/data/china/image_1916th/81164741.pdf","81164741")</f>
        <v>81164741</v>
      </c>
      <c r="F1284" s="9" t="s">
        <v>3577</v>
      </c>
      <c r="G1284" s="9" t="s">
        <v>3578</v>
      </c>
      <c r="H1284" s="9" t="s">
        <v>3579</v>
      </c>
      <c r="I1284" s="10">
        <v>45563</v>
      </c>
    </row>
    <row r="1285" spans="1:9" x14ac:dyDescent="0.15">
      <c r="A1285" s="9">
        <v>1284</v>
      </c>
      <c r="B1285" s="9" t="s">
        <v>9</v>
      </c>
      <c r="C1285" s="9">
        <v>1916</v>
      </c>
      <c r="D1285" s="10">
        <v>45646</v>
      </c>
      <c r="E1285" s="13" t="str">
        <f>+HYPERLINK("http://trademark.i-assist.jp/data/china/image_1916th/81165734.pdf","81165734")</f>
        <v>81165734</v>
      </c>
      <c r="F1285" s="9" t="s">
        <v>3580</v>
      </c>
      <c r="G1285" s="9" t="s">
        <v>3581</v>
      </c>
      <c r="H1285" s="9" t="s">
        <v>3582</v>
      </c>
      <c r="I1285" s="10">
        <v>45563</v>
      </c>
    </row>
    <row r="1286" spans="1:9" x14ac:dyDescent="0.15">
      <c r="A1286" s="9">
        <v>1285</v>
      </c>
      <c r="B1286" s="9" t="s">
        <v>9</v>
      </c>
      <c r="C1286" s="9">
        <v>1916</v>
      </c>
      <c r="D1286" s="10">
        <v>45646</v>
      </c>
      <c r="E1286" s="13" t="str">
        <f>+HYPERLINK("http://trademark.i-assist.jp/data/china/image_1916th/81166370.pdf","81166370")</f>
        <v>81166370</v>
      </c>
      <c r="F1286" s="9" t="s">
        <v>3583</v>
      </c>
      <c r="G1286" s="9" t="s">
        <v>3584</v>
      </c>
      <c r="H1286" s="12" t="s">
        <v>3585</v>
      </c>
      <c r="I1286" s="10">
        <v>45563</v>
      </c>
    </row>
    <row r="1287" spans="1:9" x14ac:dyDescent="0.15">
      <c r="A1287" s="9">
        <v>1286</v>
      </c>
      <c r="B1287" s="9" t="s">
        <v>9</v>
      </c>
      <c r="C1287" s="9">
        <v>1916</v>
      </c>
      <c r="D1287" s="10">
        <v>45646</v>
      </c>
      <c r="E1287" s="13" t="str">
        <f>+HYPERLINK("http://trademark.i-assist.jp/data/china/image_1916th/81167297.pdf","81167297")</f>
        <v>81167297</v>
      </c>
      <c r="F1287" s="9" t="s">
        <v>3586</v>
      </c>
      <c r="G1287" s="9" t="s">
        <v>3587</v>
      </c>
      <c r="H1287" s="9" t="s">
        <v>3588</v>
      </c>
      <c r="I1287" s="10">
        <v>45563</v>
      </c>
    </row>
    <row r="1288" spans="1:9" x14ac:dyDescent="0.15">
      <c r="A1288" s="9">
        <v>1287</v>
      </c>
      <c r="B1288" s="9" t="s">
        <v>9</v>
      </c>
      <c r="C1288" s="9">
        <v>1916</v>
      </c>
      <c r="D1288" s="10">
        <v>45646</v>
      </c>
      <c r="E1288" s="13" t="str">
        <f>+HYPERLINK("http://trademark.i-assist.jp/data/china/image_1916th/81168044.pdf","81168044")</f>
        <v>81168044</v>
      </c>
      <c r="F1288" s="9" t="s">
        <v>3565</v>
      </c>
      <c r="G1288" s="12" t="s">
        <v>3566</v>
      </c>
      <c r="H1288" s="9" t="s">
        <v>3589</v>
      </c>
      <c r="I1288" s="10">
        <v>45563</v>
      </c>
    </row>
    <row r="1289" spans="1:9" x14ac:dyDescent="0.15">
      <c r="A1289" s="9">
        <v>1288</v>
      </c>
      <c r="B1289" s="9" t="s">
        <v>9</v>
      </c>
      <c r="C1289" s="9">
        <v>1916</v>
      </c>
      <c r="D1289" s="10">
        <v>45646</v>
      </c>
      <c r="E1289" s="13" t="str">
        <f>+HYPERLINK("http://trademark.i-assist.jp/data/china/image_1916th/81168178.pdf","81168178")</f>
        <v>81168178</v>
      </c>
      <c r="F1289" s="12" t="s">
        <v>13</v>
      </c>
      <c r="G1289" s="12" t="s">
        <v>3590</v>
      </c>
      <c r="H1289" s="12" t="s">
        <v>3591</v>
      </c>
      <c r="I1289" s="10">
        <v>45563</v>
      </c>
    </row>
    <row r="1290" spans="1:9" x14ac:dyDescent="0.15">
      <c r="A1290" s="9">
        <v>1289</v>
      </c>
      <c r="B1290" s="9" t="s">
        <v>9</v>
      </c>
      <c r="C1290" s="9">
        <v>1916</v>
      </c>
      <c r="D1290" s="10">
        <v>45646</v>
      </c>
      <c r="E1290" s="13" t="str">
        <f>+HYPERLINK("http://trademark.i-assist.jp/data/china/image_1916th/81168320.pdf","81168320")</f>
        <v>81168320</v>
      </c>
      <c r="F1290" s="12" t="s">
        <v>3592</v>
      </c>
      <c r="G1290" s="9" t="s">
        <v>3593</v>
      </c>
      <c r="H1290" s="9" t="s">
        <v>3594</v>
      </c>
      <c r="I1290" s="10">
        <v>45563</v>
      </c>
    </row>
    <row r="1291" spans="1:9" x14ac:dyDescent="0.15">
      <c r="A1291" s="9">
        <v>1290</v>
      </c>
      <c r="B1291" s="9" t="s">
        <v>9</v>
      </c>
      <c r="C1291" s="9">
        <v>1916</v>
      </c>
      <c r="D1291" s="10">
        <v>45646</v>
      </c>
      <c r="E1291" s="13" t="str">
        <f>+HYPERLINK("http://trademark.i-assist.jp/data/china/image_1916th/81168686.pdf","81168686")</f>
        <v>81168686</v>
      </c>
      <c r="F1291" s="9" t="s">
        <v>3595</v>
      </c>
      <c r="G1291" s="9" t="s">
        <v>3563</v>
      </c>
      <c r="H1291" s="9" t="s">
        <v>3596</v>
      </c>
      <c r="I1291" s="10">
        <v>45563</v>
      </c>
    </row>
    <row r="1292" spans="1:9" x14ac:dyDescent="0.15">
      <c r="A1292" s="9">
        <v>1291</v>
      </c>
      <c r="B1292" s="9" t="s">
        <v>9</v>
      </c>
      <c r="C1292" s="9">
        <v>1916</v>
      </c>
      <c r="D1292" s="10">
        <v>45646</v>
      </c>
      <c r="E1292" s="13" t="str">
        <f>+HYPERLINK("http://trademark.i-assist.jp/data/china/image_1916th/81169271.pdf","81169271")</f>
        <v>81169271</v>
      </c>
      <c r="F1292" s="9" t="s">
        <v>3597</v>
      </c>
      <c r="G1292" s="9" t="s">
        <v>3598</v>
      </c>
      <c r="H1292" s="9" t="s">
        <v>3599</v>
      </c>
      <c r="I1292" s="10">
        <v>45563</v>
      </c>
    </row>
    <row r="1293" spans="1:9" x14ac:dyDescent="0.15">
      <c r="A1293" s="9">
        <v>1292</v>
      </c>
      <c r="B1293" s="9" t="s">
        <v>9</v>
      </c>
      <c r="C1293" s="9">
        <v>1916</v>
      </c>
      <c r="D1293" s="10">
        <v>45646</v>
      </c>
      <c r="E1293" s="13" t="str">
        <f>+HYPERLINK("http://trademark.i-assist.jp/data/china/image_1916th/81169460.pdf","81169460")</f>
        <v>81169460</v>
      </c>
      <c r="F1293" s="9" t="s">
        <v>3600</v>
      </c>
      <c r="G1293" s="9" t="s">
        <v>3601</v>
      </c>
      <c r="H1293" s="9" t="s">
        <v>3602</v>
      </c>
      <c r="I1293" s="10">
        <v>45563</v>
      </c>
    </row>
    <row r="1294" spans="1:9" x14ac:dyDescent="0.15">
      <c r="A1294" s="9">
        <v>1293</v>
      </c>
      <c r="B1294" s="9" t="s">
        <v>9</v>
      </c>
      <c r="C1294" s="9">
        <v>1916</v>
      </c>
      <c r="D1294" s="10">
        <v>45646</v>
      </c>
      <c r="E1294" s="13" t="str">
        <f>+HYPERLINK("http://trademark.i-assist.jp/data/china/image_1916th/81169564.pdf","81169564")</f>
        <v>81169564</v>
      </c>
      <c r="F1294" s="12" t="s">
        <v>3603</v>
      </c>
      <c r="G1294" s="9" t="s">
        <v>3604</v>
      </c>
      <c r="H1294" s="9" t="s">
        <v>3605</v>
      </c>
      <c r="I1294" s="10">
        <v>45563</v>
      </c>
    </row>
    <row r="1295" spans="1:9" x14ac:dyDescent="0.15">
      <c r="A1295" s="9">
        <v>1294</v>
      </c>
      <c r="B1295" s="9" t="s">
        <v>9</v>
      </c>
      <c r="C1295" s="9">
        <v>1916</v>
      </c>
      <c r="D1295" s="10">
        <v>45646</v>
      </c>
      <c r="E1295" s="13" t="str">
        <f>+HYPERLINK("http://trademark.i-assist.jp/data/china/image_1916th/81169573.pdf","81169573")</f>
        <v>81169573</v>
      </c>
      <c r="F1295" s="9" t="s">
        <v>3606</v>
      </c>
      <c r="G1295" s="12" t="s">
        <v>3607</v>
      </c>
      <c r="H1295" s="12" t="s">
        <v>3608</v>
      </c>
      <c r="I1295" s="10">
        <v>45563</v>
      </c>
    </row>
    <row r="1296" spans="1:9" x14ac:dyDescent="0.15">
      <c r="A1296" s="9">
        <v>1295</v>
      </c>
      <c r="B1296" s="9" t="s">
        <v>9</v>
      </c>
      <c r="C1296" s="9">
        <v>1916</v>
      </c>
      <c r="D1296" s="10">
        <v>45646</v>
      </c>
      <c r="E1296" s="13" t="str">
        <f>+HYPERLINK("http://trademark.i-assist.jp/data/china/image_1916th/81169698.pdf","81169698")</f>
        <v>81169698</v>
      </c>
      <c r="F1296" s="12" t="s">
        <v>3609</v>
      </c>
      <c r="G1296" s="9" t="s">
        <v>3610</v>
      </c>
      <c r="H1296" s="9" t="s">
        <v>3611</v>
      </c>
      <c r="I1296" s="10">
        <v>45563</v>
      </c>
    </row>
    <row r="1297" spans="1:9" x14ac:dyDescent="0.15">
      <c r="A1297" s="9">
        <v>1296</v>
      </c>
      <c r="B1297" s="9" t="s">
        <v>9</v>
      </c>
      <c r="C1297" s="9">
        <v>1916</v>
      </c>
      <c r="D1297" s="10">
        <v>45646</v>
      </c>
      <c r="E1297" s="13" t="str">
        <f>+HYPERLINK("http://trademark.i-assist.jp/data/china/image_1916th/81169775.pdf","81169775")</f>
        <v>81169775</v>
      </c>
      <c r="F1297" s="9" t="s">
        <v>3612</v>
      </c>
      <c r="G1297" s="12" t="s">
        <v>3613</v>
      </c>
      <c r="H1297" s="12" t="s">
        <v>3614</v>
      </c>
      <c r="I1297" s="10">
        <v>45563</v>
      </c>
    </row>
    <row r="1298" spans="1:9" x14ac:dyDescent="0.15">
      <c r="A1298" s="9">
        <v>1297</v>
      </c>
      <c r="B1298" s="9" t="s">
        <v>9</v>
      </c>
      <c r="C1298" s="9">
        <v>1916</v>
      </c>
      <c r="D1298" s="10">
        <v>45646</v>
      </c>
      <c r="E1298" s="13" t="str">
        <f>+HYPERLINK("http://trademark.i-assist.jp/data/china/image_1916th/81169994.pdf","81169994")</f>
        <v>81169994</v>
      </c>
      <c r="F1298" s="9" t="s">
        <v>3615</v>
      </c>
      <c r="G1298" s="9" t="s">
        <v>3616</v>
      </c>
      <c r="H1298" s="12" t="s">
        <v>3617</v>
      </c>
      <c r="I1298" s="10">
        <v>45563</v>
      </c>
    </row>
    <row r="1299" spans="1:9" x14ac:dyDescent="0.15">
      <c r="A1299" s="9">
        <v>1298</v>
      </c>
      <c r="B1299" s="9" t="s">
        <v>9</v>
      </c>
      <c r="C1299" s="9">
        <v>1916</v>
      </c>
      <c r="D1299" s="10">
        <v>45646</v>
      </c>
      <c r="E1299" s="13" t="str">
        <f>+HYPERLINK("http://trademark.i-assist.jp/data/china/image_1916th/81170395.pdf","81170395")</f>
        <v>81170395</v>
      </c>
      <c r="F1299" s="9" t="s">
        <v>3618</v>
      </c>
      <c r="G1299" s="12" t="s">
        <v>3619</v>
      </c>
      <c r="H1299" s="9" t="s">
        <v>3620</v>
      </c>
      <c r="I1299" s="10">
        <v>45563</v>
      </c>
    </row>
    <row r="1300" spans="1:9" x14ac:dyDescent="0.15">
      <c r="A1300" s="9">
        <v>1299</v>
      </c>
      <c r="B1300" s="9" t="s">
        <v>9</v>
      </c>
      <c r="C1300" s="9">
        <v>1916</v>
      </c>
      <c r="D1300" s="10">
        <v>45646</v>
      </c>
      <c r="E1300" s="13" t="str">
        <f>+HYPERLINK("http://trademark.i-assist.jp/data/china/image_1916th/81170740.pdf","81170740")</f>
        <v>81170740</v>
      </c>
      <c r="F1300" s="9" t="s">
        <v>3621</v>
      </c>
      <c r="G1300" s="9" t="s">
        <v>3622</v>
      </c>
      <c r="H1300" s="9" t="s">
        <v>3623</v>
      </c>
      <c r="I1300" s="10">
        <v>45563</v>
      </c>
    </row>
    <row r="1301" spans="1:9" x14ac:dyDescent="0.15">
      <c r="A1301" s="9">
        <v>1300</v>
      </c>
      <c r="B1301" s="9" t="s">
        <v>9</v>
      </c>
      <c r="C1301" s="9">
        <v>1916</v>
      </c>
      <c r="D1301" s="10">
        <v>45646</v>
      </c>
      <c r="E1301" s="13" t="str">
        <f>+HYPERLINK("http://trademark.i-assist.jp/data/china/image_1916th/81170928.pdf","81170928")</f>
        <v>81170928</v>
      </c>
      <c r="F1301" s="9" t="s">
        <v>3624</v>
      </c>
      <c r="G1301" s="9" t="s">
        <v>46</v>
      </c>
      <c r="H1301" s="9" t="s">
        <v>3625</v>
      </c>
      <c r="I1301" s="10">
        <v>45563</v>
      </c>
    </row>
    <row r="1302" spans="1:9" x14ac:dyDescent="0.15">
      <c r="A1302" s="9">
        <v>1301</v>
      </c>
      <c r="B1302" s="9" t="s">
        <v>9</v>
      </c>
      <c r="C1302" s="9">
        <v>1916</v>
      </c>
      <c r="D1302" s="10">
        <v>45646</v>
      </c>
      <c r="E1302" s="13" t="str">
        <f>+HYPERLINK("http://trademark.i-assist.jp/data/china/image_1916th/81171025.pdf","81171025")</f>
        <v>81171025</v>
      </c>
      <c r="F1302" s="9" t="s">
        <v>3626</v>
      </c>
      <c r="G1302" s="9" t="s">
        <v>3563</v>
      </c>
      <c r="H1302" s="9" t="s">
        <v>3627</v>
      </c>
      <c r="I1302" s="10">
        <v>45563</v>
      </c>
    </row>
    <row r="1303" spans="1:9" x14ac:dyDescent="0.15">
      <c r="A1303" s="9">
        <v>1302</v>
      </c>
      <c r="B1303" s="9" t="s">
        <v>9</v>
      </c>
      <c r="C1303" s="9">
        <v>1916</v>
      </c>
      <c r="D1303" s="10">
        <v>45646</v>
      </c>
      <c r="E1303" s="13" t="str">
        <f>+HYPERLINK("http://trademark.i-assist.jp/data/china/image_1916th/81171038.pdf","81171038")</f>
        <v>81171038</v>
      </c>
      <c r="F1303" s="9" t="s">
        <v>3628</v>
      </c>
      <c r="G1303" s="9" t="s">
        <v>3629</v>
      </c>
      <c r="H1303" s="9" t="s">
        <v>3630</v>
      </c>
      <c r="I1303" s="10">
        <v>45563</v>
      </c>
    </row>
    <row r="1304" spans="1:9" x14ac:dyDescent="0.15">
      <c r="A1304" s="9">
        <v>1303</v>
      </c>
      <c r="B1304" s="9" t="s">
        <v>9</v>
      </c>
      <c r="C1304" s="9">
        <v>1916</v>
      </c>
      <c r="D1304" s="10">
        <v>45646</v>
      </c>
      <c r="E1304" s="13" t="str">
        <f>+HYPERLINK("http://trademark.i-assist.jp/data/china/image_1916th/81171059.pdf","81171059")</f>
        <v>81171059</v>
      </c>
      <c r="F1304" s="9" t="s">
        <v>3631</v>
      </c>
      <c r="G1304" s="9" t="s">
        <v>3563</v>
      </c>
      <c r="H1304" s="9" t="s">
        <v>3632</v>
      </c>
      <c r="I1304" s="10">
        <v>45563</v>
      </c>
    </row>
    <row r="1305" spans="1:9" x14ac:dyDescent="0.15">
      <c r="A1305" s="9">
        <v>1304</v>
      </c>
      <c r="B1305" s="9" t="s">
        <v>9</v>
      </c>
      <c r="C1305" s="9">
        <v>1916</v>
      </c>
      <c r="D1305" s="10">
        <v>45646</v>
      </c>
      <c r="E1305" s="13" t="str">
        <f>+HYPERLINK("http://trademark.i-assist.jp/data/china/image_1916th/81171137.pdf","81171137")</f>
        <v>81171137</v>
      </c>
      <c r="F1305" s="9" t="s">
        <v>3633</v>
      </c>
      <c r="G1305" s="12" t="s">
        <v>3634</v>
      </c>
      <c r="H1305" s="9" t="s">
        <v>3635</v>
      </c>
      <c r="I1305" s="10">
        <v>45563</v>
      </c>
    </row>
    <row r="1306" spans="1:9" x14ac:dyDescent="0.15">
      <c r="A1306" s="9">
        <v>1305</v>
      </c>
      <c r="B1306" s="9" t="s">
        <v>9</v>
      </c>
      <c r="C1306" s="9">
        <v>1916</v>
      </c>
      <c r="D1306" s="10">
        <v>45646</v>
      </c>
      <c r="E1306" s="13" t="str">
        <f>+HYPERLINK("http://trademark.i-assist.jp/data/china/image_1916th/81171666.pdf","81171666")</f>
        <v>81171666</v>
      </c>
      <c r="F1306" s="9" t="s">
        <v>3636</v>
      </c>
      <c r="G1306" s="9" t="s">
        <v>3637</v>
      </c>
      <c r="H1306" s="9" t="s">
        <v>3638</v>
      </c>
      <c r="I1306" s="10">
        <v>45563</v>
      </c>
    </row>
    <row r="1307" spans="1:9" x14ac:dyDescent="0.15">
      <c r="A1307" s="9">
        <v>1306</v>
      </c>
      <c r="B1307" s="9" t="s">
        <v>9</v>
      </c>
      <c r="C1307" s="9">
        <v>1916</v>
      </c>
      <c r="D1307" s="10">
        <v>45646</v>
      </c>
      <c r="E1307" s="13" t="str">
        <f>+HYPERLINK("http://trademark.i-assist.jp/data/china/image_1916th/81172002.pdf","81172002")</f>
        <v>81172002</v>
      </c>
      <c r="F1307" s="9" t="s">
        <v>3639</v>
      </c>
      <c r="G1307" s="9" t="s">
        <v>3640</v>
      </c>
      <c r="H1307" s="12" t="s">
        <v>3641</v>
      </c>
      <c r="I1307" s="10">
        <v>45563</v>
      </c>
    </row>
    <row r="1308" spans="1:9" x14ac:dyDescent="0.15">
      <c r="A1308" s="9">
        <v>1307</v>
      </c>
      <c r="B1308" s="9" t="s">
        <v>9</v>
      </c>
      <c r="C1308" s="9">
        <v>1916</v>
      </c>
      <c r="D1308" s="10">
        <v>45646</v>
      </c>
      <c r="E1308" s="13" t="str">
        <f>+HYPERLINK("http://trademark.i-assist.jp/data/china/image_1916th/81172104.pdf","81172104")</f>
        <v>81172104</v>
      </c>
      <c r="F1308" s="9" t="s">
        <v>3642</v>
      </c>
      <c r="G1308" s="12" t="s">
        <v>3643</v>
      </c>
      <c r="H1308" s="12" t="s">
        <v>3644</v>
      </c>
      <c r="I1308" s="10">
        <v>45563</v>
      </c>
    </row>
    <row r="1309" spans="1:9" x14ac:dyDescent="0.15">
      <c r="A1309" s="9">
        <v>1308</v>
      </c>
      <c r="B1309" s="9" t="s">
        <v>9</v>
      </c>
      <c r="C1309" s="9">
        <v>1916</v>
      </c>
      <c r="D1309" s="10">
        <v>45646</v>
      </c>
      <c r="E1309" s="13" t="str">
        <f>+HYPERLINK("http://trademark.i-assist.jp/data/china/image_1916th/81172527.pdf","81172527")</f>
        <v>81172527</v>
      </c>
      <c r="F1309" s="12" t="s">
        <v>3645</v>
      </c>
      <c r="G1309" s="9" t="s">
        <v>3646</v>
      </c>
      <c r="H1309" s="9" t="s">
        <v>3647</v>
      </c>
      <c r="I1309" s="10">
        <v>45563</v>
      </c>
    </row>
    <row r="1310" spans="1:9" x14ac:dyDescent="0.15">
      <c r="A1310" s="9">
        <v>1309</v>
      </c>
      <c r="B1310" s="9" t="s">
        <v>9</v>
      </c>
      <c r="C1310" s="9">
        <v>1916</v>
      </c>
      <c r="D1310" s="10">
        <v>45646</v>
      </c>
      <c r="E1310" s="13" t="str">
        <f>+HYPERLINK("http://trademark.i-assist.jp/data/china/image_1916th/81172582.pdf","81172582")</f>
        <v>81172582</v>
      </c>
      <c r="F1310" s="9" t="s">
        <v>3648</v>
      </c>
      <c r="G1310" s="9" t="s">
        <v>3649</v>
      </c>
      <c r="H1310" s="9" t="s">
        <v>3650</v>
      </c>
      <c r="I1310" s="10">
        <v>45563</v>
      </c>
    </row>
    <row r="1311" spans="1:9" x14ac:dyDescent="0.15">
      <c r="A1311" s="9">
        <v>1310</v>
      </c>
      <c r="B1311" s="9" t="s">
        <v>9</v>
      </c>
      <c r="C1311" s="9">
        <v>1916</v>
      </c>
      <c r="D1311" s="10">
        <v>45646</v>
      </c>
      <c r="E1311" s="13" t="str">
        <f>+HYPERLINK("http://trademark.i-assist.jp/data/china/image_1916th/81172631.pdf","81172631")</f>
        <v>81172631</v>
      </c>
      <c r="F1311" s="9" t="s">
        <v>3651</v>
      </c>
      <c r="G1311" s="9" t="s">
        <v>3652</v>
      </c>
      <c r="H1311" s="9" t="s">
        <v>3653</v>
      </c>
      <c r="I1311" s="10">
        <v>45563</v>
      </c>
    </row>
    <row r="1312" spans="1:9" x14ac:dyDescent="0.15">
      <c r="A1312" s="9">
        <v>1311</v>
      </c>
      <c r="B1312" s="9" t="s">
        <v>9</v>
      </c>
      <c r="C1312" s="9">
        <v>1916</v>
      </c>
      <c r="D1312" s="10">
        <v>45646</v>
      </c>
      <c r="E1312" s="13" t="str">
        <f>+HYPERLINK("http://trademark.i-assist.jp/data/china/image_1916th/81172678.pdf","81172678")</f>
        <v>81172678</v>
      </c>
      <c r="F1312" s="12" t="s">
        <v>3654</v>
      </c>
      <c r="G1312" s="9" t="s">
        <v>3655</v>
      </c>
      <c r="H1312" s="9" t="s">
        <v>3656</v>
      </c>
      <c r="I1312" s="10">
        <v>45563</v>
      </c>
    </row>
    <row r="1313" spans="1:9" x14ac:dyDescent="0.15">
      <c r="A1313" s="9">
        <v>1312</v>
      </c>
      <c r="B1313" s="9" t="s">
        <v>9</v>
      </c>
      <c r="C1313" s="9">
        <v>1916</v>
      </c>
      <c r="D1313" s="10">
        <v>45646</v>
      </c>
      <c r="E1313" s="13" t="str">
        <f>+HYPERLINK("http://trademark.i-assist.jp/data/china/image_1916th/81173236.pdf","81173236")</f>
        <v>81173236</v>
      </c>
      <c r="F1313" s="9" t="s">
        <v>3657</v>
      </c>
      <c r="G1313" s="9" t="s">
        <v>68</v>
      </c>
      <c r="H1313" s="9" t="s">
        <v>3658</v>
      </c>
      <c r="I1313" s="10">
        <v>45563</v>
      </c>
    </row>
    <row r="1314" spans="1:9" x14ac:dyDescent="0.15">
      <c r="A1314" s="9">
        <v>1313</v>
      </c>
      <c r="B1314" s="9" t="s">
        <v>9</v>
      </c>
      <c r="C1314" s="9">
        <v>1916</v>
      </c>
      <c r="D1314" s="10">
        <v>45646</v>
      </c>
      <c r="E1314" s="13" t="str">
        <f>+HYPERLINK("http://trademark.i-assist.jp/data/china/image_1916th/81173366.pdf","81173366")</f>
        <v>81173366</v>
      </c>
      <c r="F1314" s="9" t="s">
        <v>3659</v>
      </c>
      <c r="G1314" s="9" t="s">
        <v>3660</v>
      </c>
      <c r="H1314" s="9" t="s">
        <v>3661</v>
      </c>
      <c r="I1314" s="10">
        <v>45564</v>
      </c>
    </row>
    <row r="1315" spans="1:9" x14ac:dyDescent="0.15">
      <c r="A1315" s="9">
        <v>1314</v>
      </c>
      <c r="B1315" s="9" t="s">
        <v>9</v>
      </c>
      <c r="C1315" s="9">
        <v>1916</v>
      </c>
      <c r="D1315" s="10">
        <v>45646</v>
      </c>
      <c r="E1315" s="13" t="str">
        <f>+HYPERLINK("http://trademark.i-assist.jp/data/china/image_1916th/81173523.pdf","81173523")</f>
        <v>81173523</v>
      </c>
      <c r="F1315" s="12" t="s">
        <v>3662</v>
      </c>
      <c r="G1315" s="9" t="s">
        <v>3663</v>
      </c>
      <c r="H1315" s="9" t="s">
        <v>3664</v>
      </c>
      <c r="I1315" s="10">
        <v>45564</v>
      </c>
    </row>
    <row r="1316" spans="1:9" x14ac:dyDescent="0.15">
      <c r="A1316" s="9">
        <v>1315</v>
      </c>
      <c r="B1316" s="9" t="s">
        <v>9</v>
      </c>
      <c r="C1316" s="9">
        <v>1916</v>
      </c>
      <c r="D1316" s="10">
        <v>45646</v>
      </c>
      <c r="E1316" s="13" t="str">
        <f>+HYPERLINK("http://trademark.i-assist.jp/data/china/image_1916th/81174312.pdf","81174312")</f>
        <v>81174312</v>
      </c>
      <c r="F1316" s="9" t="s">
        <v>3665</v>
      </c>
      <c r="G1316" s="9" t="s">
        <v>2854</v>
      </c>
      <c r="H1316" s="9" t="s">
        <v>3666</v>
      </c>
      <c r="I1316" s="10">
        <v>45564</v>
      </c>
    </row>
    <row r="1317" spans="1:9" x14ac:dyDescent="0.15">
      <c r="A1317" s="9">
        <v>1316</v>
      </c>
      <c r="B1317" s="9" t="s">
        <v>9</v>
      </c>
      <c r="C1317" s="9">
        <v>1916</v>
      </c>
      <c r="D1317" s="10">
        <v>45646</v>
      </c>
      <c r="E1317" s="13" t="str">
        <f>+HYPERLINK("http://trademark.i-assist.jp/data/china/image_1916th/81174559.pdf","81174559")</f>
        <v>81174559</v>
      </c>
      <c r="F1317" s="9" t="s">
        <v>3667</v>
      </c>
      <c r="G1317" s="9" t="s">
        <v>3668</v>
      </c>
      <c r="H1317" s="9" t="s">
        <v>3669</v>
      </c>
      <c r="I1317" s="10">
        <v>45564</v>
      </c>
    </row>
    <row r="1318" spans="1:9" x14ac:dyDescent="0.15">
      <c r="A1318" s="9">
        <v>1317</v>
      </c>
      <c r="B1318" s="9" t="s">
        <v>9</v>
      </c>
      <c r="C1318" s="9">
        <v>1916</v>
      </c>
      <c r="D1318" s="10">
        <v>45646</v>
      </c>
      <c r="E1318" s="13" t="str">
        <f>+HYPERLINK("http://trademark.i-assist.jp/data/china/image_1916th/81175023.pdf","81175023")</f>
        <v>81175023</v>
      </c>
      <c r="F1318" s="9" t="s">
        <v>3670</v>
      </c>
      <c r="G1318" s="9" t="s">
        <v>3671</v>
      </c>
      <c r="H1318" s="9" t="s">
        <v>3672</v>
      </c>
      <c r="I1318" s="10">
        <v>45564</v>
      </c>
    </row>
    <row r="1319" spans="1:9" x14ac:dyDescent="0.15">
      <c r="A1319" s="9">
        <v>1318</v>
      </c>
      <c r="B1319" s="9" t="s">
        <v>9</v>
      </c>
      <c r="C1319" s="9">
        <v>1916</v>
      </c>
      <c r="D1319" s="10">
        <v>45646</v>
      </c>
      <c r="E1319" s="13" t="str">
        <f>+HYPERLINK("http://trademark.i-assist.jp/data/china/image_1916th/81175523.pdf","81175523")</f>
        <v>81175523</v>
      </c>
      <c r="F1319" s="9" t="s">
        <v>3673</v>
      </c>
      <c r="G1319" s="12" t="s">
        <v>3674</v>
      </c>
      <c r="H1319" s="9" t="s">
        <v>3675</v>
      </c>
      <c r="I1319" s="10">
        <v>45564</v>
      </c>
    </row>
    <row r="1320" spans="1:9" x14ac:dyDescent="0.15">
      <c r="A1320" s="9">
        <v>1319</v>
      </c>
      <c r="B1320" s="9" t="s">
        <v>9</v>
      </c>
      <c r="C1320" s="9">
        <v>1916</v>
      </c>
      <c r="D1320" s="10">
        <v>45646</v>
      </c>
      <c r="E1320" s="13" t="str">
        <f>+HYPERLINK("http://trademark.i-assist.jp/data/china/image_1916th/81176013.pdf","81176013")</f>
        <v>81176013</v>
      </c>
      <c r="F1320" s="9" t="s">
        <v>3676</v>
      </c>
      <c r="G1320" s="9" t="s">
        <v>3677</v>
      </c>
      <c r="H1320" s="9" t="s">
        <v>3678</v>
      </c>
      <c r="I1320" s="10">
        <v>45564</v>
      </c>
    </row>
    <row r="1321" spans="1:9" x14ac:dyDescent="0.15">
      <c r="A1321" s="9">
        <v>1320</v>
      </c>
      <c r="B1321" s="9" t="s">
        <v>9</v>
      </c>
      <c r="C1321" s="9">
        <v>1916</v>
      </c>
      <c r="D1321" s="10">
        <v>45646</v>
      </c>
      <c r="E1321" s="13" t="str">
        <f>+HYPERLINK("http://trademark.i-assist.jp/data/china/image_1916th/81176030.pdf","81176030")</f>
        <v>81176030</v>
      </c>
      <c r="F1321" s="9" t="s">
        <v>3679</v>
      </c>
      <c r="G1321" s="9" t="s">
        <v>3680</v>
      </c>
      <c r="H1321" s="9" t="s">
        <v>3681</v>
      </c>
      <c r="I1321" s="10">
        <v>45564</v>
      </c>
    </row>
    <row r="1322" spans="1:9" x14ac:dyDescent="0.15">
      <c r="A1322" s="9">
        <v>1321</v>
      </c>
      <c r="B1322" s="9" t="s">
        <v>9</v>
      </c>
      <c r="C1322" s="9">
        <v>1916</v>
      </c>
      <c r="D1322" s="10">
        <v>45646</v>
      </c>
      <c r="E1322" s="13" t="str">
        <f>+HYPERLINK("http://trademark.i-assist.jp/data/china/image_1916th/81176041.pdf","81176041")</f>
        <v>81176041</v>
      </c>
      <c r="F1322" s="9" t="s">
        <v>3682</v>
      </c>
      <c r="G1322" s="9" t="s">
        <v>3683</v>
      </c>
      <c r="H1322" s="9" t="s">
        <v>3684</v>
      </c>
      <c r="I1322" s="10">
        <v>45564</v>
      </c>
    </row>
    <row r="1323" spans="1:9" x14ac:dyDescent="0.15">
      <c r="A1323" s="9">
        <v>1322</v>
      </c>
      <c r="B1323" s="9" t="s">
        <v>9</v>
      </c>
      <c r="C1323" s="9">
        <v>1916</v>
      </c>
      <c r="D1323" s="10">
        <v>45646</v>
      </c>
      <c r="E1323" s="13" t="str">
        <f>+HYPERLINK("http://trademark.i-assist.jp/data/china/image_1916th/81176082.pdf","81176082")</f>
        <v>81176082</v>
      </c>
      <c r="F1323" s="12" t="s">
        <v>3685</v>
      </c>
      <c r="G1323" s="9" t="s">
        <v>642</v>
      </c>
      <c r="H1323" s="9" t="s">
        <v>3686</v>
      </c>
      <c r="I1323" s="10">
        <v>45564</v>
      </c>
    </row>
    <row r="1324" spans="1:9" x14ac:dyDescent="0.15">
      <c r="A1324" s="9">
        <v>1323</v>
      </c>
      <c r="B1324" s="9" t="s">
        <v>9</v>
      </c>
      <c r="C1324" s="9">
        <v>1916</v>
      </c>
      <c r="D1324" s="10">
        <v>45646</v>
      </c>
      <c r="E1324" s="13" t="str">
        <f>+HYPERLINK("http://trademark.i-assist.jp/data/china/image_1916th/81176148.pdf","81176148")</f>
        <v>81176148</v>
      </c>
      <c r="F1324" s="9" t="s">
        <v>3687</v>
      </c>
      <c r="G1324" s="9" t="s">
        <v>3688</v>
      </c>
      <c r="H1324" s="9" t="s">
        <v>3689</v>
      </c>
      <c r="I1324" s="10">
        <v>45564</v>
      </c>
    </row>
    <row r="1325" spans="1:9" x14ac:dyDescent="0.15">
      <c r="A1325" s="9">
        <v>1324</v>
      </c>
      <c r="B1325" s="9" t="s">
        <v>9</v>
      </c>
      <c r="C1325" s="9">
        <v>1916</v>
      </c>
      <c r="D1325" s="10">
        <v>45646</v>
      </c>
      <c r="E1325" s="13" t="str">
        <f>+HYPERLINK("http://trademark.i-assist.jp/data/china/image_1916th/81176153.pdf","81176153")</f>
        <v>81176153</v>
      </c>
      <c r="F1325" s="9" t="s">
        <v>3690</v>
      </c>
      <c r="G1325" s="9" t="s">
        <v>3691</v>
      </c>
      <c r="H1325" s="12" t="s">
        <v>3692</v>
      </c>
      <c r="I1325" s="10">
        <v>45564</v>
      </c>
    </row>
    <row r="1326" spans="1:9" x14ac:dyDescent="0.15">
      <c r="A1326" s="9">
        <v>1325</v>
      </c>
      <c r="B1326" s="9" t="s">
        <v>9</v>
      </c>
      <c r="C1326" s="9">
        <v>1916</v>
      </c>
      <c r="D1326" s="10">
        <v>45646</v>
      </c>
      <c r="E1326" s="13" t="str">
        <f>+HYPERLINK("http://trademark.i-assist.jp/data/china/image_1916th/81176183.pdf","81176183")</f>
        <v>81176183</v>
      </c>
      <c r="F1326" s="12" t="s">
        <v>3693</v>
      </c>
      <c r="G1326" s="12" t="s">
        <v>1742</v>
      </c>
      <c r="H1326" s="9" t="s">
        <v>3694</v>
      </c>
      <c r="I1326" s="10">
        <v>45564</v>
      </c>
    </row>
    <row r="1327" spans="1:9" x14ac:dyDescent="0.15">
      <c r="A1327" s="9">
        <v>1326</v>
      </c>
      <c r="B1327" s="9" t="s">
        <v>9</v>
      </c>
      <c r="C1327" s="9">
        <v>1916</v>
      </c>
      <c r="D1327" s="10">
        <v>45646</v>
      </c>
      <c r="E1327" s="13" t="str">
        <f>+HYPERLINK("http://trademark.i-assist.jp/data/china/image_1916th/81176294.pdf","81176294")</f>
        <v>81176294</v>
      </c>
      <c r="F1327" s="9" t="s">
        <v>3695</v>
      </c>
      <c r="G1327" s="12" t="s">
        <v>70</v>
      </c>
      <c r="H1327" s="9" t="s">
        <v>3696</v>
      </c>
      <c r="I1327" s="10">
        <v>45564</v>
      </c>
    </row>
    <row r="1328" spans="1:9" x14ac:dyDescent="0.15">
      <c r="A1328" s="9">
        <v>1327</v>
      </c>
      <c r="B1328" s="9" t="s">
        <v>9</v>
      </c>
      <c r="C1328" s="9">
        <v>1916</v>
      </c>
      <c r="D1328" s="10">
        <v>45646</v>
      </c>
      <c r="E1328" s="13" t="str">
        <f>+HYPERLINK("http://trademark.i-assist.jp/data/china/image_1916th/81177068.pdf","81177068")</f>
        <v>81177068</v>
      </c>
      <c r="F1328" s="9" t="s">
        <v>3697</v>
      </c>
      <c r="G1328" s="12" t="s">
        <v>3698</v>
      </c>
      <c r="H1328" s="9" t="s">
        <v>3699</v>
      </c>
      <c r="I1328" s="10">
        <v>45564</v>
      </c>
    </row>
    <row r="1329" spans="1:9" x14ac:dyDescent="0.15">
      <c r="A1329" s="9">
        <v>1328</v>
      </c>
      <c r="B1329" s="9" t="s">
        <v>9</v>
      </c>
      <c r="C1329" s="9">
        <v>1916</v>
      </c>
      <c r="D1329" s="10">
        <v>45646</v>
      </c>
      <c r="E1329" s="13" t="str">
        <f>+HYPERLINK("http://trademark.i-assist.jp/data/china/image_1916th/81177154.pdf","81177154")</f>
        <v>81177154</v>
      </c>
      <c r="F1329" s="9" t="s">
        <v>3700</v>
      </c>
      <c r="G1329" s="12" t="s">
        <v>3701</v>
      </c>
      <c r="H1329" s="12" t="s">
        <v>3702</v>
      </c>
      <c r="I1329" s="10">
        <v>45564</v>
      </c>
    </row>
    <row r="1330" spans="1:9" x14ac:dyDescent="0.15">
      <c r="A1330" s="9">
        <v>1329</v>
      </c>
      <c r="B1330" s="9" t="s">
        <v>9</v>
      </c>
      <c r="C1330" s="9">
        <v>1916</v>
      </c>
      <c r="D1330" s="10">
        <v>45646</v>
      </c>
      <c r="E1330" s="13" t="str">
        <f>+HYPERLINK("http://trademark.i-assist.jp/data/china/image_1916th/81177399.pdf","81177399")</f>
        <v>81177399</v>
      </c>
      <c r="F1330" s="9" t="s">
        <v>3703</v>
      </c>
      <c r="G1330" s="9" t="s">
        <v>3704</v>
      </c>
      <c r="H1330" s="12" t="s">
        <v>3705</v>
      </c>
      <c r="I1330" s="10">
        <v>45564</v>
      </c>
    </row>
    <row r="1331" spans="1:9" x14ac:dyDescent="0.15">
      <c r="A1331" s="9">
        <v>1330</v>
      </c>
      <c r="B1331" s="9" t="s">
        <v>9</v>
      </c>
      <c r="C1331" s="9">
        <v>1916</v>
      </c>
      <c r="D1331" s="10">
        <v>45646</v>
      </c>
      <c r="E1331" s="13" t="str">
        <f>+HYPERLINK("http://trademark.i-assist.jp/data/china/image_1916th/81177907.pdf","81177907")</f>
        <v>81177907</v>
      </c>
      <c r="F1331" s="9" t="s">
        <v>3706</v>
      </c>
      <c r="G1331" s="9" t="s">
        <v>3707</v>
      </c>
      <c r="H1331" s="9" t="s">
        <v>3708</v>
      </c>
      <c r="I1331" s="10">
        <v>45564</v>
      </c>
    </row>
    <row r="1332" spans="1:9" x14ac:dyDescent="0.15">
      <c r="A1332" s="9">
        <v>1331</v>
      </c>
      <c r="B1332" s="9" t="s">
        <v>9</v>
      </c>
      <c r="C1332" s="9">
        <v>1916</v>
      </c>
      <c r="D1332" s="10">
        <v>45646</v>
      </c>
      <c r="E1332" s="13" t="str">
        <f>+HYPERLINK("http://trademark.i-assist.jp/data/china/image_1916th/81178089.pdf","81178089")</f>
        <v>81178089</v>
      </c>
      <c r="F1332" s="12" t="s">
        <v>3709</v>
      </c>
      <c r="G1332" s="9" t="s">
        <v>3710</v>
      </c>
      <c r="H1332" s="9" t="s">
        <v>3711</v>
      </c>
      <c r="I1332" s="10">
        <v>45564</v>
      </c>
    </row>
    <row r="1333" spans="1:9" x14ac:dyDescent="0.15">
      <c r="A1333" s="9">
        <v>1332</v>
      </c>
      <c r="B1333" s="9" t="s">
        <v>9</v>
      </c>
      <c r="C1333" s="9">
        <v>1916</v>
      </c>
      <c r="D1333" s="10">
        <v>45646</v>
      </c>
      <c r="E1333" s="13" t="str">
        <f>+HYPERLINK("http://trademark.i-assist.jp/data/china/image_1916th/81178171.pdf","81178171")</f>
        <v>81178171</v>
      </c>
      <c r="F1333" s="9" t="s">
        <v>3712</v>
      </c>
      <c r="G1333" s="9" t="s">
        <v>3713</v>
      </c>
      <c r="H1333" s="12" t="s">
        <v>3714</v>
      </c>
      <c r="I1333" s="10">
        <v>45564</v>
      </c>
    </row>
    <row r="1334" spans="1:9" x14ac:dyDescent="0.15">
      <c r="A1334" s="9">
        <v>1333</v>
      </c>
      <c r="B1334" s="9" t="s">
        <v>9</v>
      </c>
      <c r="C1334" s="9">
        <v>1916</v>
      </c>
      <c r="D1334" s="10">
        <v>45646</v>
      </c>
      <c r="E1334" s="13" t="str">
        <f>+HYPERLINK("http://trademark.i-assist.jp/data/china/image_1916th/81178883.pdf","81178883")</f>
        <v>81178883</v>
      </c>
      <c r="F1334" s="9" t="s">
        <v>3715</v>
      </c>
      <c r="G1334" s="12" t="s">
        <v>3716</v>
      </c>
      <c r="H1334" s="12" t="s">
        <v>3717</v>
      </c>
      <c r="I1334" s="10">
        <v>45564</v>
      </c>
    </row>
    <row r="1335" spans="1:9" x14ac:dyDescent="0.15">
      <c r="A1335" s="9">
        <v>1334</v>
      </c>
      <c r="B1335" s="9" t="s">
        <v>9</v>
      </c>
      <c r="C1335" s="9">
        <v>1916</v>
      </c>
      <c r="D1335" s="10">
        <v>45646</v>
      </c>
      <c r="E1335" s="13" t="str">
        <f>+HYPERLINK("http://trademark.i-assist.jp/data/china/image_1916th/81178923.pdf","81178923")</f>
        <v>81178923</v>
      </c>
      <c r="F1335" s="9" t="s">
        <v>3718</v>
      </c>
      <c r="G1335" s="12" t="s">
        <v>3719</v>
      </c>
      <c r="H1335" s="9" t="s">
        <v>3720</v>
      </c>
      <c r="I1335" s="10">
        <v>45564</v>
      </c>
    </row>
    <row r="1336" spans="1:9" x14ac:dyDescent="0.15">
      <c r="A1336" s="9">
        <v>1335</v>
      </c>
      <c r="B1336" s="9" t="s">
        <v>9</v>
      </c>
      <c r="C1336" s="9">
        <v>1916</v>
      </c>
      <c r="D1336" s="10">
        <v>45646</v>
      </c>
      <c r="E1336" s="13" t="str">
        <f>+HYPERLINK("http://trademark.i-assist.jp/data/china/image_1916th/81179229.pdf","81179229")</f>
        <v>81179229</v>
      </c>
      <c r="F1336" s="12" t="s">
        <v>3721</v>
      </c>
      <c r="G1336" s="9" t="s">
        <v>3722</v>
      </c>
      <c r="H1336" s="9" t="s">
        <v>3723</v>
      </c>
      <c r="I1336" s="10">
        <v>45564</v>
      </c>
    </row>
    <row r="1337" spans="1:9" x14ac:dyDescent="0.15">
      <c r="A1337" s="9">
        <v>1336</v>
      </c>
      <c r="B1337" s="9" t="s">
        <v>9</v>
      </c>
      <c r="C1337" s="9">
        <v>1916</v>
      </c>
      <c r="D1337" s="10">
        <v>45646</v>
      </c>
      <c r="E1337" s="13" t="str">
        <f>+HYPERLINK("http://trademark.i-assist.jp/data/china/image_1916th/81179322.pdf","81179322")</f>
        <v>81179322</v>
      </c>
      <c r="F1337" s="9" t="s">
        <v>3724</v>
      </c>
      <c r="G1337" s="9" t="s">
        <v>3725</v>
      </c>
      <c r="H1337" s="9" t="s">
        <v>3726</v>
      </c>
      <c r="I1337" s="10">
        <v>45564</v>
      </c>
    </row>
    <row r="1338" spans="1:9" x14ac:dyDescent="0.15">
      <c r="A1338" s="9">
        <v>1337</v>
      </c>
      <c r="B1338" s="9" t="s">
        <v>9</v>
      </c>
      <c r="C1338" s="9">
        <v>1916</v>
      </c>
      <c r="D1338" s="10">
        <v>45646</v>
      </c>
      <c r="E1338" s="13" t="str">
        <f>+HYPERLINK("http://trademark.i-assist.jp/data/china/image_1916th/81179778.pdf","81179778")</f>
        <v>81179778</v>
      </c>
      <c r="F1338" s="9" t="s">
        <v>3727</v>
      </c>
      <c r="G1338" s="12" t="s">
        <v>1742</v>
      </c>
      <c r="H1338" s="9" t="s">
        <v>3728</v>
      </c>
      <c r="I1338" s="10">
        <v>45564</v>
      </c>
    </row>
    <row r="1339" spans="1:9" x14ac:dyDescent="0.15">
      <c r="A1339" s="9">
        <v>1338</v>
      </c>
      <c r="B1339" s="9" t="s">
        <v>9</v>
      </c>
      <c r="C1339" s="9">
        <v>1916</v>
      </c>
      <c r="D1339" s="10">
        <v>45646</v>
      </c>
      <c r="E1339" s="13" t="str">
        <f>+HYPERLINK("http://trademark.i-assist.jp/data/china/image_1916th/81179792.pdf","81179792")</f>
        <v>81179792</v>
      </c>
      <c r="F1339" s="9" t="s">
        <v>3729</v>
      </c>
      <c r="G1339" s="9" t="s">
        <v>3730</v>
      </c>
      <c r="H1339" s="9" t="s">
        <v>3731</v>
      </c>
      <c r="I1339" s="10">
        <v>45564</v>
      </c>
    </row>
    <row r="1340" spans="1:9" x14ac:dyDescent="0.15">
      <c r="A1340" s="9">
        <v>1339</v>
      </c>
      <c r="B1340" s="9" t="s">
        <v>9</v>
      </c>
      <c r="C1340" s="9">
        <v>1916</v>
      </c>
      <c r="D1340" s="10">
        <v>45646</v>
      </c>
      <c r="E1340" s="13" t="str">
        <f>+HYPERLINK("http://trademark.i-assist.jp/data/china/image_1916th/81180258.pdf","81180258")</f>
        <v>81180258</v>
      </c>
      <c r="F1340" s="9" t="s">
        <v>3732</v>
      </c>
      <c r="G1340" s="12" t="s">
        <v>3733</v>
      </c>
      <c r="H1340" s="9" t="s">
        <v>3734</v>
      </c>
      <c r="I1340" s="10">
        <v>45564</v>
      </c>
    </row>
    <row r="1341" spans="1:9" x14ac:dyDescent="0.15">
      <c r="A1341" s="9">
        <v>1340</v>
      </c>
      <c r="B1341" s="9" t="s">
        <v>9</v>
      </c>
      <c r="C1341" s="9">
        <v>1916</v>
      </c>
      <c r="D1341" s="10">
        <v>45646</v>
      </c>
      <c r="E1341" s="13" t="str">
        <f>+HYPERLINK("http://trademark.i-assist.jp/data/china/image_1916th/81180605.pdf","81180605")</f>
        <v>81180605</v>
      </c>
      <c r="F1341" s="9" t="s">
        <v>3735</v>
      </c>
      <c r="G1341" s="9" t="s">
        <v>3736</v>
      </c>
      <c r="H1341" s="9" t="s">
        <v>3737</v>
      </c>
      <c r="I1341" s="10">
        <v>45564</v>
      </c>
    </row>
    <row r="1342" spans="1:9" x14ac:dyDescent="0.15">
      <c r="A1342" s="9">
        <v>1341</v>
      </c>
      <c r="B1342" s="9" t="s">
        <v>9</v>
      </c>
      <c r="C1342" s="9">
        <v>1916</v>
      </c>
      <c r="D1342" s="10">
        <v>45646</v>
      </c>
      <c r="E1342" s="13" t="str">
        <f>+HYPERLINK("http://trademark.i-assist.jp/data/china/image_1916th/81181409.pdf","81181409")</f>
        <v>81181409</v>
      </c>
      <c r="F1342" s="9" t="s">
        <v>3738</v>
      </c>
      <c r="G1342" s="12" t="s">
        <v>3719</v>
      </c>
      <c r="H1342" s="9" t="s">
        <v>3739</v>
      </c>
      <c r="I1342" s="10">
        <v>45564</v>
      </c>
    </row>
    <row r="1343" spans="1:9" x14ac:dyDescent="0.15">
      <c r="A1343" s="9">
        <v>1342</v>
      </c>
      <c r="B1343" s="9" t="s">
        <v>9</v>
      </c>
      <c r="C1343" s="9">
        <v>1916</v>
      </c>
      <c r="D1343" s="10">
        <v>45646</v>
      </c>
      <c r="E1343" s="13" t="str">
        <f>+HYPERLINK("http://trademark.i-assist.jp/data/china/image_1916th/81181494.pdf","81181494")</f>
        <v>81181494</v>
      </c>
      <c r="F1343" s="12" t="s">
        <v>3740</v>
      </c>
      <c r="G1343" s="12" t="s">
        <v>3741</v>
      </c>
      <c r="H1343" s="9" t="s">
        <v>3742</v>
      </c>
      <c r="I1343" s="10">
        <v>45564</v>
      </c>
    </row>
    <row r="1344" spans="1:9" x14ac:dyDescent="0.15">
      <c r="A1344" s="9">
        <v>1343</v>
      </c>
      <c r="B1344" s="9" t="s">
        <v>9</v>
      </c>
      <c r="C1344" s="9">
        <v>1916</v>
      </c>
      <c r="D1344" s="10">
        <v>45646</v>
      </c>
      <c r="E1344" s="13" t="str">
        <f>+HYPERLINK("http://trademark.i-assist.jp/data/china/image_1916th/81181809.pdf","81181809")</f>
        <v>81181809</v>
      </c>
      <c r="F1344" s="9" t="s">
        <v>3743</v>
      </c>
      <c r="G1344" s="9" t="s">
        <v>3744</v>
      </c>
      <c r="H1344" s="9" t="s">
        <v>3745</v>
      </c>
      <c r="I1344" s="10">
        <v>45564</v>
      </c>
    </row>
    <row r="1345" spans="1:9" x14ac:dyDescent="0.15">
      <c r="A1345" s="9">
        <v>1344</v>
      </c>
      <c r="B1345" s="9" t="s">
        <v>9</v>
      </c>
      <c r="C1345" s="9">
        <v>1916</v>
      </c>
      <c r="D1345" s="10">
        <v>45646</v>
      </c>
      <c r="E1345" s="13" t="str">
        <f>+HYPERLINK("http://trademark.i-assist.jp/data/china/image_1916th/81182534.pdf","81182534")</f>
        <v>81182534</v>
      </c>
      <c r="F1345" s="9" t="s">
        <v>3746</v>
      </c>
      <c r="G1345" s="9" t="s">
        <v>71</v>
      </c>
      <c r="H1345" s="9" t="s">
        <v>3747</v>
      </c>
      <c r="I1345" s="10">
        <v>45564</v>
      </c>
    </row>
    <row r="1346" spans="1:9" x14ac:dyDescent="0.15">
      <c r="A1346" s="9">
        <v>1345</v>
      </c>
      <c r="B1346" s="9" t="s">
        <v>9</v>
      </c>
      <c r="C1346" s="9">
        <v>1916</v>
      </c>
      <c r="D1346" s="10">
        <v>45646</v>
      </c>
      <c r="E1346" s="13" t="str">
        <f>+HYPERLINK("http://trademark.i-assist.jp/data/china/image_1916th/81182694.pdf","81182694")</f>
        <v>81182694</v>
      </c>
      <c r="F1346" s="9" t="s">
        <v>3748</v>
      </c>
      <c r="G1346" s="9" t="s">
        <v>3749</v>
      </c>
      <c r="H1346" s="12" t="s">
        <v>3750</v>
      </c>
      <c r="I1346" s="10">
        <v>45564</v>
      </c>
    </row>
    <row r="1347" spans="1:9" x14ac:dyDescent="0.15">
      <c r="A1347" s="9">
        <v>1346</v>
      </c>
      <c r="B1347" s="9" t="s">
        <v>9</v>
      </c>
      <c r="C1347" s="9">
        <v>1916</v>
      </c>
      <c r="D1347" s="10">
        <v>45646</v>
      </c>
      <c r="E1347" s="13" t="str">
        <f>+HYPERLINK("http://trademark.i-assist.jp/data/china/image_1916th/81183356.pdf","81183356")</f>
        <v>81183356</v>
      </c>
      <c r="F1347" s="12" t="s">
        <v>3751</v>
      </c>
      <c r="G1347" s="9" t="s">
        <v>3752</v>
      </c>
      <c r="H1347" s="9" t="s">
        <v>3753</v>
      </c>
      <c r="I1347" s="10">
        <v>45564</v>
      </c>
    </row>
    <row r="1348" spans="1:9" x14ac:dyDescent="0.15">
      <c r="A1348" s="9">
        <v>1347</v>
      </c>
      <c r="B1348" s="9" t="s">
        <v>9</v>
      </c>
      <c r="C1348" s="9">
        <v>1916</v>
      </c>
      <c r="D1348" s="10">
        <v>45646</v>
      </c>
      <c r="E1348" s="13" t="str">
        <f>+HYPERLINK("http://trademark.i-assist.jp/data/china/image_1916th/81183516.pdf","81183516")</f>
        <v>81183516</v>
      </c>
      <c r="F1348" s="9" t="s">
        <v>3754</v>
      </c>
      <c r="G1348" s="9" t="s">
        <v>3755</v>
      </c>
      <c r="H1348" s="9" t="s">
        <v>3756</v>
      </c>
      <c r="I1348" s="10">
        <v>45564</v>
      </c>
    </row>
    <row r="1349" spans="1:9" x14ac:dyDescent="0.15">
      <c r="A1349" s="9">
        <v>1348</v>
      </c>
      <c r="B1349" s="9" t="s">
        <v>9</v>
      </c>
      <c r="C1349" s="9">
        <v>1916</v>
      </c>
      <c r="D1349" s="10">
        <v>45646</v>
      </c>
      <c r="E1349" s="13" t="str">
        <f>+HYPERLINK("http://trademark.i-assist.jp/data/china/image_1916th/81183701.pdf","81183701")</f>
        <v>81183701</v>
      </c>
      <c r="F1349" s="9" t="s">
        <v>3757</v>
      </c>
      <c r="G1349" s="9" t="s">
        <v>3758</v>
      </c>
      <c r="H1349" s="9" t="s">
        <v>3759</v>
      </c>
      <c r="I1349" s="10">
        <v>45564</v>
      </c>
    </row>
    <row r="1350" spans="1:9" x14ac:dyDescent="0.15">
      <c r="A1350" s="9">
        <v>1349</v>
      </c>
      <c r="B1350" s="9" t="s">
        <v>9</v>
      </c>
      <c r="C1350" s="9">
        <v>1916</v>
      </c>
      <c r="D1350" s="10">
        <v>45646</v>
      </c>
      <c r="E1350" s="13" t="str">
        <f>+HYPERLINK("http://trademark.i-assist.jp/data/china/image_1916th/81183768.pdf","81183768")</f>
        <v>81183768</v>
      </c>
      <c r="F1350" s="9" t="s">
        <v>3760</v>
      </c>
      <c r="G1350" s="9" t="s">
        <v>3761</v>
      </c>
      <c r="H1350" s="9" t="s">
        <v>3762</v>
      </c>
      <c r="I1350" s="10">
        <v>45564</v>
      </c>
    </row>
    <row r="1351" spans="1:9" x14ac:dyDescent="0.15">
      <c r="A1351" s="9">
        <v>1350</v>
      </c>
      <c r="B1351" s="9" t="s">
        <v>9</v>
      </c>
      <c r="C1351" s="9">
        <v>1916</v>
      </c>
      <c r="D1351" s="10">
        <v>45646</v>
      </c>
      <c r="E1351" s="13" t="str">
        <f>+HYPERLINK("http://trademark.i-assist.jp/data/china/image_1916th/81184012.pdf","81184012")</f>
        <v>81184012</v>
      </c>
      <c r="F1351" s="9" t="s">
        <v>3763</v>
      </c>
      <c r="G1351" s="12" t="s">
        <v>3764</v>
      </c>
      <c r="H1351" s="9" t="s">
        <v>3765</v>
      </c>
      <c r="I1351" s="10">
        <v>45564</v>
      </c>
    </row>
    <row r="1352" spans="1:9" x14ac:dyDescent="0.15">
      <c r="A1352" s="9">
        <v>1351</v>
      </c>
      <c r="B1352" s="9" t="s">
        <v>9</v>
      </c>
      <c r="C1352" s="9">
        <v>1916</v>
      </c>
      <c r="D1352" s="10">
        <v>45646</v>
      </c>
      <c r="E1352" s="13" t="str">
        <f>+HYPERLINK("http://trademark.i-assist.jp/data/china/image_1916th/81184098.pdf","81184098")</f>
        <v>81184098</v>
      </c>
      <c r="F1352" s="9" t="s">
        <v>3766</v>
      </c>
      <c r="G1352" s="9" t="s">
        <v>3767</v>
      </c>
      <c r="H1352" s="9" t="s">
        <v>3768</v>
      </c>
      <c r="I1352" s="10">
        <v>45564</v>
      </c>
    </row>
    <row r="1353" spans="1:9" x14ac:dyDescent="0.15">
      <c r="A1353" s="9">
        <v>1352</v>
      </c>
      <c r="B1353" s="9" t="s">
        <v>9</v>
      </c>
      <c r="C1353" s="9">
        <v>1916</v>
      </c>
      <c r="D1353" s="10">
        <v>45646</v>
      </c>
      <c r="E1353" s="13" t="str">
        <f>+HYPERLINK("http://trademark.i-assist.jp/data/china/image_1916th/81184462.pdf","81184462")</f>
        <v>81184462</v>
      </c>
      <c r="F1353" s="12" t="s">
        <v>13</v>
      </c>
      <c r="G1353" s="9" t="s">
        <v>3769</v>
      </c>
      <c r="H1353" s="12" t="s">
        <v>3770</v>
      </c>
      <c r="I1353" s="10">
        <v>45564</v>
      </c>
    </row>
    <row r="1354" spans="1:9" x14ac:dyDescent="0.15">
      <c r="A1354" s="9">
        <v>1353</v>
      </c>
      <c r="B1354" s="9" t="s">
        <v>9</v>
      </c>
      <c r="C1354" s="9">
        <v>1916</v>
      </c>
      <c r="D1354" s="10">
        <v>45646</v>
      </c>
      <c r="E1354" s="13" t="str">
        <f>+HYPERLINK("http://trademark.i-assist.jp/data/china/image_1916th/81184900.pdf","81184900")</f>
        <v>81184900</v>
      </c>
      <c r="F1354" s="9" t="s">
        <v>3771</v>
      </c>
      <c r="G1354" s="9" t="s">
        <v>3772</v>
      </c>
      <c r="H1354" s="12" t="s">
        <v>3773</v>
      </c>
      <c r="I1354" s="10">
        <v>45564</v>
      </c>
    </row>
    <row r="1355" spans="1:9" x14ac:dyDescent="0.15">
      <c r="A1355" s="9">
        <v>1354</v>
      </c>
      <c r="B1355" s="9" t="s">
        <v>9</v>
      </c>
      <c r="C1355" s="9">
        <v>1916</v>
      </c>
      <c r="D1355" s="10">
        <v>45646</v>
      </c>
      <c r="E1355" s="13" t="str">
        <f>+HYPERLINK("http://trademark.i-assist.jp/data/china/image_1916th/81185254.pdf","81185254")</f>
        <v>81185254</v>
      </c>
      <c r="F1355" s="9" t="s">
        <v>3774</v>
      </c>
      <c r="G1355" s="9" t="s">
        <v>3775</v>
      </c>
      <c r="H1355" s="9" t="s">
        <v>3776</v>
      </c>
      <c r="I1355" s="10">
        <v>45564</v>
      </c>
    </row>
    <row r="1356" spans="1:9" x14ac:dyDescent="0.15">
      <c r="A1356" s="9">
        <v>1355</v>
      </c>
      <c r="B1356" s="9" t="s">
        <v>9</v>
      </c>
      <c r="C1356" s="9">
        <v>1916</v>
      </c>
      <c r="D1356" s="10">
        <v>45646</v>
      </c>
      <c r="E1356" s="13" t="str">
        <f>+HYPERLINK("http://trademark.i-assist.jp/data/china/image_1916th/81185484.pdf","81185484")</f>
        <v>81185484</v>
      </c>
      <c r="F1356" s="12" t="s">
        <v>3777</v>
      </c>
      <c r="G1356" s="9" t="s">
        <v>3778</v>
      </c>
      <c r="H1356" s="9" t="s">
        <v>3779</v>
      </c>
      <c r="I1356" s="10">
        <v>45564</v>
      </c>
    </row>
    <row r="1357" spans="1:9" x14ac:dyDescent="0.15">
      <c r="A1357" s="9">
        <v>1356</v>
      </c>
      <c r="B1357" s="9" t="s">
        <v>9</v>
      </c>
      <c r="C1357" s="9">
        <v>1916</v>
      </c>
      <c r="D1357" s="10">
        <v>45646</v>
      </c>
      <c r="E1357" s="13" t="str">
        <f>+HYPERLINK("http://trademark.i-assist.jp/data/china/image_1916th/81185645.pdf","81185645")</f>
        <v>81185645</v>
      </c>
      <c r="F1357" s="9" t="s">
        <v>3780</v>
      </c>
      <c r="G1357" s="9" t="s">
        <v>3781</v>
      </c>
      <c r="H1357" s="9" t="s">
        <v>3782</v>
      </c>
      <c r="I1357" s="10">
        <v>45564</v>
      </c>
    </row>
    <row r="1358" spans="1:9" x14ac:dyDescent="0.15">
      <c r="A1358" s="9">
        <v>1357</v>
      </c>
      <c r="B1358" s="9" t="s">
        <v>9</v>
      </c>
      <c r="C1358" s="9">
        <v>1916</v>
      </c>
      <c r="D1358" s="10">
        <v>45646</v>
      </c>
      <c r="E1358" s="13" t="str">
        <f>+HYPERLINK("http://trademark.i-assist.jp/data/china/image_1916th/81185857.pdf","81185857")</f>
        <v>81185857</v>
      </c>
      <c r="F1358" s="9" t="s">
        <v>3783</v>
      </c>
      <c r="G1358" s="9" t="s">
        <v>3784</v>
      </c>
      <c r="H1358" s="9" t="s">
        <v>3785</v>
      </c>
      <c r="I1358" s="10">
        <v>45564</v>
      </c>
    </row>
    <row r="1359" spans="1:9" x14ac:dyDescent="0.15">
      <c r="A1359" s="9">
        <v>1358</v>
      </c>
      <c r="B1359" s="9" t="s">
        <v>9</v>
      </c>
      <c r="C1359" s="9">
        <v>1916</v>
      </c>
      <c r="D1359" s="10">
        <v>45646</v>
      </c>
      <c r="E1359" s="13" t="str">
        <f>+HYPERLINK("http://trademark.i-assist.jp/data/china/image_1916th/81186077.pdf","81186077")</f>
        <v>81186077</v>
      </c>
      <c r="F1359" s="9" t="s">
        <v>3786</v>
      </c>
      <c r="G1359" s="12" t="s">
        <v>3674</v>
      </c>
      <c r="H1359" s="12" t="s">
        <v>3787</v>
      </c>
      <c r="I1359" s="10">
        <v>45564</v>
      </c>
    </row>
    <row r="1360" spans="1:9" x14ac:dyDescent="0.15">
      <c r="A1360" s="9">
        <v>1359</v>
      </c>
      <c r="B1360" s="9" t="s">
        <v>9</v>
      </c>
      <c r="C1360" s="9">
        <v>1916</v>
      </c>
      <c r="D1360" s="10">
        <v>45646</v>
      </c>
      <c r="E1360" s="13" t="str">
        <f>+HYPERLINK("http://trademark.i-assist.jp/data/china/image_1916th/81186104.pdf","81186104")</f>
        <v>81186104</v>
      </c>
      <c r="F1360" s="12" t="s">
        <v>3788</v>
      </c>
      <c r="G1360" s="12" t="s">
        <v>3674</v>
      </c>
      <c r="H1360" s="9" t="s">
        <v>3789</v>
      </c>
      <c r="I1360" s="10">
        <v>45564</v>
      </c>
    </row>
    <row r="1361" spans="1:9" x14ac:dyDescent="0.15">
      <c r="A1361" s="9">
        <v>1360</v>
      </c>
      <c r="B1361" s="9" t="s">
        <v>9</v>
      </c>
      <c r="C1361" s="9">
        <v>1916</v>
      </c>
      <c r="D1361" s="10">
        <v>45646</v>
      </c>
      <c r="E1361" s="13" t="str">
        <f>+HYPERLINK("http://trademark.i-assist.jp/data/china/image_1916th/81186113.pdf","81186113")</f>
        <v>81186113</v>
      </c>
      <c r="F1361" s="12" t="s">
        <v>3790</v>
      </c>
      <c r="G1361" s="9" t="s">
        <v>3791</v>
      </c>
      <c r="H1361" s="9" t="s">
        <v>3792</v>
      </c>
      <c r="I1361" s="10">
        <v>45564</v>
      </c>
    </row>
    <row r="1362" spans="1:9" x14ac:dyDescent="0.15">
      <c r="A1362" s="9">
        <v>1361</v>
      </c>
      <c r="B1362" s="9" t="s">
        <v>9</v>
      </c>
      <c r="C1362" s="9">
        <v>1916</v>
      </c>
      <c r="D1362" s="10">
        <v>45646</v>
      </c>
      <c r="E1362" s="13" t="str">
        <f>+HYPERLINK("http://trademark.i-assist.jp/data/china/image_1916th/81186179.pdf","81186179")</f>
        <v>81186179</v>
      </c>
      <c r="F1362" s="9" t="s">
        <v>3793</v>
      </c>
      <c r="G1362" s="12" t="s">
        <v>3674</v>
      </c>
      <c r="H1362" s="9" t="s">
        <v>3794</v>
      </c>
      <c r="I1362" s="10">
        <v>45564</v>
      </c>
    </row>
    <row r="1363" spans="1:9" x14ac:dyDescent="0.15">
      <c r="A1363" s="9">
        <v>1362</v>
      </c>
      <c r="B1363" s="9" t="s">
        <v>9</v>
      </c>
      <c r="C1363" s="9">
        <v>1916</v>
      </c>
      <c r="D1363" s="10">
        <v>45646</v>
      </c>
      <c r="E1363" s="13" t="str">
        <f>+HYPERLINK("http://trademark.i-assist.jp/data/china/image_1916th/81186401.pdf","81186401")</f>
        <v>81186401</v>
      </c>
      <c r="F1363" s="9" t="s">
        <v>3795</v>
      </c>
      <c r="G1363" s="12" t="s">
        <v>3796</v>
      </c>
      <c r="H1363" s="9" t="s">
        <v>3797</v>
      </c>
      <c r="I1363" s="10">
        <v>45564</v>
      </c>
    </row>
    <row r="1364" spans="1:9" x14ac:dyDescent="0.15">
      <c r="A1364" s="9">
        <v>1363</v>
      </c>
      <c r="B1364" s="9" t="s">
        <v>9</v>
      </c>
      <c r="C1364" s="9">
        <v>1916</v>
      </c>
      <c r="D1364" s="10">
        <v>45646</v>
      </c>
      <c r="E1364" s="13" t="str">
        <f>+HYPERLINK("http://trademark.i-assist.jp/data/china/image_1916th/81186426.pdf","81186426")</f>
        <v>81186426</v>
      </c>
      <c r="F1364" s="12" t="s">
        <v>3798</v>
      </c>
      <c r="G1364" s="9" t="s">
        <v>3799</v>
      </c>
      <c r="H1364" s="9" t="s">
        <v>3800</v>
      </c>
      <c r="I1364" s="10">
        <v>45564</v>
      </c>
    </row>
    <row r="1365" spans="1:9" x14ac:dyDescent="0.15">
      <c r="A1365" s="9">
        <v>1364</v>
      </c>
      <c r="B1365" s="9" t="s">
        <v>9</v>
      </c>
      <c r="C1365" s="9">
        <v>1916</v>
      </c>
      <c r="D1365" s="10">
        <v>45646</v>
      </c>
      <c r="E1365" s="13" t="str">
        <f>+HYPERLINK("http://trademark.i-assist.jp/data/china/image_1916th/81186528.pdf","81186528")</f>
        <v>81186528</v>
      </c>
      <c r="F1365" s="9" t="s">
        <v>3801</v>
      </c>
      <c r="G1365" s="9" t="s">
        <v>3802</v>
      </c>
      <c r="H1365" s="9" t="s">
        <v>3803</v>
      </c>
      <c r="I1365" s="10">
        <v>45564</v>
      </c>
    </row>
    <row r="1366" spans="1:9" x14ac:dyDescent="0.15">
      <c r="A1366" s="9">
        <v>1365</v>
      </c>
      <c r="B1366" s="9" t="s">
        <v>9</v>
      </c>
      <c r="C1366" s="9">
        <v>1916</v>
      </c>
      <c r="D1366" s="10">
        <v>45646</v>
      </c>
      <c r="E1366" s="13" t="str">
        <f>+HYPERLINK("http://trademark.i-assist.jp/data/china/image_1916th/81186680.pdf","81186680")</f>
        <v>81186680</v>
      </c>
      <c r="F1366" s="9" t="s">
        <v>3804</v>
      </c>
      <c r="G1366" s="9" t="s">
        <v>1454</v>
      </c>
      <c r="H1366" s="9" t="s">
        <v>3805</v>
      </c>
      <c r="I1366" s="10">
        <v>45564</v>
      </c>
    </row>
    <row r="1367" spans="1:9" x14ac:dyDescent="0.15">
      <c r="A1367" s="9">
        <v>1366</v>
      </c>
      <c r="B1367" s="9" t="s">
        <v>9</v>
      </c>
      <c r="C1367" s="9">
        <v>1916</v>
      </c>
      <c r="D1367" s="10">
        <v>45646</v>
      </c>
      <c r="E1367" s="13" t="str">
        <f>+HYPERLINK("http://trademark.i-assist.jp/data/china/image_1916th/81186723.pdf","81186723")</f>
        <v>81186723</v>
      </c>
      <c r="F1367" s="12" t="s">
        <v>3806</v>
      </c>
      <c r="G1367" s="12" t="s">
        <v>3674</v>
      </c>
      <c r="H1367" s="9" t="s">
        <v>3807</v>
      </c>
      <c r="I1367" s="10">
        <v>45564</v>
      </c>
    </row>
    <row r="1368" spans="1:9" x14ac:dyDescent="0.15">
      <c r="A1368" s="9">
        <v>1367</v>
      </c>
      <c r="B1368" s="9" t="s">
        <v>9</v>
      </c>
      <c r="C1368" s="9">
        <v>1916</v>
      </c>
      <c r="D1368" s="10">
        <v>45646</v>
      </c>
      <c r="E1368" s="13" t="str">
        <f>+HYPERLINK("http://trademark.i-assist.jp/data/china/image_1916th/81186753.pdf","81186753")</f>
        <v>81186753</v>
      </c>
      <c r="F1368" s="12" t="s">
        <v>3808</v>
      </c>
      <c r="G1368" s="12" t="s">
        <v>3674</v>
      </c>
      <c r="H1368" s="9" t="s">
        <v>3809</v>
      </c>
      <c r="I1368" s="10">
        <v>45564</v>
      </c>
    </row>
    <row r="1369" spans="1:9" x14ac:dyDescent="0.15">
      <c r="A1369" s="9">
        <v>1368</v>
      </c>
      <c r="B1369" s="9" t="s">
        <v>9</v>
      </c>
      <c r="C1369" s="9">
        <v>1916</v>
      </c>
      <c r="D1369" s="10">
        <v>45646</v>
      </c>
      <c r="E1369" s="13" t="str">
        <f>+HYPERLINK("http://trademark.i-assist.jp/data/china/image_1916th/81186805.pdf","81186805")</f>
        <v>81186805</v>
      </c>
      <c r="F1369" s="9" t="s">
        <v>3810</v>
      </c>
      <c r="G1369" s="9" t="s">
        <v>3811</v>
      </c>
      <c r="H1369" s="12" t="s">
        <v>3812</v>
      </c>
      <c r="I1369" s="10">
        <v>45564</v>
      </c>
    </row>
    <row r="1370" spans="1:9" x14ac:dyDescent="0.15">
      <c r="A1370" s="9">
        <v>1369</v>
      </c>
      <c r="B1370" s="9" t="s">
        <v>9</v>
      </c>
      <c r="C1370" s="9">
        <v>1916</v>
      </c>
      <c r="D1370" s="10">
        <v>45646</v>
      </c>
      <c r="E1370" s="13" t="str">
        <f>+HYPERLINK("http://trademark.i-assist.jp/data/china/image_1916th/81186900.pdf","81186900")</f>
        <v>81186900</v>
      </c>
      <c r="F1370" s="12" t="s">
        <v>3813</v>
      </c>
      <c r="G1370" s="12" t="s">
        <v>3814</v>
      </c>
      <c r="H1370" s="9" t="s">
        <v>3815</v>
      </c>
      <c r="I1370" s="10">
        <v>45564</v>
      </c>
    </row>
    <row r="1371" spans="1:9" x14ac:dyDescent="0.15">
      <c r="A1371" s="9">
        <v>1370</v>
      </c>
      <c r="B1371" s="9" t="s">
        <v>9</v>
      </c>
      <c r="C1371" s="9">
        <v>1916</v>
      </c>
      <c r="D1371" s="10">
        <v>45646</v>
      </c>
      <c r="E1371" s="13" t="str">
        <f>+HYPERLINK("http://trademark.i-assist.jp/data/china/image_1916th/81186906.pdf","81186906")</f>
        <v>81186906</v>
      </c>
      <c r="F1371" s="9" t="s">
        <v>3816</v>
      </c>
      <c r="G1371" s="12" t="s">
        <v>3817</v>
      </c>
      <c r="H1371" s="9" t="s">
        <v>3818</v>
      </c>
      <c r="I1371" s="10">
        <v>45564</v>
      </c>
    </row>
    <row r="1372" spans="1:9" x14ac:dyDescent="0.15">
      <c r="A1372" s="9">
        <v>1371</v>
      </c>
      <c r="B1372" s="9" t="s">
        <v>9</v>
      </c>
      <c r="C1372" s="9">
        <v>1916</v>
      </c>
      <c r="D1372" s="10">
        <v>45646</v>
      </c>
      <c r="E1372" s="13" t="str">
        <f>+HYPERLINK("http://trademark.i-assist.jp/data/china/image_1916th/81186993.pdf","81186993")</f>
        <v>81186993</v>
      </c>
      <c r="F1372" s="9" t="s">
        <v>3819</v>
      </c>
      <c r="G1372" s="9" t="s">
        <v>3820</v>
      </c>
      <c r="H1372" s="9" t="s">
        <v>3821</v>
      </c>
      <c r="I1372" s="10">
        <v>45564</v>
      </c>
    </row>
    <row r="1373" spans="1:9" x14ac:dyDescent="0.15">
      <c r="A1373" s="9">
        <v>1372</v>
      </c>
      <c r="B1373" s="9" t="s">
        <v>9</v>
      </c>
      <c r="C1373" s="9">
        <v>1916</v>
      </c>
      <c r="D1373" s="10">
        <v>45646</v>
      </c>
      <c r="E1373" s="13" t="str">
        <f>+HYPERLINK("http://trademark.i-assist.jp/data/china/image_1916th/81187345.pdf","81187345")</f>
        <v>81187345</v>
      </c>
      <c r="F1373" s="12" t="s">
        <v>3822</v>
      </c>
      <c r="G1373" s="9" t="s">
        <v>3823</v>
      </c>
      <c r="H1373" s="9" t="s">
        <v>3824</v>
      </c>
      <c r="I1373" s="10">
        <v>45564</v>
      </c>
    </row>
    <row r="1374" spans="1:9" x14ac:dyDescent="0.15">
      <c r="A1374" s="9">
        <v>1373</v>
      </c>
      <c r="B1374" s="9" t="s">
        <v>9</v>
      </c>
      <c r="C1374" s="9">
        <v>1916</v>
      </c>
      <c r="D1374" s="10">
        <v>45646</v>
      </c>
      <c r="E1374" s="13" t="str">
        <f>+HYPERLINK("http://trademark.i-assist.jp/data/china/image_1916th/81187506.pdf","81187506")</f>
        <v>81187506</v>
      </c>
      <c r="F1374" s="9" t="s">
        <v>3825</v>
      </c>
      <c r="G1374" s="9" t="s">
        <v>3826</v>
      </c>
      <c r="H1374" s="9" t="s">
        <v>3827</v>
      </c>
      <c r="I1374" s="10">
        <v>45564</v>
      </c>
    </row>
    <row r="1375" spans="1:9" x14ac:dyDescent="0.15">
      <c r="A1375" s="9">
        <v>1374</v>
      </c>
      <c r="B1375" s="9" t="s">
        <v>9</v>
      </c>
      <c r="C1375" s="9">
        <v>1916</v>
      </c>
      <c r="D1375" s="10">
        <v>45646</v>
      </c>
      <c r="E1375" s="13" t="str">
        <f>+HYPERLINK("http://trademark.i-assist.jp/data/china/image_1916th/81188152.pdf","81188152")</f>
        <v>81188152</v>
      </c>
      <c r="F1375" s="9" t="s">
        <v>3828</v>
      </c>
      <c r="G1375" s="12" t="s">
        <v>29</v>
      </c>
      <c r="H1375" s="9" t="s">
        <v>3829</v>
      </c>
      <c r="I1375" s="10">
        <v>45564</v>
      </c>
    </row>
    <row r="1376" spans="1:9" x14ac:dyDescent="0.15">
      <c r="A1376" s="9">
        <v>1375</v>
      </c>
      <c r="B1376" s="9" t="s">
        <v>9</v>
      </c>
      <c r="C1376" s="9">
        <v>1916</v>
      </c>
      <c r="D1376" s="10">
        <v>45646</v>
      </c>
      <c r="E1376" s="13" t="str">
        <f>+HYPERLINK("http://trademark.i-assist.jp/data/china/image_1916th/81188174.pdf","81188174")</f>
        <v>81188174</v>
      </c>
      <c r="F1376" s="9" t="s">
        <v>3830</v>
      </c>
      <c r="G1376" s="12" t="s">
        <v>3719</v>
      </c>
      <c r="H1376" s="9" t="s">
        <v>3831</v>
      </c>
      <c r="I1376" s="10">
        <v>45564</v>
      </c>
    </row>
    <row r="1377" spans="1:9" x14ac:dyDescent="0.15">
      <c r="A1377" s="9">
        <v>1376</v>
      </c>
      <c r="B1377" s="9" t="s">
        <v>9</v>
      </c>
      <c r="C1377" s="9">
        <v>1916</v>
      </c>
      <c r="D1377" s="10">
        <v>45646</v>
      </c>
      <c r="E1377" s="13" t="str">
        <f>+HYPERLINK("http://trademark.i-assist.jp/data/china/image_1916th/81188380.pdf","81188380")</f>
        <v>81188380</v>
      </c>
      <c r="F1377" s="9" t="s">
        <v>3832</v>
      </c>
      <c r="G1377" s="12" t="s">
        <v>3833</v>
      </c>
      <c r="H1377" s="12" t="s">
        <v>3834</v>
      </c>
      <c r="I1377" s="10">
        <v>45564</v>
      </c>
    </row>
    <row r="1378" spans="1:9" x14ac:dyDescent="0.15">
      <c r="A1378" s="9">
        <v>1377</v>
      </c>
      <c r="B1378" s="9" t="s">
        <v>9</v>
      </c>
      <c r="C1378" s="9">
        <v>1916</v>
      </c>
      <c r="D1378" s="10">
        <v>45646</v>
      </c>
      <c r="E1378" s="13" t="str">
        <f>+HYPERLINK("http://trademark.i-assist.jp/data/china/image_1916th/81188388.pdf","81188388")</f>
        <v>81188388</v>
      </c>
      <c r="F1378" s="9" t="s">
        <v>3835</v>
      </c>
      <c r="G1378" s="12" t="s">
        <v>3833</v>
      </c>
      <c r="H1378" s="9" t="s">
        <v>3836</v>
      </c>
      <c r="I1378" s="10">
        <v>45564</v>
      </c>
    </row>
    <row r="1379" spans="1:9" x14ac:dyDescent="0.15">
      <c r="A1379" s="9">
        <v>1378</v>
      </c>
      <c r="B1379" s="9" t="s">
        <v>9</v>
      </c>
      <c r="C1379" s="9">
        <v>1916</v>
      </c>
      <c r="D1379" s="10">
        <v>45646</v>
      </c>
      <c r="E1379" s="13" t="str">
        <f>+HYPERLINK("http://trademark.i-assist.jp/data/china/image_1916th/81188433.pdf","81188433")</f>
        <v>81188433</v>
      </c>
      <c r="F1379" s="12" t="s">
        <v>3837</v>
      </c>
      <c r="G1379" s="9" t="s">
        <v>3838</v>
      </c>
      <c r="H1379" s="9" t="s">
        <v>3839</v>
      </c>
      <c r="I1379" s="10">
        <v>45564</v>
      </c>
    </row>
    <row r="1380" spans="1:9" x14ac:dyDescent="0.15">
      <c r="A1380" s="9">
        <v>1379</v>
      </c>
      <c r="B1380" s="9" t="s">
        <v>9</v>
      </c>
      <c r="C1380" s="9">
        <v>1916</v>
      </c>
      <c r="D1380" s="10">
        <v>45646</v>
      </c>
      <c r="E1380" s="13" t="str">
        <f>+HYPERLINK("http://trademark.i-assist.jp/data/china/image_1916th/81188565.pdf","81188565")</f>
        <v>81188565</v>
      </c>
      <c r="F1380" s="12" t="s">
        <v>13</v>
      </c>
      <c r="G1380" s="9" t="s">
        <v>3840</v>
      </c>
      <c r="H1380" s="9" t="s">
        <v>3841</v>
      </c>
      <c r="I1380" s="10">
        <v>45564</v>
      </c>
    </row>
    <row r="1381" spans="1:9" x14ac:dyDescent="0.15">
      <c r="A1381" s="9">
        <v>1380</v>
      </c>
      <c r="B1381" s="9" t="s">
        <v>9</v>
      </c>
      <c r="C1381" s="9">
        <v>1916</v>
      </c>
      <c r="D1381" s="10">
        <v>45646</v>
      </c>
      <c r="E1381" s="13" t="str">
        <f>+HYPERLINK("http://trademark.i-assist.jp/data/china/image_1916th/81189554.pdf","81189554")</f>
        <v>81189554</v>
      </c>
      <c r="F1381" s="9" t="s">
        <v>3842</v>
      </c>
      <c r="G1381" s="9" t="s">
        <v>3843</v>
      </c>
      <c r="H1381" s="9" t="s">
        <v>3844</v>
      </c>
      <c r="I1381" s="10">
        <v>45564</v>
      </c>
    </row>
    <row r="1382" spans="1:9" x14ac:dyDescent="0.15">
      <c r="A1382" s="9">
        <v>1381</v>
      </c>
      <c r="B1382" s="9" t="s">
        <v>9</v>
      </c>
      <c r="C1382" s="9">
        <v>1916</v>
      </c>
      <c r="D1382" s="10">
        <v>45646</v>
      </c>
      <c r="E1382" s="13" t="str">
        <f>+HYPERLINK("http://trademark.i-assist.jp/data/china/image_1916th/81190068.pdf","81190068")</f>
        <v>81190068</v>
      </c>
      <c r="F1382" s="9" t="s">
        <v>3845</v>
      </c>
      <c r="G1382" s="12" t="s">
        <v>3846</v>
      </c>
      <c r="H1382" s="9" t="s">
        <v>3847</v>
      </c>
      <c r="I1382" s="10">
        <v>45564</v>
      </c>
    </row>
    <row r="1383" spans="1:9" x14ac:dyDescent="0.15">
      <c r="A1383" s="9">
        <v>1382</v>
      </c>
      <c r="B1383" s="9" t="s">
        <v>9</v>
      </c>
      <c r="C1383" s="9">
        <v>1916</v>
      </c>
      <c r="D1383" s="10">
        <v>45646</v>
      </c>
      <c r="E1383" s="13" t="str">
        <f>+HYPERLINK("http://trademark.i-assist.jp/data/china/image_1916th/81190553.pdf","81190553")</f>
        <v>81190553</v>
      </c>
      <c r="F1383" s="9" t="s">
        <v>3848</v>
      </c>
      <c r="G1383" s="9" t="s">
        <v>3849</v>
      </c>
      <c r="H1383" s="9" t="s">
        <v>3850</v>
      </c>
      <c r="I1383" s="10">
        <v>45564</v>
      </c>
    </row>
    <row r="1384" spans="1:9" x14ac:dyDescent="0.15">
      <c r="A1384" s="9">
        <v>1383</v>
      </c>
      <c r="B1384" s="9" t="s">
        <v>9</v>
      </c>
      <c r="C1384" s="9">
        <v>1916</v>
      </c>
      <c r="D1384" s="10">
        <v>45646</v>
      </c>
      <c r="E1384" s="13" t="str">
        <f>+HYPERLINK("http://trademark.i-assist.jp/data/china/image_1916th/81190868.pdf","81190868")</f>
        <v>81190868</v>
      </c>
      <c r="F1384" s="9" t="s">
        <v>3851</v>
      </c>
      <c r="G1384" s="12" t="s">
        <v>3852</v>
      </c>
      <c r="H1384" s="9" t="s">
        <v>3853</v>
      </c>
      <c r="I1384" s="10">
        <v>45564</v>
      </c>
    </row>
    <row r="1385" spans="1:9" x14ac:dyDescent="0.15">
      <c r="A1385" s="9">
        <v>1384</v>
      </c>
      <c r="B1385" s="9" t="s">
        <v>9</v>
      </c>
      <c r="C1385" s="9">
        <v>1916</v>
      </c>
      <c r="D1385" s="10">
        <v>45646</v>
      </c>
      <c r="E1385" s="13" t="str">
        <f>+HYPERLINK("http://trademark.i-assist.jp/data/china/image_1916th/81190971.pdf","81190971")</f>
        <v>81190971</v>
      </c>
      <c r="F1385" s="12" t="s">
        <v>3854</v>
      </c>
      <c r="G1385" s="9" t="s">
        <v>1454</v>
      </c>
      <c r="H1385" s="9" t="s">
        <v>3855</v>
      </c>
      <c r="I1385" s="10">
        <v>45564</v>
      </c>
    </row>
    <row r="1386" spans="1:9" x14ac:dyDescent="0.15">
      <c r="A1386" s="9">
        <v>1385</v>
      </c>
      <c r="B1386" s="9" t="s">
        <v>9</v>
      </c>
      <c r="C1386" s="9">
        <v>1916</v>
      </c>
      <c r="D1386" s="10">
        <v>45646</v>
      </c>
      <c r="E1386" s="13" t="str">
        <f>+HYPERLINK("http://trademark.i-assist.jp/data/china/image_1916th/81191479.pdf","81191479")</f>
        <v>81191479</v>
      </c>
      <c r="F1386" s="12" t="s">
        <v>3856</v>
      </c>
      <c r="G1386" s="9" t="s">
        <v>3857</v>
      </c>
      <c r="H1386" s="9" t="s">
        <v>3858</v>
      </c>
      <c r="I1386" s="10">
        <v>45564</v>
      </c>
    </row>
    <row r="1387" spans="1:9" x14ac:dyDescent="0.15">
      <c r="A1387" s="9">
        <v>1386</v>
      </c>
      <c r="B1387" s="9" t="s">
        <v>9</v>
      </c>
      <c r="C1387" s="9">
        <v>1916</v>
      </c>
      <c r="D1387" s="10">
        <v>45646</v>
      </c>
      <c r="E1387" s="13" t="str">
        <f>+HYPERLINK("http://trademark.i-assist.jp/data/china/image_1916th/81191571.pdf","81191571")</f>
        <v>81191571</v>
      </c>
      <c r="F1387" s="9" t="s">
        <v>3859</v>
      </c>
      <c r="G1387" s="12" t="s">
        <v>3674</v>
      </c>
      <c r="H1387" s="9" t="s">
        <v>3860</v>
      </c>
      <c r="I1387" s="10">
        <v>45564</v>
      </c>
    </row>
    <row r="1388" spans="1:9" x14ac:dyDescent="0.15">
      <c r="A1388" s="9">
        <v>1387</v>
      </c>
      <c r="B1388" s="9" t="s">
        <v>9</v>
      </c>
      <c r="C1388" s="9">
        <v>1916</v>
      </c>
      <c r="D1388" s="10">
        <v>45646</v>
      </c>
      <c r="E1388" s="13" t="str">
        <f>+HYPERLINK("http://trademark.i-assist.jp/data/china/image_1916th/81192034.pdf","81192034")</f>
        <v>81192034</v>
      </c>
      <c r="F1388" s="9" t="s">
        <v>3861</v>
      </c>
      <c r="G1388" s="12" t="s">
        <v>3862</v>
      </c>
      <c r="H1388" s="9" t="s">
        <v>3863</v>
      </c>
      <c r="I1388" s="10">
        <v>45564</v>
      </c>
    </row>
    <row r="1389" spans="1:9" x14ac:dyDescent="0.15">
      <c r="A1389" s="9">
        <v>1388</v>
      </c>
      <c r="B1389" s="9" t="s">
        <v>9</v>
      </c>
      <c r="C1389" s="9">
        <v>1916</v>
      </c>
      <c r="D1389" s="10">
        <v>45646</v>
      </c>
      <c r="E1389" s="13" t="str">
        <f>+HYPERLINK("http://trademark.i-assist.jp/data/china/image_1916th/81192041.pdf","81192041")</f>
        <v>81192041</v>
      </c>
      <c r="F1389" s="9" t="s">
        <v>3864</v>
      </c>
      <c r="G1389" s="9" t="s">
        <v>3865</v>
      </c>
      <c r="H1389" s="9" t="s">
        <v>3866</v>
      </c>
      <c r="I1389" s="10">
        <v>45564</v>
      </c>
    </row>
    <row r="1390" spans="1:9" x14ac:dyDescent="0.15">
      <c r="A1390" s="9">
        <v>1389</v>
      </c>
      <c r="B1390" s="9" t="s">
        <v>9</v>
      </c>
      <c r="C1390" s="9">
        <v>1916</v>
      </c>
      <c r="D1390" s="10">
        <v>45646</v>
      </c>
      <c r="E1390" s="13" t="str">
        <f>+HYPERLINK("http://trademark.i-assist.jp/data/china/image_1916th/81192615.pdf","81192615")</f>
        <v>81192615</v>
      </c>
      <c r="F1390" s="12" t="s">
        <v>3867</v>
      </c>
      <c r="G1390" s="9" t="s">
        <v>3868</v>
      </c>
      <c r="H1390" s="9" t="s">
        <v>3869</v>
      </c>
      <c r="I1390" s="10">
        <v>45564</v>
      </c>
    </row>
    <row r="1391" spans="1:9" x14ac:dyDescent="0.15">
      <c r="A1391" s="9">
        <v>1390</v>
      </c>
      <c r="B1391" s="9" t="s">
        <v>9</v>
      </c>
      <c r="C1391" s="9">
        <v>1916</v>
      </c>
      <c r="D1391" s="10">
        <v>45646</v>
      </c>
      <c r="E1391" s="13" t="str">
        <f>+HYPERLINK("http://trademark.i-assist.jp/data/china/image_1916th/81192744.pdf","81192744")</f>
        <v>81192744</v>
      </c>
      <c r="F1391" s="12" t="s">
        <v>3870</v>
      </c>
      <c r="G1391" s="9" t="s">
        <v>3871</v>
      </c>
      <c r="H1391" s="9" t="s">
        <v>3872</v>
      </c>
      <c r="I1391" s="10">
        <v>45564</v>
      </c>
    </row>
    <row r="1392" spans="1:9" x14ac:dyDescent="0.15">
      <c r="A1392" s="9">
        <v>1391</v>
      </c>
      <c r="B1392" s="9" t="s">
        <v>9</v>
      </c>
      <c r="C1392" s="9">
        <v>1916</v>
      </c>
      <c r="D1392" s="10">
        <v>45646</v>
      </c>
      <c r="E1392" s="13" t="str">
        <f>+HYPERLINK("http://trademark.i-assist.jp/data/china/image_1916th/81192796.pdf","81192796")</f>
        <v>81192796</v>
      </c>
      <c r="F1392" s="9" t="s">
        <v>3873</v>
      </c>
      <c r="G1392" s="9" t="s">
        <v>3874</v>
      </c>
      <c r="H1392" s="9" t="s">
        <v>3875</v>
      </c>
      <c r="I1392" s="10">
        <v>45564</v>
      </c>
    </row>
    <row r="1393" spans="1:9" x14ac:dyDescent="0.15">
      <c r="A1393" s="9">
        <v>1392</v>
      </c>
      <c r="B1393" s="9" t="s">
        <v>9</v>
      </c>
      <c r="C1393" s="9">
        <v>1916</v>
      </c>
      <c r="D1393" s="10">
        <v>45646</v>
      </c>
      <c r="E1393" s="13" t="str">
        <f>+HYPERLINK("http://trademark.i-assist.jp/data/china/image_1916th/81193786.pdf","81193786")</f>
        <v>81193786</v>
      </c>
      <c r="F1393" s="9" t="s">
        <v>3876</v>
      </c>
      <c r="G1393" s="9" t="s">
        <v>3877</v>
      </c>
      <c r="H1393" s="9" t="s">
        <v>3878</v>
      </c>
      <c r="I1393" s="10">
        <v>45564</v>
      </c>
    </row>
    <row r="1394" spans="1:9" x14ac:dyDescent="0.15">
      <c r="A1394" s="9">
        <v>1393</v>
      </c>
      <c r="B1394" s="9" t="s">
        <v>9</v>
      </c>
      <c r="C1394" s="9">
        <v>1916</v>
      </c>
      <c r="D1394" s="10">
        <v>45646</v>
      </c>
      <c r="E1394" s="13" t="str">
        <f>+HYPERLINK("http://trademark.i-assist.jp/data/china/image_1916th/81194604.pdf","81194604")</f>
        <v>81194604</v>
      </c>
      <c r="F1394" s="9" t="s">
        <v>3879</v>
      </c>
      <c r="G1394" s="12" t="s">
        <v>3880</v>
      </c>
      <c r="H1394" s="12" t="s">
        <v>3881</v>
      </c>
      <c r="I1394" s="10">
        <v>45564</v>
      </c>
    </row>
    <row r="1395" spans="1:9" x14ac:dyDescent="0.15">
      <c r="A1395" s="9">
        <v>1394</v>
      </c>
      <c r="B1395" s="9" t="s">
        <v>9</v>
      </c>
      <c r="C1395" s="9">
        <v>1916</v>
      </c>
      <c r="D1395" s="10">
        <v>45646</v>
      </c>
      <c r="E1395" s="13" t="str">
        <f>+HYPERLINK("http://trademark.i-assist.jp/data/china/image_1916th/81194672.pdf","81194672")</f>
        <v>81194672</v>
      </c>
      <c r="F1395" s="9" t="s">
        <v>3882</v>
      </c>
      <c r="G1395" s="12" t="s">
        <v>1756</v>
      </c>
      <c r="H1395" s="9" t="s">
        <v>3883</v>
      </c>
      <c r="I1395" s="10">
        <v>45564</v>
      </c>
    </row>
    <row r="1396" spans="1:9" x14ac:dyDescent="0.15">
      <c r="A1396" s="9">
        <v>1395</v>
      </c>
      <c r="B1396" s="9" t="s">
        <v>9</v>
      </c>
      <c r="C1396" s="9">
        <v>1916</v>
      </c>
      <c r="D1396" s="10">
        <v>45646</v>
      </c>
      <c r="E1396" s="13" t="str">
        <f>+HYPERLINK("http://trademark.i-assist.jp/data/china/image_1916th/81194905.pdf","81194905")</f>
        <v>81194905</v>
      </c>
      <c r="F1396" s="9" t="s">
        <v>3884</v>
      </c>
      <c r="G1396" s="9" t="s">
        <v>3885</v>
      </c>
      <c r="H1396" s="12" t="s">
        <v>3886</v>
      </c>
      <c r="I1396" s="10">
        <v>45564</v>
      </c>
    </row>
    <row r="1397" spans="1:9" x14ac:dyDescent="0.15">
      <c r="A1397" s="9">
        <v>1396</v>
      </c>
      <c r="B1397" s="9" t="s">
        <v>9</v>
      </c>
      <c r="C1397" s="9">
        <v>1916</v>
      </c>
      <c r="D1397" s="10">
        <v>45646</v>
      </c>
      <c r="E1397" s="13" t="str">
        <f>+HYPERLINK("http://trademark.i-assist.jp/data/china/image_1916th/81195037.pdf","81195037")</f>
        <v>81195037</v>
      </c>
      <c r="F1397" s="9" t="s">
        <v>3887</v>
      </c>
      <c r="G1397" s="12" t="s">
        <v>3674</v>
      </c>
      <c r="H1397" s="9" t="s">
        <v>3888</v>
      </c>
      <c r="I1397" s="10">
        <v>45564</v>
      </c>
    </row>
    <row r="1398" spans="1:9" x14ac:dyDescent="0.15">
      <c r="A1398" s="9">
        <v>1397</v>
      </c>
      <c r="B1398" s="9" t="s">
        <v>9</v>
      </c>
      <c r="C1398" s="9">
        <v>1916</v>
      </c>
      <c r="D1398" s="10">
        <v>45646</v>
      </c>
      <c r="E1398" s="13" t="str">
        <f>+HYPERLINK("http://trademark.i-assist.jp/data/china/image_1916th/81195046.pdf","81195046")</f>
        <v>81195046</v>
      </c>
      <c r="F1398" s="9" t="s">
        <v>3889</v>
      </c>
      <c r="G1398" s="12" t="s">
        <v>3674</v>
      </c>
      <c r="H1398" s="12" t="s">
        <v>3890</v>
      </c>
      <c r="I1398" s="10">
        <v>45564</v>
      </c>
    </row>
    <row r="1399" spans="1:9" x14ac:dyDescent="0.15">
      <c r="A1399" s="9">
        <v>1398</v>
      </c>
      <c r="B1399" s="9" t="s">
        <v>9</v>
      </c>
      <c r="C1399" s="9">
        <v>1916</v>
      </c>
      <c r="D1399" s="10">
        <v>45646</v>
      </c>
      <c r="E1399" s="13" t="str">
        <f>+HYPERLINK("http://trademark.i-assist.jp/data/china/image_1916th/81195071.pdf","81195071")</f>
        <v>81195071</v>
      </c>
      <c r="F1399" s="12" t="s">
        <v>3891</v>
      </c>
      <c r="G1399" s="12" t="s">
        <v>3674</v>
      </c>
      <c r="H1399" s="12" t="s">
        <v>3892</v>
      </c>
      <c r="I1399" s="10">
        <v>45564</v>
      </c>
    </row>
    <row r="1400" spans="1:9" x14ac:dyDescent="0.15">
      <c r="A1400" s="9">
        <v>1399</v>
      </c>
      <c r="B1400" s="9" t="s">
        <v>9</v>
      </c>
      <c r="C1400" s="9">
        <v>1916</v>
      </c>
      <c r="D1400" s="10">
        <v>45646</v>
      </c>
      <c r="E1400" s="13" t="str">
        <f>+HYPERLINK("http://trademark.i-assist.jp/data/china/image_1916th/81195672.pdf","81195672")</f>
        <v>81195672</v>
      </c>
      <c r="F1400" s="9" t="s">
        <v>3893</v>
      </c>
      <c r="G1400" s="9" t="s">
        <v>3388</v>
      </c>
      <c r="H1400" s="12" t="s">
        <v>3894</v>
      </c>
      <c r="I1400" s="10">
        <v>45564</v>
      </c>
    </row>
    <row r="1401" spans="1:9" x14ac:dyDescent="0.15">
      <c r="A1401" s="9">
        <v>1400</v>
      </c>
      <c r="B1401" s="9" t="s">
        <v>9</v>
      </c>
      <c r="C1401" s="9">
        <v>1916</v>
      </c>
      <c r="D1401" s="10">
        <v>45646</v>
      </c>
      <c r="E1401" s="13" t="str">
        <f>+HYPERLINK("http://trademark.i-assist.jp/data/china/image_1916th/81195881.pdf","81195881")</f>
        <v>81195881</v>
      </c>
      <c r="F1401" s="9" t="s">
        <v>3895</v>
      </c>
      <c r="G1401" s="9" t="s">
        <v>3896</v>
      </c>
      <c r="H1401" s="9" t="s">
        <v>3897</v>
      </c>
      <c r="I1401" s="10">
        <v>45564</v>
      </c>
    </row>
    <row r="1402" spans="1:9" x14ac:dyDescent="0.15">
      <c r="A1402" s="9">
        <v>1401</v>
      </c>
      <c r="B1402" s="9" t="s">
        <v>9</v>
      </c>
      <c r="C1402" s="9">
        <v>1916</v>
      </c>
      <c r="D1402" s="10">
        <v>45646</v>
      </c>
      <c r="E1402" s="13" t="str">
        <f>+HYPERLINK("http://trademark.i-assist.jp/data/china/image_1916th/81196182.pdf","81196182")</f>
        <v>81196182</v>
      </c>
      <c r="F1402" s="9" t="s">
        <v>3898</v>
      </c>
      <c r="G1402" s="9" t="s">
        <v>3899</v>
      </c>
      <c r="H1402" s="9" t="s">
        <v>3900</v>
      </c>
      <c r="I1402" s="10">
        <v>45564</v>
      </c>
    </row>
    <row r="1403" spans="1:9" x14ac:dyDescent="0.15">
      <c r="A1403" s="9">
        <v>1402</v>
      </c>
      <c r="B1403" s="9" t="s">
        <v>9</v>
      </c>
      <c r="C1403" s="9">
        <v>1916</v>
      </c>
      <c r="D1403" s="10">
        <v>45646</v>
      </c>
      <c r="E1403" s="13" t="str">
        <f>+HYPERLINK("http://trademark.i-assist.jp/data/china/image_1916th/81196196.pdf","81196196")</f>
        <v>81196196</v>
      </c>
      <c r="F1403" s="12" t="s">
        <v>3901</v>
      </c>
      <c r="G1403" s="12" t="s">
        <v>3674</v>
      </c>
      <c r="H1403" s="9" t="s">
        <v>3902</v>
      </c>
      <c r="I1403" s="10">
        <v>45564</v>
      </c>
    </row>
    <row r="1404" spans="1:9" x14ac:dyDescent="0.15">
      <c r="A1404" s="9">
        <v>1403</v>
      </c>
      <c r="B1404" s="9" t="s">
        <v>9</v>
      </c>
      <c r="C1404" s="9">
        <v>1916</v>
      </c>
      <c r="D1404" s="10">
        <v>45646</v>
      </c>
      <c r="E1404" s="13" t="str">
        <f>+HYPERLINK("http://trademark.i-assist.jp/data/china/image_1916th/81196224.pdf","81196224")</f>
        <v>81196224</v>
      </c>
      <c r="F1404" s="9" t="s">
        <v>3903</v>
      </c>
      <c r="G1404" s="12" t="s">
        <v>39</v>
      </c>
      <c r="H1404" s="9" t="s">
        <v>3904</v>
      </c>
      <c r="I1404" s="10">
        <v>45564</v>
      </c>
    </row>
    <row r="1405" spans="1:9" x14ac:dyDescent="0.15">
      <c r="A1405" s="9">
        <v>1404</v>
      </c>
      <c r="B1405" s="9" t="s">
        <v>9</v>
      </c>
      <c r="C1405" s="9">
        <v>1916</v>
      </c>
      <c r="D1405" s="10">
        <v>45646</v>
      </c>
      <c r="E1405" s="13" t="str">
        <f>+HYPERLINK("http://trademark.i-assist.jp/data/china/image_1916th/81196368.pdf","81196368")</f>
        <v>81196368</v>
      </c>
      <c r="F1405" s="9" t="s">
        <v>3905</v>
      </c>
      <c r="G1405" s="9" t="s">
        <v>3906</v>
      </c>
      <c r="H1405" s="9" t="s">
        <v>3907</v>
      </c>
      <c r="I1405" s="10">
        <v>45564</v>
      </c>
    </row>
    <row r="1406" spans="1:9" x14ac:dyDescent="0.15">
      <c r="A1406" s="9">
        <v>1405</v>
      </c>
      <c r="B1406" s="9" t="s">
        <v>9</v>
      </c>
      <c r="C1406" s="9">
        <v>1916</v>
      </c>
      <c r="D1406" s="10">
        <v>45646</v>
      </c>
      <c r="E1406" s="13" t="str">
        <f>+HYPERLINK("http://trademark.i-assist.jp/data/china/image_1916th/81196399.pdf","81196399")</f>
        <v>81196399</v>
      </c>
      <c r="F1406" s="12" t="s">
        <v>3908</v>
      </c>
      <c r="G1406" s="9" t="s">
        <v>3909</v>
      </c>
      <c r="H1406" s="12" t="s">
        <v>3910</v>
      </c>
      <c r="I1406" s="10">
        <v>45564</v>
      </c>
    </row>
    <row r="1407" spans="1:9" x14ac:dyDescent="0.15">
      <c r="A1407" s="9">
        <v>1406</v>
      </c>
      <c r="B1407" s="9" t="s">
        <v>9</v>
      </c>
      <c r="C1407" s="9">
        <v>1916</v>
      </c>
      <c r="D1407" s="10">
        <v>45646</v>
      </c>
      <c r="E1407" s="13" t="str">
        <f>+HYPERLINK("http://trademark.i-assist.jp/data/china/image_1916th/81196690.pdf","81196690")</f>
        <v>81196690</v>
      </c>
      <c r="F1407" s="9" t="s">
        <v>3911</v>
      </c>
      <c r="G1407" s="9" t="s">
        <v>3912</v>
      </c>
      <c r="H1407" s="9" t="s">
        <v>3913</v>
      </c>
      <c r="I1407" s="10">
        <v>45564</v>
      </c>
    </row>
    <row r="1408" spans="1:9" x14ac:dyDescent="0.15">
      <c r="A1408" s="9">
        <v>1407</v>
      </c>
      <c r="B1408" s="9" t="s">
        <v>9</v>
      </c>
      <c r="C1408" s="9">
        <v>1916</v>
      </c>
      <c r="D1408" s="10">
        <v>45646</v>
      </c>
      <c r="E1408" s="13" t="str">
        <f>+HYPERLINK("http://trademark.i-assist.jp/data/china/image_1916th/81196944.pdf","81196944")</f>
        <v>81196944</v>
      </c>
      <c r="F1408" s="9" t="s">
        <v>3914</v>
      </c>
      <c r="G1408" s="9" t="s">
        <v>3915</v>
      </c>
      <c r="H1408" s="9" t="s">
        <v>3916</v>
      </c>
      <c r="I1408" s="10">
        <v>45564</v>
      </c>
    </row>
    <row r="1409" spans="1:9" x14ac:dyDescent="0.15">
      <c r="A1409" s="9">
        <v>1408</v>
      </c>
      <c r="B1409" s="9" t="s">
        <v>9</v>
      </c>
      <c r="C1409" s="9">
        <v>1916</v>
      </c>
      <c r="D1409" s="10">
        <v>45646</v>
      </c>
      <c r="E1409" s="13" t="str">
        <f>+HYPERLINK("http://trademark.i-assist.jp/data/china/image_1916th/81196952.pdf","81196952")</f>
        <v>81196952</v>
      </c>
      <c r="F1409" s="12" t="s">
        <v>3917</v>
      </c>
      <c r="G1409" s="12" t="s">
        <v>3918</v>
      </c>
      <c r="H1409" s="9" t="s">
        <v>3919</v>
      </c>
      <c r="I1409" s="10">
        <v>45564</v>
      </c>
    </row>
    <row r="1410" spans="1:9" x14ac:dyDescent="0.15">
      <c r="A1410" s="9">
        <v>1409</v>
      </c>
      <c r="B1410" s="9" t="s">
        <v>9</v>
      </c>
      <c r="C1410" s="9">
        <v>1916</v>
      </c>
      <c r="D1410" s="10">
        <v>45646</v>
      </c>
      <c r="E1410" s="13" t="str">
        <f>+HYPERLINK("http://trademark.i-assist.jp/data/china/image_1916th/81197248.pdf","81197248")</f>
        <v>81197248</v>
      </c>
      <c r="F1410" s="9" t="s">
        <v>3920</v>
      </c>
      <c r="G1410" s="12" t="s">
        <v>3921</v>
      </c>
      <c r="H1410" s="9" t="s">
        <v>3922</v>
      </c>
      <c r="I1410" s="10">
        <v>45564</v>
      </c>
    </row>
    <row r="1411" spans="1:9" x14ac:dyDescent="0.15">
      <c r="A1411" s="9">
        <v>1410</v>
      </c>
      <c r="B1411" s="9" t="s">
        <v>9</v>
      </c>
      <c r="C1411" s="9">
        <v>1916</v>
      </c>
      <c r="D1411" s="10">
        <v>45646</v>
      </c>
      <c r="E1411" s="13" t="str">
        <f>+HYPERLINK("http://trademark.i-assist.jp/data/china/image_1916th/81197460.pdf","81197460")</f>
        <v>81197460</v>
      </c>
      <c r="F1411" s="9" t="s">
        <v>3923</v>
      </c>
      <c r="G1411" s="9" t="s">
        <v>3924</v>
      </c>
      <c r="H1411" s="12" t="s">
        <v>3925</v>
      </c>
      <c r="I1411" s="10">
        <v>45564</v>
      </c>
    </row>
    <row r="1412" spans="1:9" x14ac:dyDescent="0.15">
      <c r="A1412" s="9">
        <v>1411</v>
      </c>
      <c r="B1412" s="9" t="s">
        <v>9</v>
      </c>
      <c r="C1412" s="9">
        <v>1916</v>
      </c>
      <c r="D1412" s="10">
        <v>45646</v>
      </c>
      <c r="E1412" s="13" t="str">
        <f>+HYPERLINK("http://trademark.i-assist.jp/data/china/image_1916th/81197505.pdf","81197505")</f>
        <v>81197505</v>
      </c>
      <c r="F1412" s="9" t="s">
        <v>3926</v>
      </c>
      <c r="G1412" s="9" t="s">
        <v>3688</v>
      </c>
      <c r="H1412" s="9" t="s">
        <v>3927</v>
      </c>
      <c r="I1412" s="10">
        <v>45564</v>
      </c>
    </row>
    <row r="1413" spans="1:9" x14ac:dyDescent="0.15">
      <c r="A1413" s="9">
        <v>1412</v>
      </c>
      <c r="B1413" s="9" t="s">
        <v>9</v>
      </c>
      <c r="C1413" s="9">
        <v>1916</v>
      </c>
      <c r="D1413" s="10">
        <v>45646</v>
      </c>
      <c r="E1413" s="13" t="str">
        <f>+HYPERLINK("http://trademark.i-assist.jp/data/china/image_1916th/81197690.pdf","81197690")</f>
        <v>81197690</v>
      </c>
      <c r="F1413" s="9" t="s">
        <v>3928</v>
      </c>
      <c r="G1413" s="9" t="s">
        <v>3929</v>
      </c>
      <c r="H1413" s="9" t="s">
        <v>3930</v>
      </c>
      <c r="I1413" s="10">
        <v>45564</v>
      </c>
    </row>
    <row r="1414" spans="1:9" x14ac:dyDescent="0.15">
      <c r="A1414" s="9">
        <v>1413</v>
      </c>
      <c r="B1414" s="9" t="s">
        <v>9</v>
      </c>
      <c r="C1414" s="9">
        <v>1916</v>
      </c>
      <c r="D1414" s="10">
        <v>45646</v>
      </c>
      <c r="E1414" s="13" t="str">
        <f>+HYPERLINK("http://trademark.i-assist.jp/data/china/image_1916th/81197979.pdf","81197979")</f>
        <v>81197979</v>
      </c>
      <c r="F1414" s="9" t="s">
        <v>3931</v>
      </c>
      <c r="G1414" s="9" t="s">
        <v>3932</v>
      </c>
      <c r="H1414" s="9" t="s">
        <v>3933</v>
      </c>
      <c r="I1414" s="10">
        <v>45564</v>
      </c>
    </row>
    <row r="1415" spans="1:9" x14ac:dyDescent="0.15">
      <c r="A1415" s="9">
        <v>1414</v>
      </c>
      <c r="B1415" s="9" t="s">
        <v>9</v>
      </c>
      <c r="C1415" s="9">
        <v>1916</v>
      </c>
      <c r="D1415" s="10">
        <v>45646</v>
      </c>
      <c r="E1415" s="13" t="str">
        <f>+HYPERLINK("http://trademark.i-assist.jp/data/china/image_1916th/81198561.pdf","81198561")</f>
        <v>81198561</v>
      </c>
      <c r="F1415" s="12" t="s">
        <v>3934</v>
      </c>
      <c r="G1415" s="9" t="s">
        <v>3935</v>
      </c>
      <c r="H1415" s="9" t="s">
        <v>3936</v>
      </c>
      <c r="I1415" s="10">
        <v>45564</v>
      </c>
    </row>
    <row r="1416" spans="1:9" x14ac:dyDescent="0.15">
      <c r="A1416" s="9">
        <v>1415</v>
      </c>
      <c r="B1416" s="9" t="s">
        <v>9</v>
      </c>
      <c r="C1416" s="9">
        <v>1916</v>
      </c>
      <c r="D1416" s="10">
        <v>45646</v>
      </c>
      <c r="E1416" s="13" t="str">
        <f>+HYPERLINK("http://trademark.i-assist.jp/data/china/image_1916th/81198593.pdf","81198593")</f>
        <v>81198593</v>
      </c>
      <c r="F1416" s="9" t="s">
        <v>3937</v>
      </c>
      <c r="G1416" s="9" t="s">
        <v>3938</v>
      </c>
      <c r="H1416" s="12" t="s">
        <v>3939</v>
      </c>
      <c r="I1416" s="10">
        <v>45564</v>
      </c>
    </row>
    <row r="1417" spans="1:9" x14ac:dyDescent="0.15">
      <c r="A1417" s="9">
        <v>1416</v>
      </c>
      <c r="B1417" s="9" t="s">
        <v>9</v>
      </c>
      <c r="C1417" s="9">
        <v>1916</v>
      </c>
      <c r="D1417" s="10">
        <v>45646</v>
      </c>
      <c r="E1417" s="13" t="str">
        <f>+HYPERLINK("http://trademark.i-assist.jp/data/china/image_1916th/81198617.pdf","81198617")</f>
        <v>81198617</v>
      </c>
      <c r="F1417" s="12" t="s">
        <v>3940</v>
      </c>
      <c r="G1417" s="9" t="s">
        <v>3941</v>
      </c>
      <c r="H1417" s="9" t="s">
        <v>3942</v>
      </c>
      <c r="I1417" s="10">
        <v>45564</v>
      </c>
    </row>
    <row r="1418" spans="1:9" x14ac:dyDescent="0.15">
      <c r="A1418" s="9">
        <v>1417</v>
      </c>
      <c r="B1418" s="9" t="s">
        <v>9</v>
      </c>
      <c r="C1418" s="9">
        <v>1916</v>
      </c>
      <c r="D1418" s="10">
        <v>45646</v>
      </c>
      <c r="E1418" s="13" t="str">
        <f>+HYPERLINK("http://trademark.i-assist.jp/data/china/image_1916th/81199011.pdf","81199011")</f>
        <v>81199011</v>
      </c>
      <c r="F1418" s="12" t="s">
        <v>3943</v>
      </c>
      <c r="G1418" s="9" t="s">
        <v>2854</v>
      </c>
      <c r="H1418" s="12" t="s">
        <v>3944</v>
      </c>
      <c r="I1418" s="10">
        <v>45564</v>
      </c>
    </row>
    <row r="1419" spans="1:9" x14ac:dyDescent="0.15">
      <c r="A1419" s="9">
        <v>1418</v>
      </c>
      <c r="B1419" s="9" t="s">
        <v>9</v>
      </c>
      <c r="C1419" s="9">
        <v>1916</v>
      </c>
      <c r="D1419" s="10">
        <v>45646</v>
      </c>
      <c r="E1419" s="13" t="str">
        <f>+HYPERLINK("http://trademark.i-assist.jp/data/china/image_1916th/81199462.pdf","81199462")</f>
        <v>81199462</v>
      </c>
      <c r="F1419" s="9" t="s">
        <v>3945</v>
      </c>
      <c r="G1419" s="12" t="s">
        <v>3946</v>
      </c>
      <c r="H1419" s="9" t="s">
        <v>3947</v>
      </c>
      <c r="I1419" s="10">
        <v>45564</v>
      </c>
    </row>
    <row r="1420" spans="1:9" x14ac:dyDescent="0.15">
      <c r="A1420" s="9">
        <v>1419</v>
      </c>
      <c r="B1420" s="9" t="s">
        <v>9</v>
      </c>
      <c r="C1420" s="9">
        <v>1916</v>
      </c>
      <c r="D1420" s="10">
        <v>45646</v>
      </c>
      <c r="E1420" s="13" t="str">
        <f>+HYPERLINK("http://trademark.i-assist.jp/data/china/image_1916th/81199786.pdf","81199786")</f>
        <v>81199786</v>
      </c>
      <c r="F1420" s="12" t="s">
        <v>3948</v>
      </c>
      <c r="G1420" s="9" t="s">
        <v>3949</v>
      </c>
      <c r="H1420" s="9" t="s">
        <v>3950</v>
      </c>
      <c r="I1420" s="10">
        <v>45564</v>
      </c>
    </row>
    <row r="1421" spans="1:9" x14ac:dyDescent="0.15">
      <c r="A1421" s="9">
        <v>1420</v>
      </c>
      <c r="B1421" s="9" t="s">
        <v>9</v>
      </c>
      <c r="C1421" s="9">
        <v>1916</v>
      </c>
      <c r="D1421" s="10">
        <v>45646</v>
      </c>
      <c r="E1421" s="13" t="str">
        <f>+HYPERLINK("http://trademark.i-assist.jp/data/china/image_1916th/81199998.pdf","81199998")</f>
        <v>81199998</v>
      </c>
      <c r="F1421" s="9" t="s">
        <v>3951</v>
      </c>
      <c r="G1421" s="9" t="s">
        <v>3915</v>
      </c>
      <c r="H1421" s="9" t="s">
        <v>3952</v>
      </c>
      <c r="I1421" s="10">
        <v>45564</v>
      </c>
    </row>
    <row r="1422" spans="1:9" x14ac:dyDescent="0.15">
      <c r="A1422" s="9">
        <v>1421</v>
      </c>
      <c r="B1422" s="9" t="s">
        <v>9</v>
      </c>
      <c r="C1422" s="9">
        <v>1916</v>
      </c>
      <c r="D1422" s="10">
        <v>45646</v>
      </c>
      <c r="E1422" s="13" t="str">
        <f>+HYPERLINK("http://trademark.i-assist.jp/data/china/image_1916th/81200014.pdf","81200014")</f>
        <v>81200014</v>
      </c>
      <c r="F1422" s="9" t="s">
        <v>3953</v>
      </c>
      <c r="G1422" s="12" t="s">
        <v>3954</v>
      </c>
      <c r="H1422" s="9" t="s">
        <v>3955</v>
      </c>
      <c r="I1422" s="10">
        <v>45564</v>
      </c>
    </row>
    <row r="1423" spans="1:9" x14ac:dyDescent="0.15">
      <c r="A1423" s="9">
        <v>1422</v>
      </c>
      <c r="B1423" s="9" t="s">
        <v>9</v>
      </c>
      <c r="C1423" s="9">
        <v>1916</v>
      </c>
      <c r="D1423" s="10">
        <v>45646</v>
      </c>
      <c r="E1423" s="13" t="str">
        <f>+HYPERLINK("http://trademark.i-assist.jp/data/china/image_1916th/81200022.pdf","81200022")</f>
        <v>81200022</v>
      </c>
      <c r="F1423" s="9" t="s">
        <v>3956</v>
      </c>
      <c r="G1423" s="12" t="s">
        <v>3954</v>
      </c>
      <c r="H1423" s="9" t="s">
        <v>3957</v>
      </c>
      <c r="I1423" s="10">
        <v>45564</v>
      </c>
    </row>
    <row r="1424" spans="1:9" x14ac:dyDescent="0.15">
      <c r="A1424" s="9">
        <v>1423</v>
      </c>
      <c r="B1424" s="9" t="s">
        <v>9</v>
      </c>
      <c r="C1424" s="9">
        <v>1916</v>
      </c>
      <c r="D1424" s="10">
        <v>45646</v>
      </c>
      <c r="E1424" s="13" t="str">
        <f>+HYPERLINK("http://trademark.i-assist.jp/data/china/image_1916th/81200207.pdf","81200207")</f>
        <v>81200207</v>
      </c>
      <c r="F1424" s="9" t="s">
        <v>3958</v>
      </c>
      <c r="G1424" s="9" t="s">
        <v>3959</v>
      </c>
      <c r="H1424" s="9" t="s">
        <v>3960</v>
      </c>
      <c r="I1424" s="10">
        <v>45564</v>
      </c>
    </row>
    <row r="1425" spans="1:9" x14ac:dyDescent="0.15">
      <c r="A1425" s="9">
        <v>1424</v>
      </c>
      <c r="B1425" s="9" t="s">
        <v>9</v>
      </c>
      <c r="C1425" s="9">
        <v>1916</v>
      </c>
      <c r="D1425" s="10">
        <v>45646</v>
      </c>
      <c r="E1425" s="13" t="str">
        <f>+HYPERLINK("http://trademark.i-assist.jp/data/china/image_1916th/81200391.pdf","81200391")</f>
        <v>81200391</v>
      </c>
      <c r="F1425" s="9" t="s">
        <v>3961</v>
      </c>
      <c r="G1425" s="9" t="s">
        <v>41</v>
      </c>
      <c r="H1425" s="9" t="s">
        <v>3962</v>
      </c>
      <c r="I1425" s="10">
        <v>45564</v>
      </c>
    </row>
    <row r="1426" spans="1:9" x14ac:dyDescent="0.15">
      <c r="A1426" s="9">
        <v>1425</v>
      </c>
      <c r="B1426" s="9" t="s">
        <v>9</v>
      </c>
      <c r="C1426" s="9">
        <v>1916</v>
      </c>
      <c r="D1426" s="10">
        <v>45646</v>
      </c>
      <c r="E1426" s="13" t="str">
        <f>+HYPERLINK("http://trademark.i-assist.jp/data/china/image_1916th/81200700.pdf","81200700")</f>
        <v>81200700</v>
      </c>
      <c r="F1426" s="9" t="s">
        <v>3963</v>
      </c>
      <c r="G1426" s="9" t="s">
        <v>3964</v>
      </c>
      <c r="H1426" s="9" t="s">
        <v>3965</v>
      </c>
      <c r="I1426" s="10">
        <v>45564</v>
      </c>
    </row>
    <row r="1427" spans="1:9" x14ac:dyDescent="0.15">
      <c r="A1427" s="9">
        <v>1426</v>
      </c>
      <c r="B1427" s="9" t="s">
        <v>9</v>
      </c>
      <c r="C1427" s="9">
        <v>1916</v>
      </c>
      <c r="D1427" s="10">
        <v>45646</v>
      </c>
      <c r="E1427" s="13" t="str">
        <f>+HYPERLINK("http://trademark.i-assist.jp/data/china/image_1916th/81200711.pdf","81200711")</f>
        <v>81200711</v>
      </c>
      <c r="F1427" s="9" t="s">
        <v>3966</v>
      </c>
      <c r="G1427" s="9" t="s">
        <v>3967</v>
      </c>
      <c r="H1427" s="9" t="s">
        <v>3968</v>
      </c>
      <c r="I1427" s="10">
        <v>45564</v>
      </c>
    </row>
    <row r="1428" spans="1:9" x14ac:dyDescent="0.15">
      <c r="A1428" s="9">
        <v>1427</v>
      </c>
      <c r="B1428" s="9" t="s">
        <v>9</v>
      </c>
      <c r="C1428" s="9">
        <v>1916</v>
      </c>
      <c r="D1428" s="10">
        <v>45646</v>
      </c>
      <c r="E1428" s="13" t="str">
        <f>+HYPERLINK("http://trademark.i-assist.jp/data/china/image_1916th/81201105.pdf","81201105")</f>
        <v>81201105</v>
      </c>
      <c r="F1428" s="9" t="s">
        <v>3895</v>
      </c>
      <c r="G1428" s="9" t="s">
        <v>3896</v>
      </c>
      <c r="H1428" s="9" t="s">
        <v>3969</v>
      </c>
      <c r="I1428" s="10">
        <v>45564</v>
      </c>
    </row>
    <row r="1429" spans="1:9" x14ac:dyDescent="0.15">
      <c r="A1429" s="9">
        <v>1428</v>
      </c>
      <c r="B1429" s="9" t="s">
        <v>9</v>
      </c>
      <c r="C1429" s="9">
        <v>1916</v>
      </c>
      <c r="D1429" s="10">
        <v>45646</v>
      </c>
      <c r="E1429" s="13" t="str">
        <f>+HYPERLINK("http://trademark.i-assist.jp/data/china/image_1916th/81201106.pdf","81201106")</f>
        <v>81201106</v>
      </c>
      <c r="F1429" s="12" t="s">
        <v>3970</v>
      </c>
      <c r="G1429" s="12" t="s">
        <v>3971</v>
      </c>
      <c r="H1429" s="9" t="s">
        <v>3972</v>
      </c>
      <c r="I1429" s="10">
        <v>45564</v>
      </c>
    </row>
    <row r="1430" spans="1:9" x14ac:dyDescent="0.15">
      <c r="A1430" s="9">
        <v>1429</v>
      </c>
      <c r="B1430" s="9" t="s">
        <v>9</v>
      </c>
      <c r="C1430" s="9">
        <v>1916</v>
      </c>
      <c r="D1430" s="10">
        <v>45646</v>
      </c>
      <c r="E1430" s="13" t="str">
        <f>+HYPERLINK("http://trademark.i-assist.jp/data/china/image_1916th/81201316.pdf","81201316")</f>
        <v>81201316</v>
      </c>
      <c r="F1430" s="12" t="s">
        <v>3973</v>
      </c>
      <c r="G1430" s="9" t="s">
        <v>3974</v>
      </c>
      <c r="H1430" s="9" t="s">
        <v>3975</v>
      </c>
      <c r="I1430" s="10">
        <v>45564</v>
      </c>
    </row>
    <row r="1431" spans="1:9" x14ac:dyDescent="0.15">
      <c r="A1431" s="9">
        <v>1430</v>
      </c>
      <c r="B1431" s="9" t="s">
        <v>9</v>
      </c>
      <c r="C1431" s="9">
        <v>1916</v>
      </c>
      <c r="D1431" s="10">
        <v>45646</v>
      </c>
      <c r="E1431" s="13" t="str">
        <f>+HYPERLINK("http://trademark.i-assist.jp/data/china/image_1916th/81201365.pdf","81201365")</f>
        <v>81201365</v>
      </c>
      <c r="F1431" s="9" t="s">
        <v>3976</v>
      </c>
      <c r="G1431" s="9" t="s">
        <v>3977</v>
      </c>
      <c r="H1431" s="9" t="s">
        <v>3978</v>
      </c>
      <c r="I1431" s="10">
        <v>45564</v>
      </c>
    </row>
    <row r="1432" spans="1:9" x14ac:dyDescent="0.15">
      <c r="A1432" s="9">
        <v>1431</v>
      </c>
      <c r="B1432" s="9" t="s">
        <v>9</v>
      </c>
      <c r="C1432" s="9">
        <v>1916</v>
      </c>
      <c r="D1432" s="10">
        <v>45646</v>
      </c>
      <c r="E1432" s="13" t="str">
        <f>+HYPERLINK("http://trademark.i-assist.jp/data/china/image_1916th/81201570.pdf","81201570")</f>
        <v>81201570</v>
      </c>
      <c r="F1432" s="9" t="s">
        <v>3979</v>
      </c>
      <c r="G1432" s="9" t="s">
        <v>66</v>
      </c>
      <c r="H1432" s="9" t="s">
        <v>3980</v>
      </c>
      <c r="I1432" s="10">
        <v>45564</v>
      </c>
    </row>
    <row r="1433" spans="1:9" x14ac:dyDescent="0.15">
      <c r="A1433" s="9">
        <v>1432</v>
      </c>
      <c r="B1433" s="9" t="s">
        <v>9</v>
      </c>
      <c r="C1433" s="9">
        <v>1916</v>
      </c>
      <c r="D1433" s="10">
        <v>45646</v>
      </c>
      <c r="E1433" s="13" t="str">
        <f>+HYPERLINK("http://trademark.i-assist.jp/data/china/image_1916th/81202180.pdf","81202180")</f>
        <v>81202180</v>
      </c>
      <c r="F1433" s="9" t="s">
        <v>3981</v>
      </c>
      <c r="G1433" s="9" t="s">
        <v>3982</v>
      </c>
      <c r="H1433" s="12" t="s">
        <v>3983</v>
      </c>
      <c r="I1433" s="10">
        <v>45564</v>
      </c>
    </row>
    <row r="1434" spans="1:9" x14ac:dyDescent="0.15">
      <c r="A1434" s="9">
        <v>1433</v>
      </c>
      <c r="B1434" s="9" t="s">
        <v>9</v>
      </c>
      <c r="C1434" s="9">
        <v>1916</v>
      </c>
      <c r="D1434" s="10">
        <v>45646</v>
      </c>
      <c r="E1434" s="13" t="str">
        <f>+HYPERLINK("http://trademark.i-assist.jp/data/china/image_1916th/81202491.pdf","81202491")</f>
        <v>81202491</v>
      </c>
      <c r="F1434" s="9" t="s">
        <v>3984</v>
      </c>
      <c r="G1434" s="9" t="s">
        <v>3985</v>
      </c>
      <c r="H1434" s="9" t="s">
        <v>3986</v>
      </c>
      <c r="I1434" s="10">
        <v>45564</v>
      </c>
    </row>
    <row r="1435" spans="1:9" x14ac:dyDescent="0.15">
      <c r="A1435" s="9">
        <v>1434</v>
      </c>
      <c r="B1435" s="9" t="s">
        <v>9</v>
      </c>
      <c r="C1435" s="9">
        <v>1916</v>
      </c>
      <c r="D1435" s="10">
        <v>45646</v>
      </c>
      <c r="E1435" s="13" t="str">
        <f>+HYPERLINK("http://trademark.i-assist.jp/data/china/image_1916th/81202596.pdf","81202596")</f>
        <v>81202596</v>
      </c>
      <c r="F1435" s="9" t="s">
        <v>3987</v>
      </c>
      <c r="G1435" s="9" t="s">
        <v>3988</v>
      </c>
      <c r="H1435" s="9" t="s">
        <v>3989</v>
      </c>
      <c r="I1435" s="10">
        <v>45564</v>
      </c>
    </row>
    <row r="1436" spans="1:9" x14ac:dyDescent="0.15">
      <c r="A1436" s="9">
        <v>1435</v>
      </c>
      <c r="B1436" s="9" t="s">
        <v>9</v>
      </c>
      <c r="C1436" s="9">
        <v>1916</v>
      </c>
      <c r="D1436" s="10">
        <v>45646</v>
      </c>
      <c r="E1436" s="13" t="str">
        <f>+HYPERLINK("http://trademark.i-assist.jp/data/china/image_1916th/81202634.pdf","81202634")</f>
        <v>81202634</v>
      </c>
      <c r="F1436" s="12" t="s">
        <v>13</v>
      </c>
      <c r="G1436" s="9" t="s">
        <v>3990</v>
      </c>
      <c r="H1436" s="9" t="s">
        <v>3991</v>
      </c>
      <c r="I1436" s="10">
        <v>45564</v>
      </c>
    </row>
    <row r="1437" spans="1:9" x14ac:dyDescent="0.15">
      <c r="A1437" s="9">
        <v>1436</v>
      </c>
      <c r="B1437" s="9" t="s">
        <v>9</v>
      </c>
      <c r="C1437" s="9">
        <v>1916</v>
      </c>
      <c r="D1437" s="10">
        <v>45646</v>
      </c>
      <c r="E1437" s="13" t="str">
        <f>+HYPERLINK("http://trademark.i-assist.jp/data/china/image_1916th/81202743.pdf","81202743")</f>
        <v>81202743</v>
      </c>
      <c r="F1437" s="9" t="s">
        <v>3992</v>
      </c>
      <c r="G1437" s="9" t="s">
        <v>3388</v>
      </c>
      <c r="H1437" s="9" t="s">
        <v>3993</v>
      </c>
      <c r="I1437" s="10">
        <v>45564</v>
      </c>
    </row>
    <row r="1438" spans="1:9" x14ac:dyDescent="0.15">
      <c r="A1438" s="9">
        <v>1437</v>
      </c>
      <c r="B1438" s="9" t="s">
        <v>9</v>
      </c>
      <c r="C1438" s="9">
        <v>1916</v>
      </c>
      <c r="D1438" s="10">
        <v>45646</v>
      </c>
      <c r="E1438" s="13" t="str">
        <f>+HYPERLINK("http://trademark.i-assist.jp/data/china/image_1916th/81203289.pdf","81203289")</f>
        <v>81203289</v>
      </c>
      <c r="F1438" s="9" t="s">
        <v>3994</v>
      </c>
      <c r="G1438" s="9" t="s">
        <v>3995</v>
      </c>
      <c r="H1438" s="9" t="s">
        <v>3996</v>
      </c>
      <c r="I1438" s="10">
        <v>45565</v>
      </c>
    </row>
    <row r="1439" spans="1:9" x14ac:dyDescent="0.15">
      <c r="A1439" s="9">
        <v>1438</v>
      </c>
      <c r="B1439" s="9" t="s">
        <v>9</v>
      </c>
      <c r="C1439" s="9">
        <v>1916</v>
      </c>
      <c r="D1439" s="10">
        <v>45646</v>
      </c>
      <c r="E1439" s="13" t="str">
        <f>+HYPERLINK("http://trademark.i-assist.jp/data/china/image_1916th/81203300.pdf","81203300")</f>
        <v>81203300</v>
      </c>
      <c r="F1439" s="9" t="s">
        <v>3997</v>
      </c>
      <c r="G1439" s="12" t="s">
        <v>3998</v>
      </c>
      <c r="H1439" s="9" t="s">
        <v>3999</v>
      </c>
      <c r="I1439" s="10">
        <v>45565</v>
      </c>
    </row>
    <row r="1440" spans="1:9" x14ac:dyDescent="0.15">
      <c r="A1440" s="9">
        <v>1439</v>
      </c>
      <c r="B1440" s="9" t="s">
        <v>9</v>
      </c>
      <c r="C1440" s="9">
        <v>1916</v>
      </c>
      <c r="D1440" s="10">
        <v>45646</v>
      </c>
      <c r="E1440" s="13" t="str">
        <f>+HYPERLINK("http://trademark.i-assist.jp/data/china/image_1916th/81203470.pdf","81203470")</f>
        <v>81203470</v>
      </c>
      <c r="F1440" s="12" t="s">
        <v>4000</v>
      </c>
      <c r="G1440" s="9" t="s">
        <v>4001</v>
      </c>
      <c r="H1440" s="9" t="s">
        <v>4002</v>
      </c>
      <c r="I1440" s="10">
        <v>45565</v>
      </c>
    </row>
    <row r="1441" spans="1:9" x14ac:dyDescent="0.15">
      <c r="A1441" s="9">
        <v>1440</v>
      </c>
      <c r="B1441" s="9" t="s">
        <v>9</v>
      </c>
      <c r="C1441" s="9">
        <v>1916</v>
      </c>
      <c r="D1441" s="10">
        <v>45646</v>
      </c>
      <c r="E1441" s="13" t="str">
        <f>+HYPERLINK("http://trademark.i-assist.jp/data/china/image_1916th/81203495.pdf","81203495")</f>
        <v>81203495</v>
      </c>
      <c r="F1441" s="9" t="s">
        <v>4003</v>
      </c>
      <c r="G1441" s="9" t="s">
        <v>4004</v>
      </c>
      <c r="H1441" s="9" t="s">
        <v>4005</v>
      </c>
      <c r="I1441" s="10">
        <v>45565</v>
      </c>
    </row>
    <row r="1442" spans="1:9" x14ac:dyDescent="0.15">
      <c r="A1442" s="9">
        <v>1441</v>
      </c>
      <c r="B1442" s="9" t="s">
        <v>9</v>
      </c>
      <c r="C1442" s="9">
        <v>1916</v>
      </c>
      <c r="D1442" s="10">
        <v>45646</v>
      </c>
      <c r="E1442" s="13" t="str">
        <f>+HYPERLINK("http://trademark.i-assist.jp/data/china/image_1916th/81203612.pdf","81203612")</f>
        <v>81203612</v>
      </c>
      <c r="F1442" s="9" t="s">
        <v>4006</v>
      </c>
      <c r="G1442" s="9" t="s">
        <v>4007</v>
      </c>
      <c r="H1442" s="9" t="s">
        <v>4008</v>
      </c>
      <c r="I1442" s="10">
        <v>45565</v>
      </c>
    </row>
    <row r="1443" spans="1:9" x14ac:dyDescent="0.15">
      <c r="A1443" s="9">
        <v>1442</v>
      </c>
      <c r="B1443" s="9" t="s">
        <v>9</v>
      </c>
      <c r="C1443" s="9">
        <v>1916</v>
      </c>
      <c r="D1443" s="10">
        <v>45646</v>
      </c>
      <c r="E1443" s="13" t="str">
        <f>+HYPERLINK("http://trademark.i-assist.jp/data/china/image_1916th/81203743.pdf","81203743")</f>
        <v>81203743</v>
      </c>
      <c r="F1443" s="9" t="s">
        <v>4009</v>
      </c>
      <c r="G1443" s="12" t="s">
        <v>4010</v>
      </c>
      <c r="H1443" s="9" t="s">
        <v>4011</v>
      </c>
      <c r="I1443" s="10">
        <v>45565</v>
      </c>
    </row>
    <row r="1444" spans="1:9" x14ac:dyDescent="0.15">
      <c r="A1444" s="9">
        <v>1443</v>
      </c>
      <c r="B1444" s="9" t="s">
        <v>9</v>
      </c>
      <c r="C1444" s="9">
        <v>1916</v>
      </c>
      <c r="D1444" s="10">
        <v>45646</v>
      </c>
      <c r="E1444" s="13" t="str">
        <f>+HYPERLINK("http://trademark.i-assist.jp/data/china/image_1916th/81203791.pdf","81203791")</f>
        <v>81203791</v>
      </c>
      <c r="F1444" s="9" t="s">
        <v>4012</v>
      </c>
      <c r="G1444" s="9" t="s">
        <v>4013</v>
      </c>
      <c r="H1444" s="9" t="s">
        <v>4014</v>
      </c>
      <c r="I1444" s="10">
        <v>45565</v>
      </c>
    </row>
    <row r="1445" spans="1:9" x14ac:dyDescent="0.15">
      <c r="A1445" s="9">
        <v>1444</v>
      </c>
      <c r="B1445" s="9" t="s">
        <v>9</v>
      </c>
      <c r="C1445" s="9">
        <v>1916</v>
      </c>
      <c r="D1445" s="10">
        <v>45646</v>
      </c>
      <c r="E1445" s="13" t="str">
        <f>+HYPERLINK("http://trademark.i-assist.jp/data/china/image_1916th/81203868.pdf","81203868")</f>
        <v>81203868</v>
      </c>
      <c r="F1445" s="9" t="s">
        <v>4015</v>
      </c>
      <c r="G1445" s="12" t="s">
        <v>1225</v>
      </c>
      <c r="H1445" s="12" t="s">
        <v>4016</v>
      </c>
      <c r="I1445" s="10">
        <v>45565</v>
      </c>
    </row>
    <row r="1446" spans="1:9" x14ac:dyDescent="0.15">
      <c r="A1446" s="9">
        <v>1445</v>
      </c>
      <c r="B1446" s="9" t="s">
        <v>9</v>
      </c>
      <c r="C1446" s="9">
        <v>1916</v>
      </c>
      <c r="D1446" s="10">
        <v>45646</v>
      </c>
      <c r="E1446" s="13" t="str">
        <f>+HYPERLINK("http://trademark.i-assist.jp/data/china/image_1916th/81203919.pdf","81203919")</f>
        <v>81203919</v>
      </c>
      <c r="F1446" s="9" t="s">
        <v>4017</v>
      </c>
      <c r="G1446" s="9" t="s">
        <v>4018</v>
      </c>
      <c r="H1446" s="9" t="s">
        <v>4019</v>
      </c>
      <c r="I1446" s="10">
        <v>45565</v>
      </c>
    </row>
    <row r="1447" spans="1:9" x14ac:dyDescent="0.15">
      <c r="A1447" s="9">
        <v>1446</v>
      </c>
      <c r="B1447" s="9" t="s">
        <v>9</v>
      </c>
      <c r="C1447" s="9">
        <v>1916</v>
      </c>
      <c r="D1447" s="10">
        <v>45646</v>
      </c>
      <c r="E1447" s="13" t="str">
        <f>+HYPERLINK("http://trademark.i-assist.jp/data/china/image_1916th/81204329.pdf","81204329")</f>
        <v>81204329</v>
      </c>
      <c r="F1447" s="9" t="s">
        <v>4020</v>
      </c>
      <c r="G1447" s="9" t="s">
        <v>4021</v>
      </c>
      <c r="H1447" s="9" t="s">
        <v>4022</v>
      </c>
      <c r="I1447" s="10">
        <v>45565</v>
      </c>
    </row>
    <row r="1448" spans="1:9" x14ac:dyDescent="0.15">
      <c r="A1448" s="9">
        <v>1447</v>
      </c>
      <c r="B1448" s="9" t="s">
        <v>9</v>
      </c>
      <c r="C1448" s="9">
        <v>1916</v>
      </c>
      <c r="D1448" s="10">
        <v>45646</v>
      </c>
      <c r="E1448" s="13" t="str">
        <f>+HYPERLINK("http://trademark.i-assist.jp/data/china/image_1916th/81204382.pdf","81204382")</f>
        <v>81204382</v>
      </c>
      <c r="F1448" s="9" t="s">
        <v>4023</v>
      </c>
      <c r="G1448" s="12" t="s">
        <v>4024</v>
      </c>
      <c r="H1448" s="9" t="s">
        <v>4025</v>
      </c>
      <c r="I1448" s="10">
        <v>45565</v>
      </c>
    </row>
    <row r="1449" spans="1:9" x14ac:dyDescent="0.15">
      <c r="A1449" s="9">
        <v>1448</v>
      </c>
      <c r="B1449" s="9" t="s">
        <v>9</v>
      </c>
      <c r="C1449" s="9">
        <v>1916</v>
      </c>
      <c r="D1449" s="10">
        <v>45646</v>
      </c>
      <c r="E1449" s="13" t="str">
        <f>+HYPERLINK("http://trademark.i-assist.jp/data/china/image_1916th/81204469.pdf","81204469")</f>
        <v>81204469</v>
      </c>
      <c r="F1449" s="9" t="s">
        <v>4026</v>
      </c>
      <c r="G1449" s="12" t="s">
        <v>4027</v>
      </c>
      <c r="H1449" s="9" t="s">
        <v>4028</v>
      </c>
      <c r="I1449" s="10">
        <v>45565</v>
      </c>
    </row>
    <row r="1450" spans="1:9" x14ac:dyDescent="0.15">
      <c r="A1450" s="9">
        <v>1449</v>
      </c>
      <c r="B1450" s="9" t="s">
        <v>9</v>
      </c>
      <c r="C1450" s="9">
        <v>1916</v>
      </c>
      <c r="D1450" s="10">
        <v>45646</v>
      </c>
      <c r="E1450" s="13" t="str">
        <f>+HYPERLINK("http://trademark.i-assist.jp/data/china/image_1916th/81204535.pdf","81204535")</f>
        <v>81204535</v>
      </c>
      <c r="F1450" s="9" t="s">
        <v>4029</v>
      </c>
      <c r="G1450" s="9" t="s">
        <v>4030</v>
      </c>
      <c r="H1450" s="9" t="s">
        <v>4031</v>
      </c>
      <c r="I1450" s="10">
        <v>45565</v>
      </c>
    </row>
    <row r="1451" spans="1:9" x14ac:dyDescent="0.15">
      <c r="A1451" s="9">
        <v>1450</v>
      </c>
      <c r="B1451" s="9" t="s">
        <v>9</v>
      </c>
      <c r="C1451" s="9">
        <v>1916</v>
      </c>
      <c r="D1451" s="10">
        <v>45646</v>
      </c>
      <c r="E1451" s="13" t="str">
        <f>+HYPERLINK("http://trademark.i-assist.jp/data/china/image_1916th/81204775.pdf","81204775")</f>
        <v>81204775</v>
      </c>
      <c r="F1451" s="9" t="s">
        <v>4032</v>
      </c>
      <c r="G1451" s="9" t="s">
        <v>4033</v>
      </c>
      <c r="H1451" s="9" t="s">
        <v>4034</v>
      </c>
      <c r="I1451" s="10">
        <v>45565</v>
      </c>
    </row>
    <row r="1452" spans="1:9" x14ac:dyDescent="0.15">
      <c r="A1452" s="9">
        <v>1451</v>
      </c>
      <c r="B1452" s="9" t="s">
        <v>9</v>
      </c>
      <c r="C1452" s="9">
        <v>1916</v>
      </c>
      <c r="D1452" s="10">
        <v>45646</v>
      </c>
      <c r="E1452" s="13" t="str">
        <f>+HYPERLINK("http://trademark.i-assist.jp/data/china/image_1916th/81204993.pdf","81204993")</f>
        <v>81204993</v>
      </c>
      <c r="F1452" s="9" t="s">
        <v>4035</v>
      </c>
      <c r="G1452" s="12" t="s">
        <v>4036</v>
      </c>
      <c r="H1452" s="9" t="s">
        <v>4037</v>
      </c>
      <c r="I1452" s="10">
        <v>45565</v>
      </c>
    </row>
    <row r="1453" spans="1:9" x14ac:dyDescent="0.15">
      <c r="A1453" s="9">
        <v>1452</v>
      </c>
      <c r="B1453" s="9" t="s">
        <v>9</v>
      </c>
      <c r="C1453" s="9">
        <v>1916</v>
      </c>
      <c r="D1453" s="10">
        <v>45646</v>
      </c>
      <c r="E1453" s="13" t="str">
        <f>+HYPERLINK("http://trademark.i-assist.jp/data/china/image_1916th/81205345.pdf","81205345")</f>
        <v>81205345</v>
      </c>
      <c r="F1453" s="9" t="s">
        <v>4038</v>
      </c>
      <c r="G1453" s="9" t="s">
        <v>4039</v>
      </c>
      <c r="H1453" s="9" t="s">
        <v>4040</v>
      </c>
      <c r="I1453" s="10">
        <v>45565</v>
      </c>
    </row>
    <row r="1454" spans="1:9" x14ac:dyDescent="0.15">
      <c r="A1454" s="9">
        <v>1453</v>
      </c>
      <c r="B1454" s="9" t="s">
        <v>9</v>
      </c>
      <c r="C1454" s="9">
        <v>1916</v>
      </c>
      <c r="D1454" s="10">
        <v>45646</v>
      </c>
      <c r="E1454" s="13" t="str">
        <f>+HYPERLINK("http://trademark.i-assist.jp/data/china/image_1916th/81205499.pdf","81205499")</f>
        <v>81205499</v>
      </c>
      <c r="F1454" s="9" t="s">
        <v>4041</v>
      </c>
      <c r="G1454" s="9" t="s">
        <v>4042</v>
      </c>
      <c r="H1454" s="9" t="s">
        <v>4043</v>
      </c>
      <c r="I1454" s="10">
        <v>45565</v>
      </c>
    </row>
    <row r="1455" spans="1:9" x14ac:dyDescent="0.15">
      <c r="A1455" s="9">
        <v>1454</v>
      </c>
      <c r="B1455" s="9" t="s">
        <v>9</v>
      </c>
      <c r="C1455" s="9">
        <v>1916</v>
      </c>
      <c r="D1455" s="10">
        <v>45646</v>
      </c>
      <c r="E1455" s="13" t="str">
        <f>+HYPERLINK("http://trademark.i-assist.jp/data/china/image_1916th/81205586.pdf","81205586")</f>
        <v>81205586</v>
      </c>
      <c r="F1455" s="9" t="s">
        <v>4044</v>
      </c>
      <c r="G1455" s="9" t="s">
        <v>4045</v>
      </c>
      <c r="H1455" s="12" t="s">
        <v>4046</v>
      </c>
      <c r="I1455" s="10">
        <v>45565</v>
      </c>
    </row>
    <row r="1456" spans="1:9" x14ac:dyDescent="0.15">
      <c r="A1456" s="9">
        <v>1455</v>
      </c>
      <c r="B1456" s="9" t="s">
        <v>9</v>
      </c>
      <c r="C1456" s="9">
        <v>1916</v>
      </c>
      <c r="D1456" s="10">
        <v>45646</v>
      </c>
      <c r="E1456" s="13" t="str">
        <f>+HYPERLINK("http://trademark.i-assist.jp/data/china/image_1916th/81205634.pdf","81205634")</f>
        <v>81205634</v>
      </c>
      <c r="F1456" s="9" t="s">
        <v>4047</v>
      </c>
      <c r="G1456" s="9" t="s">
        <v>4048</v>
      </c>
      <c r="H1456" s="9" t="s">
        <v>4049</v>
      </c>
      <c r="I1456" s="10">
        <v>45565</v>
      </c>
    </row>
    <row r="1457" spans="1:9" x14ac:dyDescent="0.15">
      <c r="A1457" s="9">
        <v>1456</v>
      </c>
      <c r="B1457" s="9" t="s">
        <v>9</v>
      </c>
      <c r="C1457" s="9">
        <v>1916</v>
      </c>
      <c r="D1457" s="10">
        <v>45646</v>
      </c>
      <c r="E1457" s="13" t="str">
        <f>+HYPERLINK("http://trademark.i-assist.jp/data/china/image_1916th/81205720.pdf","81205720")</f>
        <v>81205720</v>
      </c>
      <c r="F1457" s="9" t="s">
        <v>4050</v>
      </c>
      <c r="G1457" s="9" t="s">
        <v>4013</v>
      </c>
      <c r="H1457" s="9" t="s">
        <v>4051</v>
      </c>
      <c r="I1457" s="10">
        <v>45565</v>
      </c>
    </row>
    <row r="1458" spans="1:9" x14ac:dyDescent="0.15">
      <c r="A1458" s="9">
        <v>1457</v>
      </c>
      <c r="B1458" s="9" t="s">
        <v>9</v>
      </c>
      <c r="C1458" s="9">
        <v>1916</v>
      </c>
      <c r="D1458" s="10">
        <v>45646</v>
      </c>
      <c r="E1458" s="13" t="str">
        <f>+HYPERLINK("http://trademark.i-assist.jp/data/china/image_1916th/81205725.pdf","81205725")</f>
        <v>81205725</v>
      </c>
      <c r="F1458" s="12" t="s">
        <v>4052</v>
      </c>
      <c r="G1458" s="9" t="s">
        <v>4013</v>
      </c>
      <c r="H1458" s="9" t="s">
        <v>4053</v>
      </c>
      <c r="I1458" s="10">
        <v>45565</v>
      </c>
    </row>
    <row r="1459" spans="1:9" x14ac:dyDescent="0.15">
      <c r="A1459" s="9">
        <v>1458</v>
      </c>
      <c r="B1459" s="9" t="s">
        <v>9</v>
      </c>
      <c r="C1459" s="9">
        <v>1916</v>
      </c>
      <c r="D1459" s="10">
        <v>45646</v>
      </c>
      <c r="E1459" s="13" t="str">
        <f>+HYPERLINK("http://trademark.i-assist.jp/data/china/image_1916th/81206006.pdf","81206006")</f>
        <v>81206006</v>
      </c>
      <c r="F1459" s="9" t="s">
        <v>4054</v>
      </c>
      <c r="G1459" s="9" t="s">
        <v>4055</v>
      </c>
      <c r="H1459" s="9" t="s">
        <v>4056</v>
      </c>
      <c r="I1459" s="10">
        <v>45565</v>
      </c>
    </row>
    <row r="1460" spans="1:9" x14ac:dyDescent="0.15">
      <c r="A1460" s="9">
        <v>1459</v>
      </c>
      <c r="B1460" s="9" t="s">
        <v>9</v>
      </c>
      <c r="C1460" s="9">
        <v>1916</v>
      </c>
      <c r="D1460" s="10">
        <v>45646</v>
      </c>
      <c r="E1460" s="13" t="str">
        <f>+HYPERLINK("http://trademark.i-assist.jp/data/china/image_1916th/81206089.pdf","81206089")</f>
        <v>81206089</v>
      </c>
      <c r="F1460" s="12" t="s">
        <v>4057</v>
      </c>
      <c r="G1460" s="12" t="s">
        <v>2016</v>
      </c>
      <c r="H1460" s="9" t="s">
        <v>4058</v>
      </c>
      <c r="I1460" s="10">
        <v>45565</v>
      </c>
    </row>
    <row r="1461" spans="1:9" x14ac:dyDescent="0.15">
      <c r="A1461" s="9">
        <v>1460</v>
      </c>
      <c r="B1461" s="9" t="s">
        <v>9</v>
      </c>
      <c r="C1461" s="9">
        <v>1916</v>
      </c>
      <c r="D1461" s="10">
        <v>45646</v>
      </c>
      <c r="E1461" s="13" t="str">
        <f>+HYPERLINK("http://trademark.i-assist.jp/data/china/image_1916th/81207041.pdf","81207041")</f>
        <v>81207041</v>
      </c>
      <c r="F1461" s="9" t="s">
        <v>4059</v>
      </c>
      <c r="G1461" s="9" t="s">
        <v>4060</v>
      </c>
      <c r="H1461" s="9" t="s">
        <v>4061</v>
      </c>
      <c r="I1461" s="10">
        <v>45565</v>
      </c>
    </row>
    <row r="1462" spans="1:9" x14ac:dyDescent="0.15">
      <c r="A1462" s="9">
        <v>1461</v>
      </c>
      <c r="B1462" s="9" t="s">
        <v>9</v>
      </c>
      <c r="C1462" s="9">
        <v>1916</v>
      </c>
      <c r="D1462" s="10">
        <v>45646</v>
      </c>
      <c r="E1462" s="13" t="str">
        <f>+HYPERLINK("http://trademark.i-assist.jp/data/china/image_1916th/81207140.pdf","81207140")</f>
        <v>81207140</v>
      </c>
      <c r="F1462" s="12" t="s">
        <v>4062</v>
      </c>
      <c r="G1462" s="9" t="s">
        <v>4063</v>
      </c>
      <c r="H1462" s="9" t="s">
        <v>4064</v>
      </c>
      <c r="I1462" s="10">
        <v>45565</v>
      </c>
    </row>
    <row r="1463" spans="1:9" x14ac:dyDescent="0.15">
      <c r="A1463" s="9">
        <v>1462</v>
      </c>
      <c r="B1463" s="9" t="s">
        <v>9</v>
      </c>
      <c r="C1463" s="9">
        <v>1916</v>
      </c>
      <c r="D1463" s="10">
        <v>45646</v>
      </c>
      <c r="E1463" s="13" t="str">
        <f>+HYPERLINK("http://trademark.i-assist.jp/data/china/image_1916th/81207391.pdf","81207391")</f>
        <v>81207391</v>
      </c>
      <c r="F1463" s="9" t="s">
        <v>4065</v>
      </c>
      <c r="G1463" s="12" t="s">
        <v>4066</v>
      </c>
      <c r="H1463" s="9" t="s">
        <v>4067</v>
      </c>
      <c r="I1463" s="10">
        <v>45565</v>
      </c>
    </row>
    <row r="1464" spans="1:9" x14ac:dyDescent="0.15">
      <c r="A1464" s="9">
        <v>1463</v>
      </c>
      <c r="B1464" s="9" t="s">
        <v>9</v>
      </c>
      <c r="C1464" s="9">
        <v>1916</v>
      </c>
      <c r="D1464" s="10">
        <v>45646</v>
      </c>
      <c r="E1464" s="13" t="str">
        <f>+HYPERLINK("http://trademark.i-assist.jp/data/china/image_1916th/81207398.pdf","81207398")</f>
        <v>81207398</v>
      </c>
      <c r="F1464" s="9" t="s">
        <v>4068</v>
      </c>
      <c r="G1464" s="12" t="s">
        <v>4066</v>
      </c>
      <c r="H1464" s="12" t="s">
        <v>4069</v>
      </c>
      <c r="I1464" s="10">
        <v>45565</v>
      </c>
    </row>
    <row r="1465" spans="1:9" x14ac:dyDescent="0.15">
      <c r="A1465" s="9">
        <v>1464</v>
      </c>
      <c r="B1465" s="9" t="s">
        <v>9</v>
      </c>
      <c r="C1465" s="9">
        <v>1916</v>
      </c>
      <c r="D1465" s="10">
        <v>45646</v>
      </c>
      <c r="E1465" s="13" t="str">
        <f>+HYPERLINK("http://trademark.i-assist.jp/data/china/image_1916th/81207919.pdf","81207919")</f>
        <v>81207919</v>
      </c>
      <c r="F1465" s="9" t="s">
        <v>4070</v>
      </c>
      <c r="G1465" s="12" t="s">
        <v>1742</v>
      </c>
      <c r="H1465" s="12" t="s">
        <v>4071</v>
      </c>
      <c r="I1465" s="10">
        <v>45565</v>
      </c>
    </row>
    <row r="1466" spans="1:9" x14ac:dyDescent="0.15">
      <c r="A1466" s="9">
        <v>1465</v>
      </c>
      <c r="B1466" s="9" t="s">
        <v>9</v>
      </c>
      <c r="C1466" s="9">
        <v>1916</v>
      </c>
      <c r="D1466" s="10">
        <v>45646</v>
      </c>
      <c r="E1466" s="13" t="str">
        <f>+HYPERLINK("http://trademark.i-assist.jp/data/china/image_1916th/81208059.pdf","81208059")</f>
        <v>81208059</v>
      </c>
      <c r="F1466" s="12" t="s">
        <v>4072</v>
      </c>
      <c r="G1466" s="9" t="s">
        <v>4073</v>
      </c>
      <c r="H1466" s="9" t="s">
        <v>4074</v>
      </c>
      <c r="I1466" s="10">
        <v>45565</v>
      </c>
    </row>
    <row r="1467" spans="1:9" x14ac:dyDescent="0.15">
      <c r="A1467" s="9">
        <v>1466</v>
      </c>
      <c r="B1467" s="9" t="s">
        <v>9</v>
      </c>
      <c r="C1467" s="9">
        <v>1916</v>
      </c>
      <c r="D1467" s="10">
        <v>45646</v>
      </c>
      <c r="E1467" s="13" t="str">
        <f>+HYPERLINK("http://trademark.i-assist.jp/data/china/image_1916th/81208327.pdf","81208327")</f>
        <v>81208327</v>
      </c>
      <c r="F1467" s="9" t="s">
        <v>4075</v>
      </c>
      <c r="G1467" s="12" t="s">
        <v>4076</v>
      </c>
      <c r="H1467" s="9" t="s">
        <v>4077</v>
      </c>
      <c r="I1467" s="10">
        <v>45565</v>
      </c>
    </row>
    <row r="1468" spans="1:9" x14ac:dyDescent="0.15">
      <c r="A1468" s="9">
        <v>1467</v>
      </c>
      <c r="B1468" s="9" t="s">
        <v>9</v>
      </c>
      <c r="C1468" s="9">
        <v>1916</v>
      </c>
      <c r="D1468" s="10">
        <v>45646</v>
      </c>
      <c r="E1468" s="13" t="str">
        <f>+HYPERLINK("http://trademark.i-assist.jp/data/china/image_1916th/81209127.pdf","81209127")</f>
        <v>81209127</v>
      </c>
      <c r="F1468" s="12" t="s">
        <v>4078</v>
      </c>
      <c r="G1468" s="9" t="s">
        <v>4079</v>
      </c>
      <c r="H1468" s="9" t="s">
        <v>4080</v>
      </c>
      <c r="I1468" s="10">
        <v>45565</v>
      </c>
    </row>
    <row r="1469" spans="1:9" x14ac:dyDescent="0.15">
      <c r="A1469" s="9">
        <v>1468</v>
      </c>
      <c r="B1469" s="9" t="s">
        <v>9</v>
      </c>
      <c r="C1469" s="9">
        <v>1916</v>
      </c>
      <c r="D1469" s="10">
        <v>45646</v>
      </c>
      <c r="E1469" s="13" t="str">
        <f>+HYPERLINK("http://trademark.i-assist.jp/data/china/image_1916th/81209173.pdf","81209173")</f>
        <v>81209173</v>
      </c>
      <c r="F1469" s="9" t="s">
        <v>4081</v>
      </c>
      <c r="G1469" s="9" t="s">
        <v>4082</v>
      </c>
      <c r="H1469" s="9" t="s">
        <v>4083</v>
      </c>
      <c r="I1469" s="10">
        <v>45565</v>
      </c>
    </row>
    <row r="1470" spans="1:9" x14ac:dyDescent="0.15">
      <c r="A1470" s="9">
        <v>1469</v>
      </c>
      <c r="B1470" s="9" t="s">
        <v>9</v>
      </c>
      <c r="C1470" s="9">
        <v>1916</v>
      </c>
      <c r="D1470" s="10">
        <v>45646</v>
      </c>
      <c r="E1470" s="13" t="str">
        <f>+HYPERLINK("http://trademark.i-assist.jp/data/china/image_1916th/81209199.pdf","81209199")</f>
        <v>81209199</v>
      </c>
      <c r="F1470" s="9" t="s">
        <v>4084</v>
      </c>
      <c r="G1470" s="9" t="s">
        <v>4085</v>
      </c>
      <c r="H1470" s="9" t="s">
        <v>4086</v>
      </c>
      <c r="I1470" s="10">
        <v>45565</v>
      </c>
    </row>
    <row r="1471" spans="1:9" x14ac:dyDescent="0.15">
      <c r="A1471" s="9">
        <v>1470</v>
      </c>
      <c r="B1471" s="9" t="s">
        <v>9</v>
      </c>
      <c r="C1471" s="9">
        <v>1916</v>
      </c>
      <c r="D1471" s="10">
        <v>45646</v>
      </c>
      <c r="E1471" s="13" t="str">
        <f>+HYPERLINK("http://trademark.i-assist.jp/data/china/image_1916th/81209269.pdf","81209269")</f>
        <v>81209269</v>
      </c>
      <c r="F1471" s="9" t="s">
        <v>4087</v>
      </c>
      <c r="G1471" s="9" t="s">
        <v>4088</v>
      </c>
      <c r="H1471" s="9" t="s">
        <v>4089</v>
      </c>
      <c r="I1471" s="10">
        <v>45565</v>
      </c>
    </row>
    <row r="1472" spans="1:9" x14ac:dyDescent="0.15">
      <c r="A1472" s="9">
        <v>1471</v>
      </c>
      <c r="B1472" s="9" t="s">
        <v>9</v>
      </c>
      <c r="C1472" s="9">
        <v>1916</v>
      </c>
      <c r="D1472" s="10">
        <v>45646</v>
      </c>
      <c r="E1472" s="13" t="str">
        <f>+HYPERLINK("http://trademark.i-assist.jp/data/china/image_1916th/81209468.pdf","81209468")</f>
        <v>81209468</v>
      </c>
      <c r="F1472" s="9" t="s">
        <v>4090</v>
      </c>
      <c r="G1472" s="9" t="s">
        <v>4091</v>
      </c>
      <c r="H1472" s="9" t="s">
        <v>4092</v>
      </c>
      <c r="I1472" s="10">
        <v>45565</v>
      </c>
    </row>
    <row r="1473" spans="1:9" x14ac:dyDescent="0.15">
      <c r="A1473" s="9">
        <v>1472</v>
      </c>
      <c r="B1473" s="9" t="s">
        <v>9</v>
      </c>
      <c r="C1473" s="9">
        <v>1916</v>
      </c>
      <c r="D1473" s="10">
        <v>45646</v>
      </c>
      <c r="E1473" s="13" t="str">
        <f>+HYPERLINK("http://trademark.i-assist.jp/data/china/image_1916th/81209627.pdf","81209627")</f>
        <v>81209627</v>
      </c>
      <c r="F1473" s="9" t="s">
        <v>4093</v>
      </c>
      <c r="G1473" s="9" t="s">
        <v>4033</v>
      </c>
      <c r="H1473" s="9" t="s">
        <v>4094</v>
      </c>
      <c r="I1473" s="10">
        <v>45565</v>
      </c>
    </row>
    <row r="1474" spans="1:9" x14ac:dyDescent="0.15">
      <c r="A1474" s="9">
        <v>1473</v>
      </c>
      <c r="B1474" s="9" t="s">
        <v>9</v>
      </c>
      <c r="C1474" s="9">
        <v>1916</v>
      </c>
      <c r="D1474" s="10">
        <v>45646</v>
      </c>
      <c r="E1474" s="13" t="str">
        <f>+HYPERLINK("http://trademark.i-assist.jp/data/china/image_1916th/81209633.pdf","81209633")</f>
        <v>81209633</v>
      </c>
      <c r="F1474" s="9" t="s">
        <v>4095</v>
      </c>
      <c r="G1474" s="9" t="s">
        <v>4033</v>
      </c>
      <c r="H1474" s="9" t="s">
        <v>4096</v>
      </c>
      <c r="I1474" s="10">
        <v>45565</v>
      </c>
    </row>
    <row r="1475" spans="1:9" x14ac:dyDescent="0.15">
      <c r="A1475" s="9">
        <v>1474</v>
      </c>
      <c r="B1475" s="9" t="s">
        <v>9</v>
      </c>
      <c r="C1475" s="9">
        <v>1916</v>
      </c>
      <c r="D1475" s="10">
        <v>45646</v>
      </c>
      <c r="E1475" s="13" t="str">
        <f>+HYPERLINK("http://trademark.i-assist.jp/data/china/image_1916th/81210218.pdf","81210218")</f>
        <v>81210218</v>
      </c>
      <c r="F1475" s="11" t="s">
        <v>4097</v>
      </c>
      <c r="G1475" s="9" t="s">
        <v>4098</v>
      </c>
      <c r="H1475" s="9" t="s">
        <v>4099</v>
      </c>
      <c r="I1475" s="10">
        <v>45565</v>
      </c>
    </row>
    <row r="1476" spans="1:9" x14ac:dyDescent="0.15">
      <c r="A1476" s="9">
        <v>1475</v>
      </c>
      <c r="B1476" s="9" t="s">
        <v>9</v>
      </c>
      <c r="C1476" s="9">
        <v>1916</v>
      </c>
      <c r="D1476" s="10">
        <v>45646</v>
      </c>
      <c r="E1476" s="13" t="str">
        <f>+HYPERLINK("http://trademark.i-assist.jp/data/china/image_1916th/81210238.pdf","81210238")</f>
        <v>81210238</v>
      </c>
      <c r="F1476" s="12" t="s">
        <v>13</v>
      </c>
      <c r="G1476" s="12" t="s">
        <v>4100</v>
      </c>
      <c r="H1476" s="9" t="s">
        <v>4101</v>
      </c>
      <c r="I1476" s="10">
        <v>45565</v>
      </c>
    </row>
    <row r="1477" spans="1:9" x14ac:dyDescent="0.15">
      <c r="A1477" s="9">
        <v>1476</v>
      </c>
      <c r="B1477" s="9" t="s">
        <v>9</v>
      </c>
      <c r="C1477" s="9">
        <v>1916</v>
      </c>
      <c r="D1477" s="10">
        <v>45646</v>
      </c>
      <c r="E1477" s="13" t="str">
        <f>+HYPERLINK("http://trademark.i-assist.jp/data/china/image_1916th/81210770.pdf","81210770")</f>
        <v>81210770</v>
      </c>
      <c r="F1477" s="9" t="s">
        <v>4102</v>
      </c>
      <c r="G1477" s="9" t="s">
        <v>4103</v>
      </c>
      <c r="H1477" s="9" t="s">
        <v>4104</v>
      </c>
      <c r="I1477" s="10">
        <v>45565</v>
      </c>
    </row>
    <row r="1478" spans="1:9" x14ac:dyDescent="0.15">
      <c r="A1478" s="9">
        <v>1477</v>
      </c>
      <c r="B1478" s="9" t="s">
        <v>9</v>
      </c>
      <c r="C1478" s="9">
        <v>1916</v>
      </c>
      <c r="D1478" s="10">
        <v>45646</v>
      </c>
      <c r="E1478" s="13" t="str">
        <f>+HYPERLINK("http://trademark.i-assist.jp/data/china/image_1916th/81210812.pdf","81210812")</f>
        <v>81210812</v>
      </c>
      <c r="F1478" s="12" t="s">
        <v>4105</v>
      </c>
      <c r="G1478" s="9" t="s">
        <v>4106</v>
      </c>
      <c r="H1478" s="9" t="s">
        <v>4107</v>
      </c>
      <c r="I1478" s="10">
        <v>45565</v>
      </c>
    </row>
    <row r="1479" spans="1:9" x14ac:dyDescent="0.15">
      <c r="A1479" s="9">
        <v>1478</v>
      </c>
      <c r="B1479" s="9" t="s">
        <v>9</v>
      </c>
      <c r="C1479" s="9">
        <v>1916</v>
      </c>
      <c r="D1479" s="10">
        <v>45646</v>
      </c>
      <c r="E1479" s="13" t="str">
        <f>+HYPERLINK("http://trademark.i-assist.jp/data/china/image_1916th/81211021.pdf","81211021")</f>
        <v>81211021</v>
      </c>
      <c r="F1479" s="12" t="s">
        <v>4108</v>
      </c>
      <c r="G1479" s="9" t="s">
        <v>4109</v>
      </c>
      <c r="H1479" s="9" t="s">
        <v>4110</v>
      </c>
      <c r="I1479" s="10">
        <v>45565</v>
      </c>
    </row>
    <row r="1480" spans="1:9" x14ac:dyDescent="0.15">
      <c r="A1480" s="9">
        <v>1479</v>
      </c>
      <c r="B1480" s="9" t="s">
        <v>9</v>
      </c>
      <c r="C1480" s="9">
        <v>1916</v>
      </c>
      <c r="D1480" s="10">
        <v>45646</v>
      </c>
      <c r="E1480" s="13" t="str">
        <f>+HYPERLINK("http://trademark.i-assist.jp/data/china/image_1916th/81211617.pdf","81211617")</f>
        <v>81211617</v>
      </c>
      <c r="F1480" s="9" t="s">
        <v>4111</v>
      </c>
      <c r="G1480" s="9" t="s">
        <v>4112</v>
      </c>
      <c r="H1480" s="9" t="s">
        <v>4113</v>
      </c>
      <c r="I1480" s="10">
        <v>45565</v>
      </c>
    </row>
    <row r="1481" spans="1:9" x14ac:dyDescent="0.15">
      <c r="A1481" s="9">
        <v>1480</v>
      </c>
      <c r="B1481" s="9" t="s">
        <v>9</v>
      </c>
      <c r="C1481" s="9">
        <v>1916</v>
      </c>
      <c r="D1481" s="10">
        <v>45646</v>
      </c>
      <c r="E1481" s="13" t="str">
        <f>+HYPERLINK("http://trademark.i-assist.jp/data/china/image_1916th/81211817.pdf","81211817")</f>
        <v>81211817</v>
      </c>
      <c r="F1481" s="9" t="s">
        <v>4114</v>
      </c>
      <c r="G1481" s="9" t="s">
        <v>4115</v>
      </c>
      <c r="H1481" s="12" t="s">
        <v>4116</v>
      </c>
      <c r="I1481" s="10">
        <v>45565</v>
      </c>
    </row>
    <row r="1482" spans="1:9" x14ac:dyDescent="0.15">
      <c r="A1482" s="9">
        <v>1481</v>
      </c>
      <c r="B1482" s="9" t="s">
        <v>9</v>
      </c>
      <c r="C1482" s="9">
        <v>1916</v>
      </c>
      <c r="D1482" s="10">
        <v>45646</v>
      </c>
      <c r="E1482" s="13" t="str">
        <f>+HYPERLINK("http://trademark.i-assist.jp/data/china/image_1916th/81211955.pdf","81211955")</f>
        <v>81211955</v>
      </c>
      <c r="F1482" s="12" t="s">
        <v>4117</v>
      </c>
      <c r="G1482" s="9" t="s">
        <v>4118</v>
      </c>
      <c r="H1482" s="9" t="s">
        <v>4119</v>
      </c>
      <c r="I1482" s="10">
        <v>45565</v>
      </c>
    </row>
    <row r="1483" spans="1:9" x14ac:dyDescent="0.15">
      <c r="A1483" s="9">
        <v>1482</v>
      </c>
      <c r="B1483" s="9" t="s">
        <v>9</v>
      </c>
      <c r="C1483" s="9">
        <v>1916</v>
      </c>
      <c r="D1483" s="10">
        <v>45646</v>
      </c>
      <c r="E1483" s="13" t="str">
        <f>+HYPERLINK("http://trademark.i-assist.jp/data/china/image_1916th/81212461.pdf","81212461")</f>
        <v>81212461</v>
      </c>
      <c r="F1483" s="9" t="s">
        <v>4120</v>
      </c>
      <c r="G1483" s="9" t="s">
        <v>4121</v>
      </c>
      <c r="H1483" s="12" t="s">
        <v>4122</v>
      </c>
      <c r="I1483" s="10">
        <v>45565</v>
      </c>
    </row>
    <row r="1484" spans="1:9" x14ac:dyDescent="0.15">
      <c r="A1484" s="9">
        <v>1483</v>
      </c>
      <c r="B1484" s="9" t="s">
        <v>9</v>
      </c>
      <c r="C1484" s="9">
        <v>1916</v>
      </c>
      <c r="D1484" s="10">
        <v>45646</v>
      </c>
      <c r="E1484" s="13" t="str">
        <f>+HYPERLINK("http://trademark.i-assist.jp/data/china/image_1916th/81212639.pdf","81212639")</f>
        <v>81212639</v>
      </c>
      <c r="F1484" s="9" t="s">
        <v>4123</v>
      </c>
      <c r="G1484" s="9" t="s">
        <v>4124</v>
      </c>
      <c r="H1484" s="9" t="s">
        <v>4125</v>
      </c>
      <c r="I1484" s="10">
        <v>45565</v>
      </c>
    </row>
    <row r="1485" spans="1:9" x14ac:dyDescent="0.15">
      <c r="A1485" s="9">
        <v>1484</v>
      </c>
      <c r="B1485" s="9" t="s">
        <v>9</v>
      </c>
      <c r="C1485" s="9">
        <v>1916</v>
      </c>
      <c r="D1485" s="10">
        <v>45646</v>
      </c>
      <c r="E1485" s="13" t="str">
        <f>+HYPERLINK("http://trademark.i-assist.jp/data/china/image_1916th/81212846.pdf","81212846")</f>
        <v>81212846</v>
      </c>
      <c r="F1485" s="12" t="s">
        <v>4126</v>
      </c>
      <c r="G1485" s="9" t="s">
        <v>4127</v>
      </c>
      <c r="H1485" s="9" t="s">
        <v>4128</v>
      </c>
      <c r="I1485" s="10">
        <v>45565</v>
      </c>
    </row>
    <row r="1486" spans="1:9" x14ac:dyDescent="0.15">
      <c r="A1486" s="9">
        <v>1485</v>
      </c>
      <c r="B1486" s="9" t="s">
        <v>9</v>
      </c>
      <c r="C1486" s="9">
        <v>1916</v>
      </c>
      <c r="D1486" s="10">
        <v>45646</v>
      </c>
      <c r="E1486" s="13" t="str">
        <f>+HYPERLINK("http://trademark.i-assist.jp/data/china/image_1916th/81212946.pdf","81212946")</f>
        <v>81212946</v>
      </c>
      <c r="F1486" s="12" t="s">
        <v>4129</v>
      </c>
      <c r="G1486" s="11" t="s">
        <v>4130</v>
      </c>
      <c r="H1486" s="9" t="s">
        <v>4131</v>
      </c>
      <c r="I1486" s="10">
        <v>45565</v>
      </c>
    </row>
    <row r="1487" spans="1:9" x14ac:dyDescent="0.15">
      <c r="A1487" s="9">
        <v>1486</v>
      </c>
      <c r="B1487" s="9" t="s">
        <v>9</v>
      </c>
      <c r="C1487" s="9">
        <v>1916</v>
      </c>
      <c r="D1487" s="10">
        <v>45646</v>
      </c>
      <c r="E1487" s="13" t="str">
        <f>+HYPERLINK("http://trademark.i-assist.jp/data/china/image_1916th/81212985.pdf","81212985")</f>
        <v>81212985</v>
      </c>
      <c r="F1487" s="12" t="s">
        <v>4132</v>
      </c>
      <c r="G1487" s="9" t="s">
        <v>4133</v>
      </c>
      <c r="H1487" s="9" t="s">
        <v>4134</v>
      </c>
      <c r="I1487" s="10">
        <v>45565</v>
      </c>
    </row>
    <row r="1488" spans="1:9" x14ac:dyDescent="0.15">
      <c r="A1488" s="9">
        <v>1487</v>
      </c>
      <c r="B1488" s="9" t="s">
        <v>9</v>
      </c>
      <c r="C1488" s="9">
        <v>1916</v>
      </c>
      <c r="D1488" s="10">
        <v>45646</v>
      </c>
      <c r="E1488" s="13" t="str">
        <f>+HYPERLINK("http://trademark.i-assist.jp/data/china/image_1916th/81213343.pdf","81213343")</f>
        <v>81213343</v>
      </c>
      <c r="F1488" s="12" t="s">
        <v>4135</v>
      </c>
      <c r="G1488" s="9" t="s">
        <v>4079</v>
      </c>
      <c r="H1488" s="9" t="s">
        <v>4136</v>
      </c>
      <c r="I1488" s="10">
        <v>45565</v>
      </c>
    </row>
    <row r="1489" spans="1:9" x14ac:dyDescent="0.15">
      <c r="A1489" s="9">
        <v>1488</v>
      </c>
      <c r="B1489" s="9" t="s">
        <v>9</v>
      </c>
      <c r="C1489" s="9">
        <v>1916</v>
      </c>
      <c r="D1489" s="10">
        <v>45646</v>
      </c>
      <c r="E1489" s="13" t="str">
        <f>+HYPERLINK("http://trademark.i-assist.jp/data/china/image_1916th/81213758.pdf","81213758")</f>
        <v>81213758</v>
      </c>
      <c r="F1489" s="9" t="s">
        <v>4137</v>
      </c>
      <c r="G1489" s="9" t="s">
        <v>4138</v>
      </c>
      <c r="H1489" s="9" t="s">
        <v>4139</v>
      </c>
      <c r="I1489" s="10">
        <v>45565</v>
      </c>
    </row>
    <row r="1490" spans="1:9" x14ac:dyDescent="0.15">
      <c r="A1490" s="9">
        <v>1489</v>
      </c>
      <c r="B1490" s="9" t="s">
        <v>9</v>
      </c>
      <c r="C1490" s="9">
        <v>1916</v>
      </c>
      <c r="D1490" s="10">
        <v>45646</v>
      </c>
      <c r="E1490" s="13" t="str">
        <f>+HYPERLINK("http://trademark.i-assist.jp/data/china/image_1916th/81213863.pdf","81213863")</f>
        <v>81213863</v>
      </c>
      <c r="F1490" s="12" t="s">
        <v>13</v>
      </c>
      <c r="G1490" s="9" t="s">
        <v>4140</v>
      </c>
      <c r="H1490" s="12" t="s">
        <v>4141</v>
      </c>
      <c r="I1490" s="10">
        <v>45565</v>
      </c>
    </row>
    <row r="1491" spans="1:9" x14ac:dyDescent="0.15">
      <c r="A1491" s="9">
        <v>1490</v>
      </c>
      <c r="B1491" s="9" t="s">
        <v>9</v>
      </c>
      <c r="C1491" s="9">
        <v>1916</v>
      </c>
      <c r="D1491" s="10">
        <v>45646</v>
      </c>
      <c r="E1491" s="13" t="str">
        <f>+HYPERLINK("http://trademark.i-assist.jp/data/china/image_1916th/81214135.pdf","81214135")</f>
        <v>81214135</v>
      </c>
      <c r="F1491" s="9" t="s">
        <v>4142</v>
      </c>
      <c r="G1491" s="9" t="s">
        <v>2311</v>
      </c>
      <c r="H1491" s="9" t="s">
        <v>4143</v>
      </c>
      <c r="I1491" s="10">
        <v>45565</v>
      </c>
    </row>
    <row r="1492" spans="1:9" x14ac:dyDescent="0.15">
      <c r="A1492" s="9">
        <v>1491</v>
      </c>
      <c r="B1492" s="9" t="s">
        <v>9</v>
      </c>
      <c r="C1492" s="9">
        <v>1916</v>
      </c>
      <c r="D1492" s="10">
        <v>45646</v>
      </c>
      <c r="E1492" s="13" t="str">
        <f>+HYPERLINK("http://trademark.i-assist.jp/data/china/image_1916th/81214207.pdf","81214207")</f>
        <v>81214207</v>
      </c>
      <c r="F1492" s="9" t="s">
        <v>4144</v>
      </c>
      <c r="G1492" s="9" t="s">
        <v>4145</v>
      </c>
      <c r="H1492" s="9" t="s">
        <v>4146</v>
      </c>
      <c r="I1492" s="10">
        <v>45565</v>
      </c>
    </row>
    <row r="1493" spans="1:9" x14ac:dyDescent="0.15">
      <c r="A1493" s="9">
        <v>1492</v>
      </c>
      <c r="B1493" s="9" t="s">
        <v>9</v>
      </c>
      <c r="C1493" s="9">
        <v>1916</v>
      </c>
      <c r="D1493" s="10">
        <v>45646</v>
      </c>
      <c r="E1493" s="13" t="str">
        <f>+HYPERLINK("http://trademark.i-assist.jp/data/china/image_1916th/81214258.pdf","81214258")</f>
        <v>81214258</v>
      </c>
      <c r="F1493" s="9" t="s">
        <v>4147</v>
      </c>
      <c r="G1493" s="9" t="s">
        <v>4148</v>
      </c>
      <c r="H1493" s="9" t="s">
        <v>4149</v>
      </c>
      <c r="I1493" s="10">
        <v>45565</v>
      </c>
    </row>
    <row r="1494" spans="1:9" x14ac:dyDescent="0.15">
      <c r="A1494" s="9">
        <v>1493</v>
      </c>
      <c r="B1494" s="9" t="s">
        <v>9</v>
      </c>
      <c r="C1494" s="9">
        <v>1916</v>
      </c>
      <c r="D1494" s="10">
        <v>45646</v>
      </c>
      <c r="E1494" s="13" t="str">
        <f>+HYPERLINK("http://trademark.i-assist.jp/data/china/image_1916th/81214275.pdf","81214275")</f>
        <v>81214275</v>
      </c>
      <c r="F1494" s="9" t="s">
        <v>4150</v>
      </c>
      <c r="G1494" s="9" t="s">
        <v>4151</v>
      </c>
      <c r="H1494" s="9" t="s">
        <v>4152</v>
      </c>
      <c r="I1494" s="10">
        <v>45565</v>
      </c>
    </row>
    <row r="1495" spans="1:9" x14ac:dyDescent="0.15">
      <c r="A1495" s="9">
        <v>1494</v>
      </c>
      <c r="B1495" s="9" t="s">
        <v>9</v>
      </c>
      <c r="C1495" s="9">
        <v>1916</v>
      </c>
      <c r="D1495" s="10">
        <v>45646</v>
      </c>
      <c r="E1495" s="13" t="str">
        <f>+HYPERLINK("http://trademark.i-assist.jp/data/china/image_1916th/81214609.pdf","81214609")</f>
        <v>81214609</v>
      </c>
      <c r="F1495" s="9" t="s">
        <v>4153</v>
      </c>
      <c r="G1495" s="12" t="s">
        <v>4154</v>
      </c>
      <c r="H1495" s="9" t="s">
        <v>4155</v>
      </c>
      <c r="I1495" s="10">
        <v>45565</v>
      </c>
    </row>
    <row r="1496" spans="1:9" x14ac:dyDescent="0.15">
      <c r="A1496" s="9">
        <v>1495</v>
      </c>
      <c r="B1496" s="9" t="s">
        <v>9</v>
      </c>
      <c r="C1496" s="9">
        <v>1916</v>
      </c>
      <c r="D1496" s="10">
        <v>45646</v>
      </c>
      <c r="E1496" s="13" t="str">
        <f>+HYPERLINK("http://trademark.i-assist.jp/data/china/image_1916th/81214743.pdf","81214743")</f>
        <v>81214743</v>
      </c>
      <c r="F1496" s="9" t="s">
        <v>4156</v>
      </c>
      <c r="G1496" s="12" t="s">
        <v>4010</v>
      </c>
      <c r="H1496" s="9" t="s">
        <v>4157</v>
      </c>
      <c r="I1496" s="10">
        <v>45565</v>
      </c>
    </row>
    <row r="1497" spans="1:9" x14ac:dyDescent="0.15">
      <c r="A1497" s="9">
        <v>1496</v>
      </c>
      <c r="B1497" s="9" t="s">
        <v>9</v>
      </c>
      <c r="C1497" s="9">
        <v>1916</v>
      </c>
      <c r="D1497" s="10">
        <v>45646</v>
      </c>
      <c r="E1497" s="13" t="str">
        <f>+HYPERLINK("http://trademark.i-assist.jp/data/china/image_1916th/81214963.pdf","81214963")</f>
        <v>81214963</v>
      </c>
      <c r="F1497" s="9" t="s">
        <v>4158</v>
      </c>
      <c r="G1497" s="12" t="s">
        <v>4076</v>
      </c>
      <c r="H1497" s="9" t="s">
        <v>4159</v>
      </c>
      <c r="I1497" s="10">
        <v>45565</v>
      </c>
    </row>
    <row r="1498" spans="1:9" x14ac:dyDescent="0.15">
      <c r="A1498" s="9">
        <v>1497</v>
      </c>
      <c r="B1498" s="9" t="s">
        <v>9</v>
      </c>
      <c r="C1498" s="9">
        <v>1916</v>
      </c>
      <c r="D1498" s="10">
        <v>45646</v>
      </c>
      <c r="E1498" s="13" t="str">
        <f>+HYPERLINK("http://trademark.i-assist.jp/data/china/image_1916th/81215081.pdf","81215081")</f>
        <v>81215081</v>
      </c>
      <c r="F1498" s="9" t="s">
        <v>4160</v>
      </c>
      <c r="G1498" s="9" t="s">
        <v>4161</v>
      </c>
      <c r="H1498" s="9" t="s">
        <v>4162</v>
      </c>
      <c r="I1498" s="10">
        <v>45565</v>
      </c>
    </row>
    <row r="1499" spans="1:9" x14ac:dyDescent="0.15">
      <c r="A1499" s="9">
        <v>1498</v>
      </c>
      <c r="B1499" s="9" t="s">
        <v>9</v>
      </c>
      <c r="C1499" s="9">
        <v>1916</v>
      </c>
      <c r="D1499" s="10">
        <v>45646</v>
      </c>
      <c r="E1499" s="13" t="str">
        <f>+HYPERLINK("http://trademark.i-assist.jp/data/china/image_1916th/81215510.pdf","81215510")</f>
        <v>81215510</v>
      </c>
      <c r="F1499" s="9" t="s">
        <v>4163</v>
      </c>
      <c r="G1499" s="9" t="s">
        <v>4164</v>
      </c>
      <c r="H1499" s="9" t="s">
        <v>4165</v>
      </c>
      <c r="I1499" s="10">
        <v>45565</v>
      </c>
    </row>
    <row r="1500" spans="1:9" x14ac:dyDescent="0.15">
      <c r="A1500" s="9">
        <v>1499</v>
      </c>
      <c r="B1500" s="9" t="s">
        <v>9</v>
      </c>
      <c r="C1500" s="9">
        <v>1916</v>
      </c>
      <c r="D1500" s="10">
        <v>45646</v>
      </c>
      <c r="E1500" s="13" t="str">
        <f>+HYPERLINK("http://trademark.i-assist.jp/data/china/image_1916th/81215827.pdf","81215827")</f>
        <v>81215827</v>
      </c>
      <c r="F1500" s="9" t="s">
        <v>4166</v>
      </c>
      <c r="G1500" s="9" t="s">
        <v>4167</v>
      </c>
      <c r="H1500" s="9" t="s">
        <v>4168</v>
      </c>
      <c r="I1500" s="10">
        <v>45565</v>
      </c>
    </row>
    <row r="1501" spans="1:9" x14ac:dyDescent="0.15">
      <c r="A1501" s="9">
        <v>1500</v>
      </c>
      <c r="B1501" s="9" t="s">
        <v>9</v>
      </c>
      <c r="C1501" s="9">
        <v>1916</v>
      </c>
      <c r="D1501" s="10">
        <v>45646</v>
      </c>
      <c r="E1501" s="13" t="str">
        <f>+HYPERLINK("http://trademark.i-assist.jp/data/china/image_1916th/81215904.pdf","81215904")</f>
        <v>81215904</v>
      </c>
      <c r="F1501" s="9" t="s">
        <v>4169</v>
      </c>
      <c r="G1501" s="12" t="s">
        <v>3998</v>
      </c>
      <c r="H1501" s="9" t="s">
        <v>4170</v>
      </c>
      <c r="I1501" s="10">
        <v>45565</v>
      </c>
    </row>
    <row r="1502" spans="1:9" x14ac:dyDescent="0.15">
      <c r="A1502" s="9">
        <v>1501</v>
      </c>
      <c r="B1502" s="9" t="s">
        <v>9</v>
      </c>
      <c r="C1502" s="9">
        <v>1916</v>
      </c>
      <c r="D1502" s="10">
        <v>45646</v>
      </c>
      <c r="E1502" s="13" t="str">
        <f>+HYPERLINK("http://trademark.i-assist.jp/data/china/image_1916th/81215924.pdf","81215924")</f>
        <v>81215924</v>
      </c>
      <c r="F1502" s="12" t="s">
        <v>4108</v>
      </c>
      <c r="G1502" s="9" t="s">
        <v>4109</v>
      </c>
      <c r="H1502" s="9" t="s">
        <v>4171</v>
      </c>
      <c r="I1502" s="10">
        <v>45565</v>
      </c>
    </row>
    <row r="1503" spans="1:9" x14ac:dyDescent="0.15">
      <c r="A1503" s="9">
        <v>1502</v>
      </c>
      <c r="B1503" s="9" t="s">
        <v>9</v>
      </c>
      <c r="C1503" s="9">
        <v>1916</v>
      </c>
      <c r="D1503" s="10">
        <v>45646</v>
      </c>
      <c r="E1503" s="13" t="str">
        <f>+HYPERLINK("http://trademark.i-assist.jp/data/china/image_1916th/81216133.pdf","81216133")</f>
        <v>81216133</v>
      </c>
      <c r="F1503" s="9" t="s">
        <v>4172</v>
      </c>
      <c r="G1503" s="9" t="s">
        <v>4173</v>
      </c>
      <c r="H1503" s="9" t="s">
        <v>4174</v>
      </c>
      <c r="I1503" s="10">
        <v>45565</v>
      </c>
    </row>
    <row r="1504" spans="1:9" x14ac:dyDescent="0.15">
      <c r="A1504" s="9">
        <v>1503</v>
      </c>
      <c r="B1504" s="9" t="s">
        <v>9</v>
      </c>
      <c r="C1504" s="9">
        <v>1916</v>
      </c>
      <c r="D1504" s="10">
        <v>45646</v>
      </c>
      <c r="E1504" s="13" t="str">
        <f>+HYPERLINK("http://trademark.i-assist.jp/data/china/image_1916th/81217025.pdf","81217025")</f>
        <v>81217025</v>
      </c>
      <c r="F1504" s="9" t="s">
        <v>4175</v>
      </c>
      <c r="G1504" s="12" t="s">
        <v>4176</v>
      </c>
      <c r="H1504" s="9" t="s">
        <v>4177</v>
      </c>
      <c r="I1504" s="10">
        <v>45565</v>
      </c>
    </row>
    <row r="1505" spans="1:9" x14ac:dyDescent="0.15">
      <c r="A1505" s="9">
        <v>1504</v>
      </c>
      <c r="B1505" s="9" t="s">
        <v>9</v>
      </c>
      <c r="C1505" s="9">
        <v>1916</v>
      </c>
      <c r="D1505" s="10">
        <v>45646</v>
      </c>
      <c r="E1505" s="13" t="str">
        <f>+HYPERLINK("http://trademark.i-assist.jp/data/china/image_1916th/81217036.pdf","81217036")</f>
        <v>81217036</v>
      </c>
      <c r="F1505" s="9" t="s">
        <v>4178</v>
      </c>
      <c r="G1505" s="12" t="s">
        <v>4179</v>
      </c>
      <c r="H1505" s="9" t="s">
        <v>4180</v>
      </c>
      <c r="I1505" s="10">
        <v>45565</v>
      </c>
    </row>
    <row r="1506" spans="1:9" x14ac:dyDescent="0.15">
      <c r="A1506" s="9">
        <v>1505</v>
      </c>
      <c r="B1506" s="9" t="s">
        <v>9</v>
      </c>
      <c r="C1506" s="9">
        <v>1916</v>
      </c>
      <c r="D1506" s="10">
        <v>45646</v>
      </c>
      <c r="E1506" s="13" t="str">
        <f>+HYPERLINK("http://trademark.i-assist.jp/data/china/image_1916th/81217905.pdf","81217905")</f>
        <v>81217905</v>
      </c>
      <c r="F1506" s="9" t="s">
        <v>4181</v>
      </c>
      <c r="G1506" s="9" t="s">
        <v>4118</v>
      </c>
      <c r="H1506" s="9" t="s">
        <v>4182</v>
      </c>
      <c r="I1506" s="10">
        <v>45565</v>
      </c>
    </row>
    <row r="1507" spans="1:9" x14ac:dyDescent="0.15">
      <c r="A1507" s="9">
        <v>1506</v>
      </c>
      <c r="B1507" s="9" t="s">
        <v>9</v>
      </c>
      <c r="C1507" s="9">
        <v>1916</v>
      </c>
      <c r="D1507" s="10">
        <v>45646</v>
      </c>
      <c r="E1507" s="13" t="str">
        <f>+HYPERLINK("http://trademark.i-assist.jp/data/china/image_1916th/81218185.pdf","81218185")</f>
        <v>81218185</v>
      </c>
      <c r="F1507" s="9" t="s">
        <v>4183</v>
      </c>
      <c r="G1507" s="9" t="s">
        <v>4184</v>
      </c>
      <c r="H1507" s="9" t="s">
        <v>4185</v>
      </c>
      <c r="I1507" s="10">
        <v>45565</v>
      </c>
    </row>
    <row r="1508" spans="1:9" x14ac:dyDescent="0.15">
      <c r="A1508" s="9">
        <v>1507</v>
      </c>
      <c r="B1508" s="9" t="s">
        <v>9</v>
      </c>
      <c r="C1508" s="9">
        <v>1916</v>
      </c>
      <c r="D1508" s="10">
        <v>45646</v>
      </c>
      <c r="E1508" s="13" t="str">
        <f>+HYPERLINK("http://trademark.i-assist.jp/data/china/image_1916th/81218257.pdf","81218257")</f>
        <v>81218257</v>
      </c>
      <c r="F1508" s="9" t="s">
        <v>4186</v>
      </c>
      <c r="G1508" s="9" t="s">
        <v>4013</v>
      </c>
      <c r="H1508" s="9" t="s">
        <v>4187</v>
      </c>
      <c r="I1508" s="10">
        <v>45565</v>
      </c>
    </row>
    <row r="1509" spans="1:9" x14ac:dyDescent="0.15">
      <c r="A1509" s="9">
        <v>1508</v>
      </c>
      <c r="B1509" s="9" t="s">
        <v>9</v>
      </c>
      <c r="C1509" s="9">
        <v>1916</v>
      </c>
      <c r="D1509" s="10">
        <v>45646</v>
      </c>
      <c r="E1509" s="13" t="str">
        <f>+HYPERLINK("http://trademark.i-assist.jp/data/china/image_1916th/81218261.pdf","81218261")</f>
        <v>81218261</v>
      </c>
      <c r="F1509" s="9" t="s">
        <v>4188</v>
      </c>
      <c r="G1509" s="12" t="s">
        <v>4066</v>
      </c>
      <c r="H1509" s="12" t="s">
        <v>4189</v>
      </c>
      <c r="I1509" s="10">
        <v>45565</v>
      </c>
    </row>
    <row r="1510" spans="1:9" x14ac:dyDescent="0.15">
      <c r="A1510" s="9">
        <v>1509</v>
      </c>
      <c r="B1510" s="9" t="s">
        <v>9</v>
      </c>
      <c r="C1510" s="9">
        <v>1916</v>
      </c>
      <c r="D1510" s="10">
        <v>45646</v>
      </c>
      <c r="E1510" s="13" t="str">
        <f>+HYPERLINK("http://trademark.i-assist.jp/data/china/image_1916th/81218375.pdf","81218375")</f>
        <v>81218375</v>
      </c>
      <c r="F1510" s="9" t="s">
        <v>4190</v>
      </c>
      <c r="G1510" s="12" t="s">
        <v>4191</v>
      </c>
      <c r="H1510" s="9" t="s">
        <v>4192</v>
      </c>
      <c r="I1510" s="10">
        <v>45565</v>
      </c>
    </row>
    <row r="1511" spans="1:9" x14ac:dyDescent="0.15">
      <c r="A1511" s="9">
        <v>1510</v>
      </c>
      <c r="B1511" s="9" t="s">
        <v>9</v>
      </c>
      <c r="C1511" s="9">
        <v>1916</v>
      </c>
      <c r="D1511" s="10">
        <v>45646</v>
      </c>
      <c r="E1511" s="13" t="str">
        <f>+HYPERLINK("http://trademark.i-assist.jp/data/china/image_1916th/81219616.pdf","81219616")</f>
        <v>81219616</v>
      </c>
      <c r="F1511" s="9" t="s">
        <v>4193</v>
      </c>
      <c r="G1511" s="9" t="s">
        <v>47</v>
      </c>
      <c r="H1511" s="9" t="s">
        <v>4194</v>
      </c>
      <c r="I1511" s="10">
        <v>45565</v>
      </c>
    </row>
    <row r="1512" spans="1:9" x14ac:dyDescent="0.15">
      <c r="A1512" s="9">
        <v>1511</v>
      </c>
      <c r="B1512" s="9" t="s">
        <v>9</v>
      </c>
      <c r="C1512" s="9">
        <v>1916</v>
      </c>
      <c r="D1512" s="10">
        <v>45646</v>
      </c>
      <c r="E1512" s="13" t="str">
        <f>+HYPERLINK("http://trademark.i-assist.jp/data/china/image_1916th/81219693.pdf","81219693")</f>
        <v>81219693</v>
      </c>
      <c r="F1512" s="12" t="s">
        <v>4195</v>
      </c>
      <c r="G1512" s="12" t="s">
        <v>4196</v>
      </c>
      <c r="H1512" s="9" t="s">
        <v>4197</v>
      </c>
      <c r="I1512" s="10">
        <v>45565</v>
      </c>
    </row>
    <row r="1513" spans="1:9" x14ac:dyDescent="0.15">
      <c r="A1513" s="9">
        <v>1512</v>
      </c>
      <c r="B1513" s="9" t="s">
        <v>9</v>
      </c>
      <c r="C1513" s="9">
        <v>1916</v>
      </c>
      <c r="D1513" s="10">
        <v>45646</v>
      </c>
      <c r="E1513" s="13" t="str">
        <f>+HYPERLINK("http://trademark.i-assist.jp/data/china/image_1916th/81220098.pdf","81220098")</f>
        <v>81220098</v>
      </c>
      <c r="F1513" s="9" t="s">
        <v>4198</v>
      </c>
      <c r="G1513" s="9" t="s">
        <v>4199</v>
      </c>
      <c r="H1513" s="9" t="s">
        <v>4200</v>
      </c>
      <c r="I1513" s="10">
        <v>45565</v>
      </c>
    </row>
    <row r="1514" spans="1:9" x14ac:dyDescent="0.15">
      <c r="A1514" s="9">
        <v>1513</v>
      </c>
      <c r="B1514" s="9" t="s">
        <v>9</v>
      </c>
      <c r="C1514" s="9">
        <v>1916</v>
      </c>
      <c r="D1514" s="10">
        <v>45646</v>
      </c>
      <c r="E1514" s="13" t="str">
        <f>+HYPERLINK("http://trademark.i-assist.jp/data/china/image_1916th/81220133.pdf","81220133")</f>
        <v>81220133</v>
      </c>
      <c r="F1514" s="9" t="s">
        <v>4201</v>
      </c>
      <c r="G1514" s="9" t="s">
        <v>4202</v>
      </c>
      <c r="H1514" s="9" t="s">
        <v>4203</v>
      </c>
      <c r="I1514" s="10">
        <v>45565</v>
      </c>
    </row>
    <row r="1515" spans="1:9" x14ac:dyDescent="0.15">
      <c r="A1515" s="9">
        <v>1514</v>
      </c>
      <c r="B1515" s="9" t="s">
        <v>9</v>
      </c>
      <c r="C1515" s="9">
        <v>1916</v>
      </c>
      <c r="D1515" s="10">
        <v>45646</v>
      </c>
      <c r="E1515" s="13" t="str">
        <f>+HYPERLINK("http://trademark.i-assist.jp/data/china/image_1916th/81220363.pdf","81220363")</f>
        <v>81220363</v>
      </c>
      <c r="F1515" s="12" t="s">
        <v>4204</v>
      </c>
      <c r="G1515" s="9" t="s">
        <v>4205</v>
      </c>
      <c r="H1515" s="9" t="s">
        <v>4206</v>
      </c>
      <c r="I1515" s="10">
        <v>45565</v>
      </c>
    </row>
    <row r="1516" spans="1:9" x14ac:dyDescent="0.15">
      <c r="A1516" s="9">
        <v>1515</v>
      </c>
      <c r="B1516" s="9" t="s">
        <v>9</v>
      </c>
      <c r="C1516" s="9">
        <v>1916</v>
      </c>
      <c r="D1516" s="10">
        <v>45646</v>
      </c>
      <c r="E1516" s="13" t="str">
        <f>+HYPERLINK("http://trademark.i-assist.jp/data/china/image_1916th/81220461.pdf","81220461")</f>
        <v>81220461</v>
      </c>
      <c r="F1516" s="9" t="s">
        <v>4207</v>
      </c>
      <c r="G1516" s="12" t="s">
        <v>49</v>
      </c>
      <c r="H1516" s="9" t="s">
        <v>4208</v>
      </c>
      <c r="I1516" s="10">
        <v>45565</v>
      </c>
    </row>
    <row r="1517" spans="1:9" x14ac:dyDescent="0.15">
      <c r="A1517" s="9">
        <v>1516</v>
      </c>
      <c r="B1517" s="9" t="s">
        <v>9</v>
      </c>
      <c r="C1517" s="9">
        <v>1916</v>
      </c>
      <c r="D1517" s="10">
        <v>45646</v>
      </c>
      <c r="E1517" s="13" t="str">
        <f>+HYPERLINK("http://trademark.i-assist.jp/data/china/image_1916th/81220532.pdf","81220532")</f>
        <v>81220532</v>
      </c>
      <c r="F1517" s="9" t="s">
        <v>4209</v>
      </c>
      <c r="G1517" s="12" t="s">
        <v>3998</v>
      </c>
      <c r="H1517" s="9" t="s">
        <v>4210</v>
      </c>
      <c r="I1517" s="10">
        <v>45565</v>
      </c>
    </row>
    <row r="1518" spans="1:9" x14ac:dyDescent="0.15">
      <c r="A1518" s="9">
        <v>1517</v>
      </c>
      <c r="B1518" s="9" t="s">
        <v>9</v>
      </c>
      <c r="C1518" s="9">
        <v>1916</v>
      </c>
      <c r="D1518" s="10">
        <v>45646</v>
      </c>
      <c r="E1518" s="13" t="str">
        <f>+HYPERLINK("http://trademark.i-assist.jp/data/china/image_1916th/81220662.pdf","81220662")</f>
        <v>81220662</v>
      </c>
      <c r="F1518" s="12" t="s">
        <v>4211</v>
      </c>
      <c r="G1518" s="12" t="s">
        <v>4179</v>
      </c>
      <c r="H1518" s="9" t="s">
        <v>4212</v>
      </c>
      <c r="I1518" s="10">
        <v>45565</v>
      </c>
    </row>
    <row r="1519" spans="1:9" x14ac:dyDescent="0.15">
      <c r="A1519" s="9">
        <v>1518</v>
      </c>
      <c r="B1519" s="9" t="s">
        <v>9</v>
      </c>
      <c r="C1519" s="9">
        <v>1916</v>
      </c>
      <c r="D1519" s="10">
        <v>45646</v>
      </c>
      <c r="E1519" s="13" t="str">
        <f>+HYPERLINK("http://trademark.i-assist.jp/data/china/image_1916th/81220665.pdf","81220665")</f>
        <v>81220665</v>
      </c>
      <c r="F1519" s="9" t="s">
        <v>4213</v>
      </c>
      <c r="G1519" s="9" t="s">
        <v>4073</v>
      </c>
      <c r="H1519" s="9" t="s">
        <v>4214</v>
      </c>
      <c r="I1519" s="10">
        <v>45565</v>
      </c>
    </row>
    <row r="1520" spans="1:9" x14ac:dyDescent="0.15">
      <c r="A1520" s="9">
        <v>1519</v>
      </c>
      <c r="B1520" s="9" t="s">
        <v>9</v>
      </c>
      <c r="C1520" s="9">
        <v>1916</v>
      </c>
      <c r="D1520" s="10">
        <v>45646</v>
      </c>
      <c r="E1520" s="13" t="str">
        <f>+HYPERLINK("http://trademark.i-assist.jp/data/china/image_1916th/81220889.pdf","81220889")</f>
        <v>81220889</v>
      </c>
      <c r="F1520" s="12" t="s">
        <v>4215</v>
      </c>
      <c r="G1520" s="9" t="s">
        <v>4216</v>
      </c>
      <c r="H1520" s="9" t="s">
        <v>4217</v>
      </c>
      <c r="I1520" s="10">
        <v>45565</v>
      </c>
    </row>
    <row r="1521" spans="1:9" x14ac:dyDescent="0.15">
      <c r="A1521" s="9">
        <v>1520</v>
      </c>
      <c r="B1521" s="9" t="s">
        <v>9</v>
      </c>
      <c r="C1521" s="9">
        <v>1916</v>
      </c>
      <c r="D1521" s="10">
        <v>45646</v>
      </c>
      <c r="E1521" s="13" t="str">
        <f>+HYPERLINK("http://trademark.i-assist.jp/data/china/image_1916th/81220931.pdf","81220931")</f>
        <v>81220931</v>
      </c>
      <c r="F1521" s="12" t="s">
        <v>4218</v>
      </c>
      <c r="G1521" s="9" t="s">
        <v>4219</v>
      </c>
      <c r="H1521" s="9" t="s">
        <v>4220</v>
      </c>
      <c r="I1521" s="10">
        <v>45565</v>
      </c>
    </row>
    <row r="1522" spans="1:9" x14ac:dyDescent="0.15">
      <c r="A1522" s="9">
        <v>1521</v>
      </c>
      <c r="B1522" s="9" t="s">
        <v>9</v>
      </c>
      <c r="C1522" s="9">
        <v>1916</v>
      </c>
      <c r="D1522" s="10">
        <v>45646</v>
      </c>
      <c r="E1522" s="13" t="str">
        <f>+HYPERLINK("http://trademark.i-assist.jp/data/china/image_1916th/81221274.pdf","81221274")</f>
        <v>81221274</v>
      </c>
      <c r="F1522" s="9" t="s">
        <v>4221</v>
      </c>
      <c r="G1522" s="9" t="s">
        <v>4222</v>
      </c>
      <c r="H1522" s="12" t="s">
        <v>4223</v>
      </c>
      <c r="I1522" s="10">
        <v>45565</v>
      </c>
    </row>
    <row r="1523" spans="1:9" x14ac:dyDescent="0.15">
      <c r="A1523" s="9">
        <v>1522</v>
      </c>
      <c r="B1523" s="9" t="s">
        <v>9</v>
      </c>
      <c r="C1523" s="9">
        <v>1916</v>
      </c>
      <c r="D1523" s="10">
        <v>45646</v>
      </c>
      <c r="E1523" s="13" t="str">
        <f>+HYPERLINK("http://trademark.i-assist.jp/data/china/image_1916th/81221276.pdf","81221276")</f>
        <v>81221276</v>
      </c>
      <c r="F1523" s="9" t="s">
        <v>4224</v>
      </c>
      <c r="G1523" s="9" t="s">
        <v>4018</v>
      </c>
      <c r="H1523" s="9" t="s">
        <v>4225</v>
      </c>
      <c r="I1523" s="10">
        <v>45565</v>
      </c>
    </row>
    <row r="1524" spans="1:9" x14ac:dyDescent="0.15">
      <c r="A1524" s="9">
        <v>1523</v>
      </c>
      <c r="B1524" s="9" t="s">
        <v>9</v>
      </c>
      <c r="C1524" s="9">
        <v>1916</v>
      </c>
      <c r="D1524" s="10">
        <v>45646</v>
      </c>
      <c r="E1524" s="13" t="str">
        <f>+HYPERLINK("http://trademark.i-assist.jp/data/china/image_1916th/81221419.pdf","81221419")</f>
        <v>81221419</v>
      </c>
      <c r="F1524" s="9" t="s">
        <v>4226</v>
      </c>
      <c r="G1524" s="9" t="s">
        <v>4013</v>
      </c>
      <c r="H1524" s="9" t="s">
        <v>4227</v>
      </c>
      <c r="I1524" s="10">
        <v>45565</v>
      </c>
    </row>
    <row r="1525" spans="1:9" x14ac:dyDescent="0.15">
      <c r="A1525" s="9">
        <v>1524</v>
      </c>
      <c r="B1525" s="9" t="s">
        <v>9</v>
      </c>
      <c r="C1525" s="9">
        <v>1916</v>
      </c>
      <c r="D1525" s="10">
        <v>45646</v>
      </c>
      <c r="E1525" s="13" t="str">
        <f>+HYPERLINK("http://trademark.i-assist.jp/data/china/image_1916th/81221650.pdf","81221650")</f>
        <v>81221650</v>
      </c>
      <c r="F1525" s="9" t="s">
        <v>4228</v>
      </c>
      <c r="G1525" s="9" t="s">
        <v>4229</v>
      </c>
      <c r="H1525" s="9" t="s">
        <v>4230</v>
      </c>
      <c r="I1525" s="10">
        <v>45565</v>
      </c>
    </row>
    <row r="1526" spans="1:9" x14ac:dyDescent="0.15">
      <c r="A1526" s="9">
        <v>1525</v>
      </c>
      <c r="B1526" s="9" t="s">
        <v>9</v>
      </c>
      <c r="C1526" s="9">
        <v>1916</v>
      </c>
      <c r="D1526" s="10">
        <v>45646</v>
      </c>
      <c r="E1526" s="13" t="str">
        <f>+HYPERLINK("http://trademark.i-assist.jp/data/china/image_1916th/81222187.pdf","81222187")</f>
        <v>81222187</v>
      </c>
      <c r="F1526" s="9" t="s">
        <v>4231</v>
      </c>
      <c r="G1526" s="12" t="s">
        <v>4154</v>
      </c>
      <c r="H1526" s="9" t="s">
        <v>4232</v>
      </c>
      <c r="I1526" s="10">
        <v>45565</v>
      </c>
    </row>
    <row r="1527" spans="1:9" x14ac:dyDescent="0.15">
      <c r="A1527" s="9">
        <v>1526</v>
      </c>
      <c r="B1527" s="9" t="s">
        <v>9</v>
      </c>
      <c r="C1527" s="9">
        <v>1916</v>
      </c>
      <c r="D1527" s="10">
        <v>45646</v>
      </c>
      <c r="E1527" s="13" t="str">
        <f>+HYPERLINK("http://trademark.i-assist.jp/data/china/image_1916th/81222222.pdf","81222222")</f>
        <v>81222222</v>
      </c>
      <c r="F1527" s="12" t="s">
        <v>4233</v>
      </c>
      <c r="G1527" s="12" t="s">
        <v>4234</v>
      </c>
      <c r="H1527" s="9" t="s">
        <v>4235</v>
      </c>
      <c r="I1527" s="10">
        <v>45565</v>
      </c>
    </row>
    <row r="1528" spans="1:9" x14ac:dyDescent="0.15">
      <c r="A1528" s="9">
        <v>1527</v>
      </c>
      <c r="B1528" s="9" t="s">
        <v>9</v>
      </c>
      <c r="C1528" s="9">
        <v>1916</v>
      </c>
      <c r="D1528" s="10">
        <v>45646</v>
      </c>
      <c r="E1528" s="13" t="str">
        <f>+HYPERLINK("http://trademark.i-assist.jp/data/china/image_1916th/81222315.pdf","81222315")</f>
        <v>81222315</v>
      </c>
      <c r="F1528" s="11" t="s">
        <v>4236</v>
      </c>
      <c r="G1528" s="12" t="s">
        <v>4237</v>
      </c>
      <c r="H1528" s="9" t="s">
        <v>4238</v>
      </c>
      <c r="I1528" s="10">
        <v>45565</v>
      </c>
    </row>
    <row r="1529" spans="1:9" x14ac:dyDescent="0.15">
      <c r="A1529" s="9">
        <v>1528</v>
      </c>
      <c r="B1529" s="9" t="s">
        <v>9</v>
      </c>
      <c r="C1529" s="9">
        <v>1916</v>
      </c>
      <c r="D1529" s="10">
        <v>45646</v>
      </c>
      <c r="E1529" s="13" t="str">
        <f>+HYPERLINK("http://trademark.i-assist.jp/data/china/image_1916th/81222691.pdf","81222691")</f>
        <v>81222691</v>
      </c>
      <c r="F1529" s="9" t="s">
        <v>4239</v>
      </c>
      <c r="G1529" s="9" t="s">
        <v>4082</v>
      </c>
      <c r="H1529" s="9" t="s">
        <v>4240</v>
      </c>
      <c r="I1529" s="10">
        <v>45565</v>
      </c>
    </row>
    <row r="1530" spans="1:9" x14ac:dyDescent="0.15">
      <c r="A1530" s="9">
        <v>1529</v>
      </c>
      <c r="B1530" s="9" t="s">
        <v>9</v>
      </c>
      <c r="C1530" s="9">
        <v>1916</v>
      </c>
      <c r="D1530" s="10">
        <v>45646</v>
      </c>
      <c r="E1530" s="13" t="str">
        <f>+HYPERLINK("http://trademark.i-assist.jp/data/china/image_1916th/81223219.pdf","81223219")</f>
        <v>81223219</v>
      </c>
      <c r="F1530" s="12" t="s">
        <v>4241</v>
      </c>
      <c r="G1530" s="9" t="s">
        <v>4145</v>
      </c>
      <c r="H1530" s="9" t="s">
        <v>4242</v>
      </c>
      <c r="I1530" s="10">
        <v>45565</v>
      </c>
    </row>
    <row r="1531" spans="1:9" x14ac:dyDescent="0.15">
      <c r="A1531" s="9">
        <v>1530</v>
      </c>
      <c r="B1531" s="9" t="s">
        <v>9</v>
      </c>
      <c r="C1531" s="9">
        <v>1916</v>
      </c>
      <c r="D1531" s="10">
        <v>45646</v>
      </c>
      <c r="E1531" s="13" t="str">
        <f>+HYPERLINK("http://trademark.i-assist.jp/data/china/image_1916th/81223259.pdf","81223259")</f>
        <v>81223259</v>
      </c>
      <c r="F1531" s="12" t="s">
        <v>4243</v>
      </c>
      <c r="G1531" s="9" t="s">
        <v>4244</v>
      </c>
      <c r="H1531" s="9" t="s">
        <v>4245</v>
      </c>
      <c r="I1531" s="10">
        <v>45565</v>
      </c>
    </row>
    <row r="1532" spans="1:9" x14ac:dyDescent="0.15">
      <c r="A1532" s="9">
        <v>1531</v>
      </c>
      <c r="B1532" s="9" t="s">
        <v>9</v>
      </c>
      <c r="C1532" s="9">
        <v>1916</v>
      </c>
      <c r="D1532" s="10">
        <v>45646</v>
      </c>
      <c r="E1532" s="13" t="str">
        <f>+HYPERLINK("http://trademark.i-assist.jp/data/china/image_1916th/81223757.pdf","81223757")</f>
        <v>81223757</v>
      </c>
      <c r="F1532" s="9" t="s">
        <v>4246</v>
      </c>
      <c r="G1532" s="9" t="s">
        <v>4247</v>
      </c>
      <c r="H1532" s="12" t="s">
        <v>4248</v>
      </c>
      <c r="I1532" s="10">
        <v>45565</v>
      </c>
    </row>
    <row r="1533" spans="1:9" x14ac:dyDescent="0.15">
      <c r="A1533" s="9">
        <v>1532</v>
      </c>
      <c r="B1533" s="9" t="s">
        <v>9</v>
      </c>
      <c r="C1533" s="9">
        <v>1916</v>
      </c>
      <c r="D1533" s="10">
        <v>45646</v>
      </c>
      <c r="E1533" s="13" t="str">
        <f>+HYPERLINK("http://trademark.i-assist.jp/data/china/image_1916th/81223787.pdf","81223787")</f>
        <v>81223787</v>
      </c>
      <c r="F1533" s="9" t="s">
        <v>4249</v>
      </c>
      <c r="G1533" s="9" t="s">
        <v>4250</v>
      </c>
      <c r="H1533" s="9" t="s">
        <v>4251</v>
      </c>
      <c r="I1533" s="10">
        <v>45565</v>
      </c>
    </row>
    <row r="1534" spans="1:9" x14ac:dyDescent="0.15">
      <c r="A1534" s="9">
        <v>1533</v>
      </c>
      <c r="B1534" s="9" t="s">
        <v>9</v>
      </c>
      <c r="C1534" s="9">
        <v>1916</v>
      </c>
      <c r="D1534" s="10">
        <v>45646</v>
      </c>
      <c r="E1534" s="13" t="str">
        <f>+HYPERLINK("http://trademark.i-assist.jp/data/china/image_1916th/81224412.pdf","81224412")</f>
        <v>81224412</v>
      </c>
      <c r="F1534" s="12" t="s">
        <v>4252</v>
      </c>
      <c r="G1534" s="9" t="s">
        <v>4253</v>
      </c>
      <c r="H1534" s="9" t="s">
        <v>4254</v>
      </c>
      <c r="I1534" s="10">
        <v>45565</v>
      </c>
    </row>
    <row r="1535" spans="1:9" x14ac:dyDescent="0.15">
      <c r="A1535" s="9">
        <v>1534</v>
      </c>
      <c r="B1535" s="9" t="s">
        <v>9</v>
      </c>
      <c r="C1535" s="9">
        <v>1916</v>
      </c>
      <c r="D1535" s="10">
        <v>45646</v>
      </c>
      <c r="E1535" s="13" t="str">
        <f>+HYPERLINK("http://trademark.i-assist.jp/data/china/image_1916th/81224781.pdf","81224781")</f>
        <v>81224781</v>
      </c>
      <c r="F1535" s="9" t="s">
        <v>4255</v>
      </c>
      <c r="G1535" s="9" t="s">
        <v>4121</v>
      </c>
      <c r="H1535" s="9" t="s">
        <v>4256</v>
      </c>
      <c r="I1535" s="10">
        <v>45565</v>
      </c>
    </row>
    <row r="1536" spans="1:9" x14ac:dyDescent="0.15">
      <c r="A1536" s="9">
        <v>1535</v>
      </c>
      <c r="B1536" s="9" t="s">
        <v>9</v>
      </c>
      <c r="C1536" s="9">
        <v>1916</v>
      </c>
      <c r="D1536" s="10">
        <v>45646</v>
      </c>
      <c r="E1536" s="13" t="str">
        <f>+HYPERLINK("http://trademark.i-assist.jp/data/china/image_1916th/81225416.pdf","81225416")</f>
        <v>81225416</v>
      </c>
      <c r="F1536" s="9" t="s">
        <v>4257</v>
      </c>
      <c r="G1536" s="9" t="s">
        <v>4115</v>
      </c>
      <c r="H1536" s="12" t="s">
        <v>4258</v>
      </c>
      <c r="I1536" s="10">
        <v>45565</v>
      </c>
    </row>
    <row r="1537" spans="1:9" x14ac:dyDescent="0.15">
      <c r="A1537" s="9">
        <v>1536</v>
      </c>
      <c r="B1537" s="9" t="s">
        <v>9</v>
      </c>
      <c r="C1537" s="9">
        <v>1916</v>
      </c>
      <c r="D1537" s="10">
        <v>45646</v>
      </c>
      <c r="E1537" s="13" t="str">
        <f>+HYPERLINK("http://trademark.i-assist.jp/data/china/image_1916th/81225573.pdf","81225573")</f>
        <v>81225573</v>
      </c>
      <c r="F1537" s="9" t="s">
        <v>4259</v>
      </c>
      <c r="G1537" s="9" t="s">
        <v>4260</v>
      </c>
      <c r="H1537" s="9" t="s">
        <v>4261</v>
      </c>
      <c r="I1537" s="10">
        <v>45565</v>
      </c>
    </row>
    <row r="1538" spans="1:9" x14ac:dyDescent="0.15">
      <c r="A1538" s="9">
        <v>1537</v>
      </c>
      <c r="B1538" s="9" t="s">
        <v>9</v>
      </c>
      <c r="C1538" s="9">
        <v>1916</v>
      </c>
      <c r="D1538" s="10">
        <v>45646</v>
      </c>
      <c r="E1538" s="13" t="str">
        <f>+HYPERLINK("http://trademark.i-assist.jp/data/china/image_1916th/81225640.pdf","81225640")</f>
        <v>81225640</v>
      </c>
      <c r="F1538" s="9" t="s">
        <v>4262</v>
      </c>
      <c r="G1538" s="9" t="s">
        <v>4263</v>
      </c>
      <c r="H1538" s="9" t="s">
        <v>4264</v>
      </c>
      <c r="I1538" s="10">
        <v>45565</v>
      </c>
    </row>
    <row r="1539" spans="1:9" x14ac:dyDescent="0.15">
      <c r="A1539" s="9">
        <v>1538</v>
      </c>
      <c r="B1539" s="9" t="s">
        <v>9</v>
      </c>
      <c r="C1539" s="9">
        <v>1916</v>
      </c>
      <c r="D1539" s="10">
        <v>45646</v>
      </c>
      <c r="E1539" s="13" t="str">
        <f>+HYPERLINK("http://trademark.i-assist.jp/data/china/image_1916th/81225996.pdf","81225996")</f>
        <v>81225996</v>
      </c>
      <c r="F1539" s="9" t="s">
        <v>4265</v>
      </c>
      <c r="G1539" s="9" t="s">
        <v>4247</v>
      </c>
      <c r="H1539" s="9" t="s">
        <v>4266</v>
      </c>
      <c r="I1539" s="10">
        <v>45565</v>
      </c>
    </row>
    <row r="1540" spans="1:9" x14ac:dyDescent="0.15">
      <c r="A1540" s="9">
        <v>1539</v>
      </c>
      <c r="B1540" s="9" t="s">
        <v>9</v>
      </c>
      <c r="C1540" s="9">
        <v>1916</v>
      </c>
      <c r="D1540" s="10">
        <v>45646</v>
      </c>
      <c r="E1540" s="13" t="str">
        <f>+HYPERLINK("http://trademark.i-assist.jp/data/china/image_1916th/81226013.pdf","81226013")</f>
        <v>81226013</v>
      </c>
      <c r="F1540" s="9" t="s">
        <v>4267</v>
      </c>
      <c r="G1540" s="9" t="s">
        <v>4268</v>
      </c>
      <c r="H1540" s="9" t="s">
        <v>4269</v>
      </c>
      <c r="I1540" s="10">
        <v>45565</v>
      </c>
    </row>
    <row r="1541" spans="1:9" x14ac:dyDescent="0.15">
      <c r="A1541" s="9">
        <v>1540</v>
      </c>
      <c r="B1541" s="9" t="s">
        <v>9</v>
      </c>
      <c r="C1541" s="9">
        <v>1916</v>
      </c>
      <c r="D1541" s="10">
        <v>45646</v>
      </c>
      <c r="E1541" s="13" t="str">
        <f>+HYPERLINK("http://trademark.i-assist.jp/data/china/image_1916th/81226033.pdf","81226033")</f>
        <v>81226033</v>
      </c>
      <c r="F1541" s="9" t="s">
        <v>4270</v>
      </c>
      <c r="G1541" s="9" t="s">
        <v>4161</v>
      </c>
      <c r="H1541" s="9" t="s">
        <v>4271</v>
      </c>
      <c r="I1541" s="10">
        <v>45565</v>
      </c>
    </row>
    <row r="1542" spans="1:9" x14ac:dyDescent="0.15">
      <c r="A1542" s="9">
        <v>1541</v>
      </c>
      <c r="B1542" s="9" t="s">
        <v>9</v>
      </c>
      <c r="C1542" s="9">
        <v>1916</v>
      </c>
      <c r="D1542" s="10">
        <v>45646</v>
      </c>
      <c r="E1542" s="13" t="str">
        <f>+HYPERLINK("http://trademark.i-assist.jp/data/china/image_1916th/81226233.pdf","81226233")</f>
        <v>81226233</v>
      </c>
      <c r="F1542" s="12" t="s">
        <v>4272</v>
      </c>
      <c r="G1542" s="12" t="s">
        <v>4273</v>
      </c>
      <c r="H1542" s="12" t="s">
        <v>4274</v>
      </c>
      <c r="I1542" s="10">
        <v>45565</v>
      </c>
    </row>
    <row r="1543" spans="1:9" x14ac:dyDescent="0.15">
      <c r="A1543" s="9">
        <v>1542</v>
      </c>
      <c r="B1543" s="9" t="s">
        <v>9</v>
      </c>
      <c r="C1543" s="9">
        <v>1916</v>
      </c>
      <c r="D1543" s="10">
        <v>45646</v>
      </c>
      <c r="E1543" s="13" t="str">
        <f>+HYPERLINK("http://trademark.i-assist.jp/data/china/image_1916th/81226354.pdf","81226354")</f>
        <v>81226354</v>
      </c>
      <c r="F1543" s="12" t="s">
        <v>4275</v>
      </c>
      <c r="G1543" s="9" t="s">
        <v>4276</v>
      </c>
      <c r="H1543" s="9" t="s">
        <v>4277</v>
      </c>
      <c r="I1543" s="10">
        <v>45565</v>
      </c>
    </row>
    <row r="1544" spans="1:9" x14ac:dyDescent="0.15">
      <c r="A1544" s="9">
        <v>1543</v>
      </c>
      <c r="B1544" s="9" t="s">
        <v>9</v>
      </c>
      <c r="C1544" s="9">
        <v>1916</v>
      </c>
      <c r="D1544" s="10">
        <v>45646</v>
      </c>
      <c r="E1544" s="13" t="str">
        <f>+HYPERLINK("http://trademark.i-assist.jp/data/china/image_1916th/81226369.pdf","81226369")</f>
        <v>81226369</v>
      </c>
      <c r="F1544" s="9" t="s">
        <v>4278</v>
      </c>
      <c r="G1544" s="9" t="s">
        <v>4279</v>
      </c>
      <c r="H1544" s="9" t="s">
        <v>4280</v>
      </c>
      <c r="I1544" s="10">
        <v>45565</v>
      </c>
    </row>
    <row r="1545" spans="1:9" x14ac:dyDescent="0.15">
      <c r="A1545" s="9">
        <v>1544</v>
      </c>
      <c r="B1545" s="9" t="s">
        <v>9</v>
      </c>
      <c r="C1545" s="9">
        <v>1916</v>
      </c>
      <c r="D1545" s="10">
        <v>45646</v>
      </c>
      <c r="E1545" s="13" t="str">
        <f>+HYPERLINK("http://trademark.i-assist.jp/data/china/image_1916th/81226590.pdf","81226590")</f>
        <v>81226590</v>
      </c>
      <c r="F1545" s="9" t="s">
        <v>4281</v>
      </c>
      <c r="G1545" s="12" t="s">
        <v>45</v>
      </c>
      <c r="H1545" s="9" t="s">
        <v>4282</v>
      </c>
      <c r="I1545" s="10">
        <v>45565</v>
      </c>
    </row>
    <row r="1546" spans="1:9" x14ac:dyDescent="0.15">
      <c r="A1546" s="9">
        <v>1545</v>
      </c>
      <c r="B1546" s="9" t="s">
        <v>9</v>
      </c>
      <c r="C1546" s="9">
        <v>1916</v>
      </c>
      <c r="D1546" s="10">
        <v>45646</v>
      </c>
      <c r="E1546" s="13" t="str">
        <f>+HYPERLINK("http://trademark.i-assist.jp/data/china/image_1916th/81227194.pdf","81227194")</f>
        <v>81227194</v>
      </c>
      <c r="F1546" s="9" t="s">
        <v>4283</v>
      </c>
      <c r="G1546" s="9" t="s">
        <v>4013</v>
      </c>
      <c r="H1546" s="9" t="s">
        <v>4284</v>
      </c>
      <c r="I1546" s="10">
        <v>45565</v>
      </c>
    </row>
    <row r="1547" spans="1:9" x14ac:dyDescent="0.15">
      <c r="A1547" s="9">
        <v>1546</v>
      </c>
      <c r="B1547" s="9" t="s">
        <v>9</v>
      </c>
      <c r="C1547" s="9">
        <v>1916</v>
      </c>
      <c r="D1547" s="10">
        <v>45646</v>
      </c>
      <c r="E1547" s="13" t="str">
        <f>+HYPERLINK("http://trademark.i-assist.jp/data/china/image_1916th/81227572.pdf","81227572")</f>
        <v>81227572</v>
      </c>
      <c r="F1547" s="9" t="s">
        <v>4285</v>
      </c>
      <c r="G1547" s="12" t="s">
        <v>4286</v>
      </c>
      <c r="H1547" s="12" t="s">
        <v>4287</v>
      </c>
      <c r="I1547" s="10">
        <v>45565</v>
      </c>
    </row>
    <row r="1548" spans="1:9" x14ac:dyDescent="0.15">
      <c r="A1548" s="9">
        <v>1547</v>
      </c>
      <c r="B1548" s="9" t="s">
        <v>9</v>
      </c>
      <c r="C1548" s="9">
        <v>1916</v>
      </c>
      <c r="D1548" s="10">
        <v>45646</v>
      </c>
      <c r="E1548" s="13" t="str">
        <f>+HYPERLINK("http://trademark.i-assist.jp/data/china/image_1916th/81227707.pdf","81227707")</f>
        <v>81227707</v>
      </c>
      <c r="F1548" s="12" t="s">
        <v>4288</v>
      </c>
      <c r="G1548" s="9" t="s">
        <v>4289</v>
      </c>
      <c r="H1548" s="9" t="s">
        <v>4290</v>
      </c>
      <c r="I1548" s="10">
        <v>45565</v>
      </c>
    </row>
    <row r="1549" spans="1:9" x14ac:dyDescent="0.15">
      <c r="A1549" s="9">
        <v>1548</v>
      </c>
      <c r="B1549" s="9" t="s">
        <v>9</v>
      </c>
      <c r="C1549" s="9">
        <v>1916</v>
      </c>
      <c r="D1549" s="10">
        <v>45646</v>
      </c>
      <c r="E1549" s="13" t="str">
        <f>+HYPERLINK("http://trademark.i-assist.jp/data/china/image_1916th/81227933.pdf","81227933")</f>
        <v>81227933</v>
      </c>
      <c r="F1549" s="12" t="s">
        <v>13</v>
      </c>
      <c r="G1549" s="12" t="s">
        <v>3998</v>
      </c>
      <c r="H1549" s="9" t="s">
        <v>4291</v>
      </c>
      <c r="I1549" s="10">
        <v>45565</v>
      </c>
    </row>
    <row r="1550" spans="1:9" x14ac:dyDescent="0.15">
      <c r="A1550" s="9">
        <v>1549</v>
      </c>
      <c r="B1550" s="9" t="s">
        <v>9</v>
      </c>
      <c r="C1550" s="9">
        <v>1916</v>
      </c>
      <c r="D1550" s="10">
        <v>45646</v>
      </c>
      <c r="E1550" s="13" t="str">
        <f>+HYPERLINK("http://trademark.i-assist.jp/data/china/image_1916th/81228370.pdf","81228370")</f>
        <v>81228370</v>
      </c>
      <c r="F1550" s="9" t="s">
        <v>4292</v>
      </c>
      <c r="G1550" s="9" t="s">
        <v>4293</v>
      </c>
      <c r="H1550" s="12" t="s">
        <v>4294</v>
      </c>
      <c r="I1550" s="10">
        <v>45565</v>
      </c>
    </row>
    <row r="1551" spans="1:9" x14ac:dyDescent="0.15">
      <c r="A1551" s="9">
        <v>1550</v>
      </c>
      <c r="B1551" s="9" t="s">
        <v>9</v>
      </c>
      <c r="C1551" s="9">
        <v>1916</v>
      </c>
      <c r="D1551" s="10">
        <v>45646</v>
      </c>
      <c r="E1551" s="13" t="str">
        <f>+HYPERLINK("http://trademark.i-assist.jp/data/china/image_1916th/81228459.pdf","81228459")</f>
        <v>81228459</v>
      </c>
      <c r="F1551" s="9" t="s">
        <v>4295</v>
      </c>
      <c r="G1551" s="9" t="s">
        <v>4127</v>
      </c>
      <c r="H1551" s="9" t="s">
        <v>4296</v>
      </c>
      <c r="I1551" s="10">
        <v>45565</v>
      </c>
    </row>
    <row r="1552" spans="1:9" x14ac:dyDescent="0.15">
      <c r="A1552" s="9">
        <v>1551</v>
      </c>
      <c r="B1552" s="9" t="s">
        <v>9</v>
      </c>
      <c r="C1552" s="9">
        <v>1916</v>
      </c>
      <c r="D1552" s="10">
        <v>45646</v>
      </c>
      <c r="E1552" s="13" t="str">
        <f>+HYPERLINK("http://trademark.i-assist.jp/data/china/image_1916th/81228535.pdf","81228535")</f>
        <v>81228535</v>
      </c>
      <c r="F1552" s="9" t="s">
        <v>4297</v>
      </c>
      <c r="G1552" s="9" t="s">
        <v>4021</v>
      </c>
      <c r="H1552" s="12" t="s">
        <v>4298</v>
      </c>
      <c r="I1552" s="10">
        <v>45565</v>
      </c>
    </row>
    <row r="1553" spans="1:9" x14ac:dyDescent="0.15">
      <c r="A1553" s="9">
        <v>1552</v>
      </c>
      <c r="B1553" s="9" t="s">
        <v>9</v>
      </c>
      <c r="C1553" s="9">
        <v>1916</v>
      </c>
      <c r="D1553" s="10">
        <v>45646</v>
      </c>
      <c r="E1553" s="13" t="str">
        <f>+HYPERLINK("http://trademark.i-assist.jp/data/china/image_1916th/81228657.pdf","81228657")</f>
        <v>81228657</v>
      </c>
      <c r="F1553" s="9" t="s">
        <v>4299</v>
      </c>
      <c r="G1553" s="9" t="s">
        <v>4300</v>
      </c>
      <c r="H1553" s="12" t="s">
        <v>4301</v>
      </c>
      <c r="I1553" s="10">
        <v>45565</v>
      </c>
    </row>
    <row r="1554" spans="1:9" x14ac:dyDescent="0.15">
      <c r="A1554" s="9">
        <v>1553</v>
      </c>
      <c r="B1554" s="9" t="s">
        <v>9</v>
      </c>
      <c r="C1554" s="9">
        <v>1916</v>
      </c>
      <c r="D1554" s="10">
        <v>45646</v>
      </c>
      <c r="E1554" s="13" t="str">
        <f>+HYPERLINK("http://trademark.i-assist.jp/data/china/image_1916th/81229183.pdf","81229183")</f>
        <v>81229183</v>
      </c>
      <c r="F1554" s="9" t="s">
        <v>4302</v>
      </c>
      <c r="G1554" s="9" t="s">
        <v>4115</v>
      </c>
      <c r="H1554" s="9" t="s">
        <v>4303</v>
      </c>
      <c r="I1554" s="10">
        <v>45565</v>
      </c>
    </row>
    <row r="1555" spans="1:9" x14ac:dyDescent="0.15">
      <c r="A1555" s="9">
        <v>1554</v>
      </c>
      <c r="B1555" s="9" t="s">
        <v>9</v>
      </c>
      <c r="C1555" s="9">
        <v>1916</v>
      </c>
      <c r="D1555" s="10">
        <v>45646</v>
      </c>
      <c r="E1555" s="13" t="str">
        <f>+HYPERLINK("http://trademark.i-assist.jp/data/china/image_1916th/81229302.pdf","81229302")</f>
        <v>81229302</v>
      </c>
      <c r="F1555" s="9" t="s">
        <v>4304</v>
      </c>
      <c r="G1555" s="9" t="s">
        <v>4305</v>
      </c>
      <c r="H1555" s="9" t="s">
        <v>4306</v>
      </c>
      <c r="I1555" s="10">
        <v>45565</v>
      </c>
    </row>
    <row r="1556" spans="1:9" x14ac:dyDescent="0.15">
      <c r="A1556" s="9">
        <v>1555</v>
      </c>
      <c r="B1556" s="9" t="s">
        <v>9</v>
      </c>
      <c r="C1556" s="9">
        <v>1916</v>
      </c>
      <c r="D1556" s="10">
        <v>45646</v>
      </c>
      <c r="E1556" s="13" t="str">
        <f>+HYPERLINK("http://trademark.i-assist.jp/data/china/image_1916th/81229449.pdf","81229449")</f>
        <v>81229449</v>
      </c>
      <c r="F1556" s="12" t="s">
        <v>13</v>
      </c>
      <c r="G1556" s="9" t="s">
        <v>4307</v>
      </c>
      <c r="H1556" s="9" t="s">
        <v>4308</v>
      </c>
      <c r="I1556" s="10">
        <v>45565</v>
      </c>
    </row>
    <row r="1557" spans="1:9" x14ac:dyDescent="0.15">
      <c r="A1557" s="9">
        <v>1556</v>
      </c>
      <c r="B1557" s="9" t="s">
        <v>9</v>
      </c>
      <c r="C1557" s="9">
        <v>1916</v>
      </c>
      <c r="D1557" s="10">
        <v>45646</v>
      </c>
      <c r="E1557" s="13" t="str">
        <f>+HYPERLINK("http://trademark.i-assist.jp/data/china/image_1916th/81229454.pdf","81229454")</f>
        <v>81229454</v>
      </c>
      <c r="F1557" s="9" t="s">
        <v>4309</v>
      </c>
      <c r="G1557" s="9" t="s">
        <v>4310</v>
      </c>
      <c r="H1557" s="9" t="s">
        <v>4311</v>
      </c>
      <c r="I1557" s="10">
        <v>45565</v>
      </c>
    </row>
    <row r="1558" spans="1:9" x14ac:dyDescent="0.15">
      <c r="A1558" s="9">
        <v>1557</v>
      </c>
      <c r="B1558" s="9" t="s">
        <v>9</v>
      </c>
      <c r="C1558" s="9">
        <v>1916</v>
      </c>
      <c r="D1558" s="10">
        <v>45646</v>
      </c>
      <c r="E1558" s="13" t="str">
        <f>+HYPERLINK("http://trademark.i-assist.jp/data/china/image_1916th/81229494.pdf","81229494")</f>
        <v>81229494</v>
      </c>
      <c r="F1558" s="12" t="s">
        <v>4312</v>
      </c>
      <c r="G1558" s="9" t="s">
        <v>4313</v>
      </c>
      <c r="H1558" s="9" t="s">
        <v>4314</v>
      </c>
      <c r="I1558" s="10">
        <v>45565</v>
      </c>
    </row>
    <row r="1559" spans="1:9" x14ac:dyDescent="0.15">
      <c r="A1559" s="9">
        <v>1558</v>
      </c>
      <c r="B1559" s="9" t="s">
        <v>9</v>
      </c>
      <c r="C1559" s="9">
        <v>1916</v>
      </c>
      <c r="D1559" s="10">
        <v>45646</v>
      </c>
      <c r="E1559" s="13" t="str">
        <f>+HYPERLINK("http://trademark.i-assist.jp/data/china/image_1916th/81230287.pdf","81230287")</f>
        <v>81230287</v>
      </c>
      <c r="F1559" s="9" t="s">
        <v>4315</v>
      </c>
      <c r="G1559" s="12" t="s">
        <v>4316</v>
      </c>
      <c r="H1559" s="9" t="s">
        <v>4317</v>
      </c>
      <c r="I1559" s="10">
        <v>45565</v>
      </c>
    </row>
    <row r="1560" spans="1:9" x14ac:dyDescent="0.15">
      <c r="A1560" s="9">
        <v>1559</v>
      </c>
      <c r="B1560" s="9" t="s">
        <v>9</v>
      </c>
      <c r="C1560" s="9">
        <v>1916</v>
      </c>
      <c r="D1560" s="10">
        <v>45646</v>
      </c>
      <c r="E1560" s="13" t="str">
        <f>+HYPERLINK("http://trademark.i-assist.jp/data/china/image_1916th/81231004.pdf","81231004")</f>
        <v>81231004</v>
      </c>
      <c r="F1560" s="9" t="s">
        <v>4318</v>
      </c>
      <c r="G1560" s="12" t="s">
        <v>4319</v>
      </c>
      <c r="H1560" s="9" t="s">
        <v>4320</v>
      </c>
      <c r="I1560" s="10">
        <v>45565</v>
      </c>
    </row>
    <row r="1561" spans="1:9" x14ac:dyDescent="0.15">
      <c r="A1561" s="9">
        <v>1560</v>
      </c>
      <c r="B1561" s="9" t="s">
        <v>9</v>
      </c>
      <c r="C1561" s="9">
        <v>1916</v>
      </c>
      <c r="D1561" s="10">
        <v>45646</v>
      </c>
      <c r="E1561" s="13" t="str">
        <f>+HYPERLINK("http://trademark.i-assist.jp/data/china/image_1916th/81231311.pdf","81231311")</f>
        <v>81231311</v>
      </c>
      <c r="F1561" s="12" t="s">
        <v>4321</v>
      </c>
      <c r="G1561" s="12" t="s">
        <v>4322</v>
      </c>
      <c r="H1561" s="9" t="s">
        <v>4323</v>
      </c>
      <c r="I1561" s="10">
        <v>45565</v>
      </c>
    </row>
    <row r="1562" spans="1:9" x14ac:dyDescent="0.15">
      <c r="A1562" s="9">
        <v>1561</v>
      </c>
      <c r="B1562" s="9" t="s">
        <v>9</v>
      </c>
      <c r="C1562" s="9">
        <v>1916</v>
      </c>
      <c r="D1562" s="10">
        <v>45646</v>
      </c>
      <c r="E1562" s="13" t="str">
        <f>+HYPERLINK("http://trademark.i-assist.jp/data/china/image_1916th/81231786.pdf","81231786")</f>
        <v>81231786</v>
      </c>
      <c r="F1562" s="9" t="s">
        <v>4324</v>
      </c>
      <c r="G1562" s="9" t="s">
        <v>4325</v>
      </c>
      <c r="H1562" s="9" t="s">
        <v>4326</v>
      </c>
      <c r="I1562" s="10">
        <v>45565</v>
      </c>
    </row>
    <row r="1563" spans="1:9" x14ac:dyDescent="0.15">
      <c r="A1563" s="9">
        <v>1562</v>
      </c>
      <c r="B1563" s="9" t="s">
        <v>9</v>
      </c>
      <c r="C1563" s="9">
        <v>1916</v>
      </c>
      <c r="D1563" s="10">
        <v>45646</v>
      </c>
      <c r="E1563" s="13" t="str">
        <f>+HYPERLINK("http://trademark.i-assist.jp/data/china/image_1916th/81232112.pdf","81232112")</f>
        <v>81232112</v>
      </c>
      <c r="F1563" s="12" t="s">
        <v>13</v>
      </c>
      <c r="G1563" s="9" t="s">
        <v>4327</v>
      </c>
      <c r="H1563" s="12" t="s">
        <v>4328</v>
      </c>
      <c r="I1563" s="10">
        <v>45565</v>
      </c>
    </row>
    <row r="1564" spans="1:9" x14ac:dyDescent="0.15">
      <c r="A1564" s="9">
        <v>1563</v>
      </c>
      <c r="B1564" s="9" t="s">
        <v>9</v>
      </c>
      <c r="C1564" s="9">
        <v>1916</v>
      </c>
      <c r="D1564" s="10">
        <v>45646</v>
      </c>
      <c r="E1564" s="13" t="str">
        <f>+HYPERLINK("http://trademark.i-assist.jp/data/china/image_1916th/81232589.pdf","81232589")</f>
        <v>81232589</v>
      </c>
      <c r="F1564" s="9" t="s">
        <v>4329</v>
      </c>
      <c r="G1564" s="9" t="s">
        <v>4330</v>
      </c>
      <c r="H1564" s="9" t="s">
        <v>4331</v>
      </c>
      <c r="I1564" s="10">
        <v>45565</v>
      </c>
    </row>
    <row r="1565" spans="1:9" x14ac:dyDescent="0.15">
      <c r="A1565" s="9">
        <v>1564</v>
      </c>
      <c r="B1565" s="9" t="s">
        <v>9</v>
      </c>
      <c r="C1565" s="9">
        <v>1916</v>
      </c>
      <c r="D1565" s="10">
        <v>45646</v>
      </c>
      <c r="E1565" s="13" t="str">
        <f>+HYPERLINK("http://trademark.i-assist.jp/data/china/image_1916th/81232904.pdf","81232904")</f>
        <v>81232904</v>
      </c>
      <c r="F1565" s="9" t="s">
        <v>4332</v>
      </c>
      <c r="G1565" s="9" t="s">
        <v>4333</v>
      </c>
      <c r="H1565" s="9" t="s">
        <v>4334</v>
      </c>
      <c r="I1565" s="10">
        <v>45565</v>
      </c>
    </row>
    <row r="1566" spans="1:9" x14ac:dyDescent="0.15">
      <c r="A1566" s="9">
        <v>1565</v>
      </c>
      <c r="B1566" s="9" t="s">
        <v>9</v>
      </c>
      <c r="C1566" s="9">
        <v>1916</v>
      </c>
      <c r="D1566" s="10">
        <v>45646</v>
      </c>
      <c r="E1566" s="13" t="str">
        <f>+HYPERLINK("http://trademark.i-assist.jp/data/china/image_1916th/81232933.pdf","81232933")</f>
        <v>81232933</v>
      </c>
      <c r="F1566" s="9" t="s">
        <v>4335</v>
      </c>
      <c r="G1566" s="9" t="s">
        <v>4118</v>
      </c>
      <c r="H1566" s="9" t="s">
        <v>4336</v>
      </c>
      <c r="I1566" s="10">
        <v>45565</v>
      </c>
    </row>
    <row r="1567" spans="1:9" x14ac:dyDescent="0.15">
      <c r="A1567" s="9">
        <v>1566</v>
      </c>
      <c r="B1567" s="9" t="s">
        <v>9</v>
      </c>
      <c r="C1567" s="9">
        <v>1916</v>
      </c>
      <c r="D1567" s="10">
        <v>45646</v>
      </c>
      <c r="E1567" s="13" t="str">
        <f>+HYPERLINK("http://trademark.i-assist.jp/data/china/image_1916th/81233047.pdf","81233047")</f>
        <v>81233047</v>
      </c>
      <c r="F1567" s="12" t="s">
        <v>4337</v>
      </c>
      <c r="G1567" s="9" t="s">
        <v>4253</v>
      </c>
      <c r="H1567" s="9" t="s">
        <v>4338</v>
      </c>
      <c r="I1567" s="10">
        <v>45565</v>
      </c>
    </row>
    <row r="1568" spans="1:9" x14ac:dyDescent="0.15">
      <c r="A1568" s="9">
        <v>1567</v>
      </c>
      <c r="B1568" s="9" t="s">
        <v>9</v>
      </c>
      <c r="C1568" s="9">
        <v>1916</v>
      </c>
      <c r="D1568" s="10">
        <v>45646</v>
      </c>
      <c r="E1568" s="13" t="str">
        <f>+HYPERLINK("http://trademark.i-assist.jp/data/china/image_1916th/81233320.pdf","81233320")</f>
        <v>81233320</v>
      </c>
      <c r="F1568" s="12" t="s">
        <v>4339</v>
      </c>
      <c r="G1568" s="9" t="s">
        <v>4148</v>
      </c>
      <c r="H1568" s="12" t="s">
        <v>4340</v>
      </c>
      <c r="I1568" s="10">
        <v>45565</v>
      </c>
    </row>
    <row r="1569" spans="1:9" x14ac:dyDescent="0.15">
      <c r="A1569" s="9">
        <v>1568</v>
      </c>
      <c r="B1569" s="9" t="s">
        <v>9</v>
      </c>
      <c r="C1569" s="9">
        <v>1916</v>
      </c>
      <c r="D1569" s="10">
        <v>45646</v>
      </c>
      <c r="E1569" s="13" t="str">
        <f>+HYPERLINK("http://trademark.i-assist.jp/data/china/image_1916th/81233347.pdf","81233347")</f>
        <v>81233347</v>
      </c>
      <c r="F1569" s="9" t="s">
        <v>4341</v>
      </c>
      <c r="G1569" s="9" t="s">
        <v>4021</v>
      </c>
      <c r="H1569" s="9" t="s">
        <v>4342</v>
      </c>
      <c r="I1569" s="10">
        <v>45565</v>
      </c>
    </row>
    <row r="1570" spans="1:9" x14ac:dyDescent="0.15">
      <c r="A1570" s="9">
        <v>1569</v>
      </c>
      <c r="B1570" s="9" t="s">
        <v>9</v>
      </c>
      <c r="C1570" s="9">
        <v>1916</v>
      </c>
      <c r="D1570" s="10">
        <v>45646</v>
      </c>
      <c r="E1570" s="13" t="str">
        <f>+HYPERLINK("http://trademark.i-assist.jp/data/china/image_1916th/81233858.pdf","81233858")</f>
        <v>81233858</v>
      </c>
      <c r="F1570" s="9" t="s">
        <v>4343</v>
      </c>
      <c r="G1570" s="9" t="s">
        <v>4115</v>
      </c>
      <c r="H1570" s="12" t="s">
        <v>4344</v>
      </c>
      <c r="I1570" s="10">
        <v>45565</v>
      </c>
    </row>
    <row r="1571" spans="1:9" x14ac:dyDescent="0.15">
      <c r="A1571" s="9">
        <v>1570</v>
      </c>
      <c r="B1571" s="9" t="s">
        <v>9</v>
      </c>
      <c r="C1571" s="9">
        <v>1916</v>
      </c>
      <c r="D1571" s="10">
        <v>45646</v>
      </c>
      <c r="E1571" s="13" t="str">
        <f>+HYPERLINK("http://trademark.i-assist.jp/data/china/image_1916th/81234193.pdf","81234193")</f>
        <v>81234193</v>
      </c>
      <c r="F1571" s="12" t="s">
        <v>4345</v>
      </c>
      <c r="G1571" s="12" t="s">
        <v>4346</v>
      </c>
      <c r="H1571" s="9" t="s">
        <v>4347</v>
      </c>
      <c r="I1571" s="10">
        <v>45573</v>
      </c>
    </row>
    <row r="1572" spans="1:9" x14ac:dyDescent="0.15">
      <c r="A1572" s="9">
        <v>1571</v>
      </c>
      <c r="B1572" s="9" t="s">
        <v>9</v>
      </c>
      <c r="C1572" s="9">
        <v>1916</v>
      </c>
      <c r="D1572" s="10">
        <v>45646</v>
      </c>
      <c r="E1572" s="13" t="str">
        <f>+HYPERLINK("http://trademark.i-assist.jp/data/china/image_1916th/81235111.pdf","81235111")</f>
        <v>81235111</v>
      </c>
      <c r="F1572" s="9" t="s">
        <v>4348</v>
      </c>
      <c r="G1572" s="9" t="s">
        <v>4349</v>
      </c>
      <c r="H1572" s="9" t="s">
        <v>4350</v>
      </c>
      <c r="I1572" s="10">
        <v>45573</v>
      </c>
    </row>
    <row r="1573" spans="1:9" x14ac:dyDescent="0.15">
      <c r="A1573" s="9">
        <v>1572</v>
      </c>
      <c r="B1573" s="9" t="s">
        <v>9</v>
      </c>
      <c r="C1573" s="9">
        <v>1916</v>
      </c>
      <c r="D1573" s="10">
        <v>45646</v>
      </c>
      <c r="E1573" s="13" t="str">
        <f>+HYPERLINK("http://trademark.i-assist.jp/data/china/image_1916th/81235118.pdf","81235118")</f>
        <v>81235118</v>
      </c>
      <c r="F1573" s="12" t="s">
        <v>13</v>
      </c>
      <c r="G1573" s="9" t="s">
        <v>4351</v>
      </c>
      <c r="H1573" s="9" t="s">
        <v>4352</v>
      </c>
      <c r="I1573" s="10">
        <v>45573</v>
      </c>
    </row>
    <row r="1574" spans="1:9" x14ac:dyDescent="0.15">
      <c r="A1574" s="9">
        <v>1573</v>
      </c>
      <c r="B1574" s="9" t="s">
        <v>9</v>
      </c>
      <c r="C1574" s="9">
        <v>1916</v>
      </c>
      <c r="D1574" s="10">
        <v>45646</v>
      </c>
      <c r="E1574" s="13" t="str">
        <f>+HYPERLINK("http://trademark.i-assist.jp/data/china/image_1916th/81235174.pdf","81235174")</f>
        <v>81235174</v>
      </c>
      <c r="F1574" s="9" t="s">
        <v>4353</v>
      </c>
      <c r="G1574" s="9" t="s">
        <v>4354</v>
      </c>
      <c r="H1574" s="12" t="s">
        <v>4355</v>
      </c>
      <c r="I1574" s="10">
        <v>45573</v>
      </c>
    </row>
    <row r="1575" spans="1:9" x14ac:dyDescent="0.15">
      <c r="A1575" s="9">
        <v>1574</v>
      </c>
      <c r="B1575" s="9" t="s">
        <v>9</v>
      </c>
      <c r="C1575" s="9">
        <v>1916</v>
      </c>
      <c r="D1575" s="10">
        <v>45646</v>
      </c>
      <c r="E1575" s="13" t="str">
        <f>+HYPERLINK("http://trademark.i-assist.jp/data/china/image_1916th/81235500.pdf","81235500")</f>
        <v>81235500</v>
      </c>
      <c r="F1575" s="9" t="s">
        <v>4356</v>
      </c>
      <c r="G1575" s="9" t="s">
        <v>4357</v>
      </c>
      <c r="H1575" s="9" t="s">
        <v>4358</v>
      </c>
      <c r="I1575" s="10">
        <v>45573</v>
      </c>
    </row>
    <row r="1576" spans="1:9" x14ac:dyDescent="0.15">
      <c r="A1576" s="9">
        <v>1575</v>
      </c>
      <c r="B1576" s="9" t="s">
        <v>9</v>
      </c>
      <c r="C1576" s="9">
        <v>1916</v>
      </c>
      <c r="D1576" s="10">
        <v>45646</v>
      </c>
      <c r="E1576" s="13" t="str">
        <f>+HYPERLINK("http://trademark.i-assist.jp/data/china/image_1916th/81236103.pdf","81236103")</f>
        <v>81236103</v>
      </c>
      <c r="F1576" s="9" t="s">
        <v>4359</v>
      </c>
      <c r="G1576" s="9" t="s">
        <v>4360</v>
      </c>
      <c r="H1576" s="9" t="s">
        <v>4361</v>
      </c>
      <c r="I1576" s="10">
        <v>45573</v>
      </c>
    </row>
    <row r="1577" spans="1:9" x14ac:dyDescent="0.15">
      <c r="A1577" s="9">
        <v>1576</v>
      </c>
      <c r="B1577" s="9" t="s">
        <v>9</v>
      </c>
      <c r="C1577" s="9">
        <v>1916</v>
      </c>
      <c r="D1577" s="10">
        <v>45646</v>
      </c>
      <c r="E1577" s="13" t="str">
        <f>+HYPERLINK("http://trademark.i-assist.jp/data/china/image_1916th/81236296.pdf","81236296")</f>
        <v>81236296</v>
      </c>
      <c r="F1577" s="9" t="s">
        <v>4362</v>
      </c>
      <c r="G1577" s="9" t="s">
        <v>4363</v>
      </c>
      <c r="H1577" s="12" t="s">
        <v>4364</v>
      </c>
      <c r="I1577" s="10">
        <v>45573</v>
      </c>
    </row>
    <row r="1578" spans="1:9" x14ac:dyDescent="0.15">
      <c r="A1578" s="9">
        <v>1577</v>
      </c>
      <c r="B1578" s="9" t="s">
        <v>9</v>
      </c>
      <c r="C1578" s="9">
        <v>1916</v>
      </c>
      <c r="D1578" s="10">
        <v>45646</v>
      </c>
      <c r="E1578" s="13" t="str">
        <f>+HYPERLINK("http://trademark.i-assist.jp/data/china/image_1916th/81236526.pdf","81236526")</f>
        <v>81236526</v>
      </c>
      <c r="F1578" s="9" t="s">
        <v>4365</v>
      </c>
      <c r="G1578" s="12" t="s">
        <v>4366</v>
      </c>
      <c r="H1578" s="9" t="s">
        <v>4367</v>
      </c>
      <c r="I1578" s="10">
        <v>45573</v>
      </c>
    </row>
    <row r="1579" spans="1:9" x14ac:dyDescent="0.15">
      <c r="A1579" s="9">
        <v>1578</v>
      </c>
      <c r="B1579" s="9" t="s">
        <v>9</v>
      </c>
      <c r="C1579" s="9">
        <v>1916</v>
      </c>
      <c r="D1579" s="10">
        <v>45646</v>
      </c>
      <c r="E1579" s="13" t="str">
        <f>+HYPERLINK("http://trademark.i-assist.jp/data/china/image_1916th/81237045.pdf","81237045")</f>
        <v>81237045</v>
      </c>
      <c r="F1579" s="9" t="s">
        <v>4368</v>
      </c>
      <c r="G1579" s="9" t="s">
        <v>4369</v>
      </c>
      <c r="H1579" s="9" t="s">
        <v>4370</v>
      </c>
      <c r="I1579" s="10">
        <v>45573</v>
      </c>
    </row>
    <row r="1580" spans="1:9" x14ac:dyDescent="0.15">
      <c r="A1580" s="9">
        <v>1579</v>
      </c>
      <c r="B1580" s="9" t="s">
        <v>9</v>
      </c>
      <c r="C1580" s="9">
        <v>1916</v>
      </c>
      <c r="D1580" s="10">
        <v>45646</v>
      </c>
      <c r="E1580" s="13" t="str">
        <f>+HYPERLINK("http://trademark.i-assist.jp/data/china/image_1916th/81237161.pdf","81237161")</f>
        <v>81237161</v>
      </c>
      <c r="F1580" s="9" t="s">
        <v>4371</v>
      </c>
      <c r="G1580" s="12" t="s">
        <v>4372</v>
      </c>
      <c r="H1580" s="9" t="s">
        <v>4373</v>
      </c>
      <c r="I1580" s="10">
        <v>45573</v>
      </c>
    </row>
    <row r="1581" spans="1:9" x14ac:dyDescent="0.15">
      <c r="A1581" s="9">
        <v>1580</v>
      </c>
      <c r="B1581" s="9" t="s">
        <v>9</v>
      </c>
      <c r="C1581" s="9">
        <v>1916</v>
      </c>
      <c r="D1581" s="10">
        <v>45646</v>
      </c>
      <c r="E1581" s="13" t="str">
        <f>+HYPERLINK("http://trademark.i-assist.jp/data/china/image_1916th/81237270.pdf","81237270")</f>
        <v>81237270</v>
      </c>
      <c r="F1581" s="9" t="s">
        <v>4374</v>
      </c>
      <c r="G1581" s="9" t="s">
        <v>4375</v>
      </c>
      <c r="H1581" s="9" t="s">
        <v>4376</v>
      </c>
      <c r="I1581" s="10">
        <v>45573</v>
      </c>
    </row>
    <row r="1582" spans="1:9" x14ac:dyDescent="0.15">
      <c r="A1582" s="9">
        <v>1581</v>
      </c>
      <c r="B1582" s="9" t="s">
        <v>9</v>
      </c>
      <c r="C1582" s="9">
        <v>1916</v>
      </c>
      <c r="D1582" s="10">
        <v>45646</v>
      </c>
      <c r="E1582" s="13" t="str">
        <f>+HYPERLINK("http://trademark.i-assist.jp/data/china/image_1916th/81237608.pdf","81237608")</f>
        <v>81237608</v>
      </c>
      <c r="F1582" s="9" t="s">
        <v>4377</v>
      </c>
      <c r="G1582" s="9" t="s">
        <v>4378</v>
      </c>
      <c r="H1582" s="9" t="s">
        <v>4379</v>
      </c>
      <c r="I1582" s="10">
        <v>45573</v>
      </c>
    </row>
    <row r="1583" spans="1:9" x14ac:dyDescent="0.15">
      <c r="A1583" s="9">
        <v>1582</v>
      </c>
      <c r="B1583" s="9" t="s">
        <v>9</v>
      </c>
      <c r="C1583" s="9">
        <v>1916</v>
      </c>
      <c r="D1583" s="10">
        <v>45646</v>
      </c>
      <c r="E1583" s="13" t="str">
        <f>+HYPERLINK("http://trademark.i-assist.jp/data/china/image_1916th/81237848.pdf","81237848")</f>
        <v>81237848</v>
      </c>
      <c r="F1583" s="9" t="s">
        <v>4380</v>
      </c>
      <c r="G1583" s="12" t="s">
        <v>4381</v>
      </c>
      <c r="H1583" s="9" t="s">
        <v>4382</v>
      </c>
      <c r="I1583" s="10">
        <v>45573</v>
      </c>
    </row>
    <row r="1584" spans="1:9" x14ac:dyDescent="0.15">
      <c r="A1584" s="9">
        <v>1583</v>
      </c>
      <c r="B1584" s="9" t="s">
        <v>9</v>
      </c>
      <c r="C1584" s="9">
        <v>1916</v>
      </c>
      <c r="D1584" s="10">
        <v>45646</v>
      </c>
      <c r="E1584" s="13" t="str">
        <f>+HYPERLINK("http://trademark.i-assist.jp/data/china/image_1916th/81237909.pdf","81237909")</f>
        <v>81237909</v>
      </c>
      <c r="F1584" s="12" t="s">
        <v>4383</v>
      </c>
      <c r="G1584" s="9" t="s">
        <v>4384</v>
      </c>
      <c r="H1584" s="9" t="s">
        <v>4385</v>
      </c>
      <c r="I1584" s="10">
        <v>45573</v>
      </c>
    </row>
    <row r="1585" spans="1:9" x14ac:dyDescent="0.15">
      <c r="A1585" s="9">
        <v>1584</v>
      </c>
      <c r="B1585" s="9" t="s">
        <v>9</v>
      </c>
      <c r="C1585" s="9">
        <v>1916</v>
      </c>
      <c r="D1585" s="10">
        <v>45646</v>
      </c>
      <c r="E1585" s="13" t="str">
        <f>+HYPERLINK("http://trademark.i-assist.jp/data/china/image_1916th/81238359.pdf","81238359")</f>
        <v>81238359</v>
      </c>
      <c r="F1585" s="9" t="s">
        <v>4386</v>
      </c>
      <c r="G1585" s="12" t="s">
        <v>4387</v>
      </c>
      <c r="H1585" s="9" t="s">
        <v>4388</v>
      </c>
      <c r="I1585" s="10">
        <v>45573</v>
      </c>
    </row>
    <row r="1586" spans="1:9" x14ac:dyDescent="0.15">
      <c r="A1586" s="9">
        <v>1585</v>
      </c>
      <c r="B1586" s="9" t="s">
        <v>9</v>
      </c>
      <c r="C1586" s="9">
        <v>1916</v>
      </c>
      <c r="D1586" s="10">
        <v>45646</v>
      </c>
      <c r="E1586" s="13" t="str">
        <f>+HYPERLINK("http://trademark.i-assist.jp/data/china/image_1916th/81238407.pdf","81238407")</f>
        <v>81238407</v>
      </c>
      <c r="F1586" s="12" t="s">
        <v>13</v>
      </c>
      <c r="G1586" s="9" t="s">
        <v>4389</v>
      </c>
      <c r="H1586" s="9" t="s">
        <v>4390</v>
      </c>
      <c r="I1586" s="10">
        <v>45573</v>
      </c>
    </row>
    <row r="1587" spans="1:9" x14ac:dyDescent="0.15">
      <c r="A1587" s="9">
        <v>1586</v>
      </c>
      <c r="B1587" s="9" t="s">
        <v>9</v>
      </c>
      <c r="C1587" s="9">
        <v>1916</v>
      </c>
      <c r="D1587" s="10">
        <v>45646</v>
      </c>
      <c r="E1587" s="13" t="str">
        <f>+HYPERLINK("http://trademark.i-assist.jp/data/china/image_1916th/81238582.pdf","81238582")</f>
        <v>81238582</v>
      </c>
      <c r="F1587" s="9" t="s">
        <v>4391</v>
      </c>
      <c r="G1587" s="9" t="s">
        <v>4392</v>
      </c>
      <c r="H1587" s="9" t="s">
        <v>4393</v>
      </c>
      <c r="I1587" s="10">
        <v>45573</v>
      </c>
    </row>
    <row r="1588" spans="1:9" x14ac:dyDescent="0.15">
      <c r="A1588" s="9">
        <v>1587</v>
      </c>
      <c r="B1588" s="9" t="s">
        <v>9</v>
      </c>
      <c r="C1588" s="9">
        <v>1916</v>
      </c>
      <c r="D1588" s="10">
        <v>45646</v>
      </c>
      <c r="E1588" s="13" t="str">
        <f>+HYPERLINK("http://trademark.i-assist.jp/data/china/image_1916th/81239182.pdf","81239182")</f>
        <v>81239182</v>
      </c>
      <c r="F1588" s="9" t="s">
        <v>4394</v>
      </c>
      <c r="G1588" s="12" t="s">
        <v>4366</v>
      </c>
      <c r="H1588" s="12" t="s">
        <v>4395</v>
      </c>
      <c r="I1588" s="10">
        <v>45573</v>
      </c>
    </row>
    <row r="1589" spans="1:9" x14ac:dyDescent="0.15">
      <c r="A1589" s="9">
        <v>1588</v>
      </c>
      <c r="B1589" s="9" t="s">
        <v>9</v>
      </c>
      <c r="C1589" s="9">
        <v>1916</v>
      </c>
      <c r="D1589" s="10">
        <v>45646</v>
      </c>
      <c r="E1589" s="13" t="str">
        <f>+HYPERLINK("http://trademark.i-assist.jp/data/china/image_1916th/81239198.pdf","81239198")</f>
        <v>81239198</v>
      </c>
      <c r="F1589" s="9" t="s">
        <v>4396</v>
      </c>
      <c r="G1589" s="9" t="s">
        <v>4397</v>
      </c>
      <c r="H1589" s="9" t="s">
        <v>4398</v>
      </c>
      <c r="I1589" s="10">
        <v>45573</v>
      </c>
    </row>
    <row r="1590" spans="1:9" x14ac:dyDescent="0.15">
      <c r="A1590" s="9">
        <v>1589</v>
      </c>
      <c r="B1590" s="9" t="s">
        <v>9</v>
      </c>
      <c r="C1590" s="9">
        <v>1916</v>
      </c>
      <c r="D1590" s="10">
        <v>45646</v>
      </c>
      <c r="E1590" s="13" t="str">
        <f>+HYPERLINK("http://trademark.i-assist.jp/data/china/image_1916th/81239294.pdf","81239294")</f>
        <v>81239294</v>
      </c>
      <c r="F1590" s="9" t="s">
        <v>4399</v>
      </c>
      <c r="G1590" s="9" t="s">
        <v>4400</v>
      </c>
      <c r="H1590" s="9" t="s">
        <v>4401</v>
      </c>
      <c r="I1590" s="10">
        <v>45573</v>
      </c>
    </row>
    <row r="1591" spans="1:9" x14ac:dyDescent="0.15">
      <c r="A1591" s="9">
        <v>1590</v>
      </c>
      <c r="B1591" s="9" t="s">
        <v>9</v>
      </c>
      <c r="C1591" s="9">
        <v>1916</v>
      </c>
      <c r="D1591" s="10">
        <v>45646</v>
      </c>
      <c r="E1591" s="13" t="str">
        <f>+HYPERLINK("http://trademark.i-assist.jp/data/china/image_1916th/81240185.pdf","81240185")</f>
        <v>81240185</v>
      </c>
      <c r="F1591" s="12" t="s">
        <v>4402</v>
      </c>
      <c r="G1591" s="12" t="s">
        <v>69</v>
      </c>
      <c r="H1591" s="9" t="s">
        <v>4403</v>
      </c>
      <c r="I1591" s="10">
        <v>45573</v>
      </c>
    </row>
    <row r="1592" spans="1:9" x14ac:dyDescent="0.15">
      <c r="A1592" s="9">
        <v>1591</v>
      </c>
      <c r="B1592" s="9" t="s">
        <v>9</v>
      </c>
      <c r="C1592" s="9">
        <v>1916</v>
      </c>
      <c r="D1592" s="10">
        <v>45646</v>
      </c>
      <c r="E1592" s="13" t="str">
        <f>+HYPERLINK("http://trademark.i-assist.jp/data/china/image_1916th/81240346.pdf","81240346")</f>
        <v>81240346</v>
      </c>
      <c r="F1592" s="9" t="s">
        <v>4404</v>
      </c>
      <c r="G1592" s="12" t="s">
        <v>4405</v>
      </c>
      <c r="H1592" s="9" t="s">
        <v>4406</v>
      </c>
      <c r="I1592" s="10">
        <v>45573</v>
      </c>
    </row>
    <row r="1593" spans="1:9" x14ac:dyDescent="0.15">
      <c r="A1593" s="9">
        <v>1592</v>
      </c>
      <c r="B1593" s="9" t="s">
        <v>9</v>
      </c>
      <c r="C1593" s="9">
        <v>1916</v>
      </c>
      <c r="D1593" s="10">
        <v>45646</v>
      </c>
      <c r="E1593" s="13" t="str">
        <f>+HYPERLINK("http://trademark.i-assist.jp/data/china/image_1916th/81241399.pdf","81241399")</f>
        <v>81241399</v>
      </c>
      <c r="F1593" s="12" t="s">
        <v>4407</v>
      </c>
      <c r="G1593" s="12" t="s">
        <v>4408</v>
      </c>
      <c r="H1593" s="9" t="s">
        <v>4409</v>
      </c>
      <c r="I1593" s="10">
        <v>45573</v>
      </c>
    </row>
    <row r="1594" spans="1:9" x14ac:dyDescent="0.15">
      <c r="A1594" s="9">
        <v>1593</v>
      </c>
      <c r="B1594" s="9" t="s">
        <v>9</v>
      </c>
      <c r="C1594" s="9">
        <v>1916</v>
      </c>
      <c r="D1594" s="10">
        <v>45646</v>
      </c>
      <c r="E1594" s="13" t="str">
        <f>+HYPERLINK("http://trademark.i-assist.jp/data/china/image_1916th/81241883.pdf","81241883")</f>
        <v>81241883</v>
      </c>
      <c r="F1594" s="9" t="s">
        <v>4410</v>
      </c>
      <c r="G1594" s="12" t="s">
        <v>4411</v>
      </c>
      <c r="H1594" s="9" t="s">
        <v>4412</v>
      </c>
      <c r="I1594" s="10">
        <v>45573</v>
      </c>
    </row>
    <row r="1595" spans="1:9" x14ac:dyDescent="0.15">
      <c r="A1595" s="9">
        <v>1594</v>
      </c>
      <c r="B1595" s="9" t="s">
        <v>9</v>
      </c>
      <c r="C1595" s="9">
        <v>1916</v>
      </c>
      <c r="D1595" s="10">
        <v>45646</v>
      </c>
      <c r="E1595" s="13" t="str">
        <f>+HYPERLINK("http://trademark.i-assist.jp/data/china/image_1916th/81241934.pdf","81241934")</f>
        <v>81241934</v>
      </c>
      <c r="F1595" s="9" t="s">
        <v>4413</v>
      </c>
      <c r="G1595" s="12" t="s">
        <v>4414</v>
      </c>
      <c r="H1595" s="9" t="s">
        <v>4415</v>
      </c>
      <c r="I1595" s="10">
        <v>45573</v>
      </c>
    </row>
    <row r="1596" spans="1:9" x14ac:dyDescent="0.15">
      <c r="A1596" s="9">
        <v>1595</v>
      </c>
      <c r="B1596" s="9" t="s">
        <v>9</v>
      </c>
      <c r="C1596" s="9">
        <v>1916</v>
      </c>
      <c r="D1596" s="10">
        <v>45646</v>
      </c>
      <c r="E1596" s="13" t="str">
        <f>+HYPERLINK("http://trademark.i-assist.jp/data/china/image_1916th/81242827.pdf","81242827")</f>
        <v>81242827</v>
      </c>
      <c r="F1596" s="9" t="s">
        <v>4416</v>
      </c>
      <c r="G1596" s="9" t="s">
        <v>4417</v>
      </c>
      <c r="H1596" s="9" t="s">
        <v>4418</v>
      </c>
      <c r="I1596" s="10">
        <v>45573</v>
      </c>
    </row>
    <row r="1597" spans="1:9" x14ac:dyDescent="0.15">
      <c r="A1597" s="9">
        <v>1596</v>
      </c>
      <c r="B1597" s="9" t="s">
        <v>9</v>
      </c>
      <c r="C1597" s="9">
        <v>1916</v>
      </c>
      <c r="D1597" s="10">
        <v>45646</v>
      </c>
      <c r="E1597" s="13" t="str">
        <f>+HYPERLINK("http://trademark.i-assist.jp/data/china/image_1916th/81242863.pdf","81242863")</f>
        <v>81242863</v>
      </c>
      <c r="F1597" s="12" t="s">
        <v>4419</v>
      </c>
      <c r="G1597" s="9" t="s">
        <v>4420</v>
      </c>
      <c r="H1597" s="9" t="s">
        <v>4421</v>
      </c>
      <c r="I1597" s="10">
        <v>45573</v>
      </c>
    </row>
    <row r="1598" spans="1:9" x14ac:dyDescent="0.15">
      <c r="A1598" s="9">
        <v>1597</v>
      </c>
      <c r="B1598" s="9" t="s">
        <v>9</v>
      </c>
      <c r="C1598" s="9">
        <v>1916</v>
      </c>
      <c r="D1598" s="10">
        <v>45646</v>
      </c>
      <c r="E1598" s="13" t="str">
        <f>+HYPERLINK("http://trademark.i-assist.jp/data/china/image_1916th/81243727.pdf","81243727")</f>
        <v>81243727</v>
      </c>
      <c r="F1598" s="9" t="s">
        <v>4422</v>
      </c>
      <c r="G1598" s="12" t="s">
        <v>4423</v>
      </c>
      <c r="H1598" s="12" t="s">
        <v>4424</v>
      </c>
      <c r="I1598" s="10">
        <v>45573</v>
      </c>
    </row>
    <row r="1599" spans="1:9" x14ac:dyDescent="0.15">
      <c r="A1599" s="9">
        <v>1598</v>
      </c>
      <c r="B1599" s="9" t="s">
        <v>9</v>
      </c>
      <c r="C1599" s="9">
        <v>1916</v>
      </c>
      <c r="D1599" s="10">
        <v>45646</v>
      </c>
      <c r="E1599" s="13" t="str">
        <f>+HYPERLINK("http://trademark.i-assist.jp/data/china/image_1916th/81243845.pdf","81243845")</f>
        <v>81243845</v>
      </c>
      <c r="F1599" s="9" t="s">
        <v>4425</v>
      </c>
      <c r="G1599" s="12" t="s">
        <v>4426</v>
      </c>
      <c r="H1599" s="9" t="s">
        <v>4427</v>
      </c>
      <c r="I1599" s="10">
        <v>45573</v>
      </c>
    </row>
    <row r="1600" spans="1:9" x14ac:dyDescent="0.15">
      <c r="A1600" s="9">
        <v>1599</v>
      </c>
      <c r="B1600" s="9" t="s">
        <v>9</v>
      </c>
      <c r="C1600" s="9">
        <v>1916</v>
      </c>
      <c r="D1600" s="10">
        <v>45646</v>
      </c>
      <c r="E1600" s="13" t="str">
        <f>+HYPERLINK("http://trademark.i-assist.jp/data/china/image_1916th/81243972.pdf","81243972")</f>
        <v>81243972</v>
      </c>
      <c r="F1600" s="12" t="s">
        <v>4428</v>
      </c>
      <c r="G1600" s="9" t="s">
        <v>4429</v>
      </c>
      <c r="H1600" s="9" t="s">
        <v>4430</v>
      </c>
      <c r="I1600" s="10">
        <v>45573</v>
      </c>
    </row>
    <row r="1601" spans="1:9" x14ac:dyDescent="0.15">
      <c r="A1601" s="9">
        <v>1600</v>
      </c>
      <c r="B1601" s="9" t="s">
        <v>9</v>
      </c>
      <c r="C1601" s="9">
        <v>1916</v>
      </c>
      <c r="D1601" s="10">
        <v>45646</v>
      </c>
      <c r="E1601" s="13" t="str">
        <f>+HYPERLINK("http://trademark.i-assist.jp/data/china/image_1916th/81244132.pdf","81244132")</f>
        <v>81244132</v>
      </c>
      <c r="F1601" s="9" t="s">
        <v>4431</v>
      </c>
      <c r="G1601" s="9" t="s">
        <v>4432</v>
      </c>
      <c r="H1601" s="9" t="s">
        <v>4433</v>
      </c>
      <c r="I1601" s="10">
        <v>45573</v>
      </c>
    </row>
    <row r="1602" spans="1:9" x14ac:dyDescent="0.15">
      <c r="A1602" s="9">
        <v>1601</v>
      </c>
      <c r="B1602" s="9" t="s">
        <v>9</v>
      </c>
      <c r="C1602" s="9">
        <v>1916</v>
      </c>
      <c r="D1602" s="10">
        <v>45646</v>
      </c>
      <c r="E1602" s="13" t="str">
        <f>+HYPERLINK("http://trademark.i-assist.jp/data/china/image_1916th/81244537.pdf","81244537")</f>
        <v>81244537</v>
      </c>
      <c r="F1602" s="9" t="s">
        <v>4434</v>
      </c>
      <c r="G1602" s="9" t="s">
        <v>4435</v>
      </c>
      <c r="H1602" s="12" t="s">
        <v>4436</v>
      </c>
      <c r="I1602" s="10">
        <v>45573</v>
      </c>
    </row>
    <row r="1603" spans="1:9" x14ac:dyDescent="0.15">
      <c r="A1603" s="9">
        <v>1602</v>
      </c>
      <c r="B1603" s="9" t="s">
        <v>9</v>
      </c>
      <c r="C1603" s="9">
        <v>1916</v>
      </c>
      <c r="D1603" s="10">
        <v>45646</v>
      </c>
      <c r="E1603" s="13" t="str">
        <f>+HYPERLINK("http://trademark.i-assist.jp/data/china/image_1916th/81245381.pdf","81245381")</f>
        <v>81245381</v>
      </c>
      <c r="F1603" s="9" t="s">
        <v>4437</v>
      </c>
      <c r="G1603" s="9" t="s">
        <v>4438</v>
      </c>
      <c r="H1603" s="9" t="s">
        <v>4439</v>
      </c>
      <c r="I1603" s="10">
        <v>45573</v>
      </c>
    </row>
    <row r="1604" spans="1:9" x14ac:dyDescent="0.15">
      <c r="A1604" s="9">
        <v>1603</v>
      </c>
      <c r="B1604" s="9" t="s">
        <v>9</v>
      </c>
      <c r="C1604" s="9">
        <v>1916</v>
      </c>
      <c r="D1604" s="10">
        <v>45646</v>
      </c>
      <c r="E1604" s="13" t="str">
        <f>+HYPERLINK("http://trademark.i-assist.jp/data/china/image_1916th/81245563.pdf","81245563")</f>
        <v>81245563</v>
      </c>
      <c r="F1604" s="9" t="s">
        <v>4440</v>
      </c>
      <c r="G1604" s="12" t="s">
        <v>4441</v>
      </c>
      <c r="H1604" s="9" t="s">
        <v>4442</v>
      </c>
      <c r="I1604" s="10">
        <v>45573</v>
      </c>
    </row>
    <row r="1605" spans="1:9" x14ac:dyDescent="0.15">
      <c r="A1605" s="9">
        <v>1604</v>
      </c>
      <c r="B1605" s="9" t="s">
        <v>9</v>
      </c>
      <c r="C1605" s="9">
        <v>1916</v>
      </c>
      <c r="D1605" s="10">
        <v>45646</v>
      </c>
      <c r="E1605" s="13" t="str">
        <f>+HYPERLINK("http://trademark.i-assist.jp/data/china/image_1916th/81245795.pdf","81245795")</f>
        <v>81245795</v>
      </c>
      <c r="F1605" s="12" t="s">
        <v>4443</v>
      </c>
      <c r="G1605" s="9" t="s">
        <v>4349</v>
      </c>
      <c r="H1605" s="9" t="s">
        <v>4444</v>
      </c>
      <c r="I1605" s="10">
        <v>45573</v>
      </c>
    </row>
    <row r="1606" spans="1:9" x14ac:dyDescent="0.15">
      <c r="A1606" s="9">
        <v>1605</v>
      </c>
      <c r="B1606" s="9" t="s">
        <v>9</v>
      </c>
      <c r="C1606" s="9">
        <v>1916</v>
      </c>
      <c r="D1606" s="10">
        <v>45646</v>
      </c>
      <c r="E1606" s="13" t="str">
        <f>+HYPERLINK("http://trademark.i-assist.jp/data/china/image_1916th/81246081.pdf","81246081")</f>
        <v>81246081</v>
      </c>
      <c r="F1606" s="9" t="s">
        <v>4445</v>
      </c>
      <c r="G1606" s="9" t="s">
        <v>4446</v>
      </c>
      <c r="H1606" s="9" t="s">
        <v>4447</v>
      </c>
      <c r="I1606" s="10">
        <v>45573</v>
      </c>
    </row>
    <row r="1607" spans="1:9" x14ac:dyDescent="0.15">
      <c r="A1607" s="9">
        <v>1606</v>
      </c>
      <c r="B1607" s="9" t="s">
        <v>9</v>
      </c>
      <c r="C1607" s="9">
        <v>1916</v>
      </c>
      <c r="D1607" s="10">
        <v>45646</v>
      </c>
      <c r="E1607" s="13" t="str">
        <f>+HYPERLINK("http://trademark.i-assist.jp/data/china/image_1916th/81246112.pdf","81246112")</f>
        <v>81246112</v>
      </c>
      <c r="F1607" s="12" t="s">
        <v>4448</v>
      </c>
      <c r="G1607" s="9" t="s">
        <v>4449</v>
      </c>
      <c r="H1607" s="9" t="s">
        <v>4450</v>
      </c>
      <c r="I1607" s="10">
        <v>45573</v>
      </c>
    </row>
    <row r="1608" spans="1:9" x14ac:dyDescent="0.15">
      <c r="A1608" s="9">
        <v>1607</v>
      </c>
      <c r="B1608" s="9" t="s">
        <v>9</v>
      </c>
      <c r="C1608" s="9">
        <v>1916</v>
      </c>
      <c r="D1608" s="10">
        <v>45646</v>
      </c>
      <c r="E1608" s="13" t="str">
        <f>+HYPERLINK("http://trademark.i-assist.jp/data/china/image_1916th/81246236.pdf","81246236")</f>
        <v>81246236</v>
      </c>
      <c r="F1608" s="9" t="s">
        <v>4451</v>
      </c>
      <c r="G1608" s="9" t="s">
        <v>4452</v>
      </c>
      <c r="H1608" s="9" t="s">
        <v>4453</v>
      </c>
      <c r="I1608" s="10">
        <v>45573</v>
      </c>
    </row>
    <row r="1609" spans="1:9" x14ac:dyDescent="0.15">
      <c r="A1609" s="9">
        <v>1608</v>
      </c>
      <c r="B1609" s="9" t="s">
        <v>9</v>
      </c>
      <c r="C1609" s="9">
        <v>1916</v>
      </c>
      <c r="D1609" s="10">
        <v>45646</v>
      </c>
      <c r="E1609" s="13" t="str">
        <f>+HYPERLINK("http://trademark.i-assist.jp/data/china/image_1916th/81246609.pdf","81246609")</f>
        <v>81246609</v>
      </c>
      <c r="F1609" s="9" t="s">
        <v>4454</v>
      </c>
      <c r="G1609" s="9" t="s">
        <v>4455</v>
      </c>
      <c r="H1609" s="9" t="s">
        <v>4456</v>
      </c>
      <c r="I1609" s="10">
        <v>45573</v>
      </c>
    </row>
    <row r="1610" spans="1:9" x14ac:dyDescent="0.15">
      <c r="A1610" s="9">
        <v>1609</v>
      </c>
      <c r="B1610" s="9" t="s">
        <v>9</v>
      </c>
      <c r="C1610" s="9">
        <v>1916</v>
      </c>
      <c r="D1610" s="10">
        <v>45646</v>
      </c>
      <c r="E1610" s="13" t="str">
        <f>+HYPERLINK("http://trademark.i-assist.jp/data/china/image_1916th/81247116.pdf","81247116")</f>
        <v>81247116</v>
      </c>
      <c r="F1610" s="9" t="s">
        <v>4457</v>
      </c>
      <c r="G1610" s="9" t="s">
        <v>4458</v>
      </c>
      <c r="H1610" s="12" t="s">
        <v>4459</v>
      </c>
      <c r="I1610" s="10">
        <v>45573</v>
      </c>
    </row>
    <row r="1611" spans="1:9" x14ac:dyDescent="0.15">
      <c r="A1611" s="9">
        <v>1610</v>
      </c>
      <c r="B1611" s="9" t="s">
        <v>9</v>
      </c>
      <c r="C1611" s="9">
        <v>1916</v>
      </c>
      <c r="D1611" s="10">
        <v>45646</v>
      </c>
      <c r="E1611" s="13" t="str">
        <f>+HYPERLINK("http://trademark.i-assist.jp/data/china/image_1916th/81247462.pdf","81247462")</f>
        <v>81247462</v>
      </c>
      <c r="F1611" s="9" t="s">
        <v>4460</v>
      </c>
      <c r="G1611" s="9" t="s">
        <v>2742</v>
      </c>
      <c r="H1611" s="9" t="s">
        <v>4461</v>
      </c>
      <c r="I1611" s="10">
        <v>45573</v>
      </c>
    </row>
    <row r="1612" spans="1:9" x14ac:dyDescent="0.15">
      <c r="A1612" s="9">
        <v>1611</v>
      </c>
      <c r="B1612" s="9" t="s">
        <v>9</v>
      </c>
      <c r="C1612" s="9">
        <v>1916</v>
      </c>
      <c r="D1612" s="10">
        <v>45646</v>
      </c>
      <c r="E1612" s="13" t="str">
        <f>+HYPERLINK("http://trademark.i-assist.jp/data/china/image_1916th/81248162.pdf","81248162")</f>
        <v>81248162</v>
      </c>
      <c r="F1612" s="12" t="s">
        <v>13</v>
      </c>
      <c r="G1612" s="9" t="s">
        <v>4462</v>
      </c>
      <c r="H1612" s="9" t="s">
        <v>4463</v>
      </c>
      <c r="I1612" s="10">
        <v>45573</v>
      </c>
    </row>
    <row r="1613" spans="1:9" x14ac:dyDescent="0.15">
      <c r="A1613" s="9">
        <v>1612</v>
      </c>
      <c r="B1613" s="9" t="s">
        <v>9</v>
      </c>
      <c r="C1613" s="9">
        <v>1916</v>
      </c>
      <c r="D1613" s="10">
        <v>45646</v>
      </c>
      <c r="E1613" s="13" t="str">
        <f>+HYPERLINK("http://trademark.i-assist.jp/data/china/image_1916th/81248515.pdf","81248515")</f>
        <v>81248515</v>
      </c>
      <c r="F1613" s="9" t="s">
        <v>4464</v>
      </c>
      <c r="G1613" s="9" t="s">
        <v>4360</v>
      </c>
      <c r="H1613" s="9" t="s">
        <v>4465</v>
      </c>
      <c r="I1613" s="10">
        <v>45573</v>
      </c>
    </row>
    <row r="1614" spans="1:9" x14ac:dyDescent="0.15">
      <c r="A1614" s="9">
        <v>1613</v>
      </c>
      <c r="B1614" s="9" t="s">
        <v>9</v>
      </c>
      <c r="C1614" s="9">
        <v>1916</v>
      </c>
      <c r="D1614" s="10">
        <v>45646</v>
      </c>
      <c r="E1614" s="13" t="str">
        <f>+HYPERLINK("http://trademark.i-assist.jp/data/china/image_1916th/81248822.pdf","81248822")</f>
        <v>81248822</v>
      </c>
      <c r="F1614" s="9" t="s">
        <v>4466</v>
      </c>
      <c r="G1614" s="9" t="s">
        <v>4467</v>
      </c>
      <c r="H1614" s="9" t="s">
        <v>4468</v>
      </c>
      <c r="I1614" s="10">
        <v>45573</v>
      </c>
    </row>
    <row r="1615" spans="1:9" x14ac:dyDescent="0.15">
      <c r="A1615" s="9">
        <v>1614</v>
      </c>
      <c r="B1615" s="9" t="s">
        <v>9</v>
      </c>
      <c r="C1615" s="9">
        <v>1916</v>
      </c>
      <c r="D1615" s="10">
        <v>45646</v>
      </c>
      <c r="E1615" s="13" t="str">
        <f>+HYPERLINK("http://trademark.i-assist.jp/data/china/image_1916th/81248880.pdf","81248880")</f>
        <v>81248880</v>
      </c>
      <c r="F1615" s="9" t="s">
        <v>4469</v>
      </c>
      <c r="G1615" s="9" t="s">
        <v>4470</v>
      </c>
      <c r="H1615" s="9" t="s">
        <v>4471</v>
      </c>
      <c r="I1615" s="10">
        <v>45573</v>
      </c>
    </row>
    <row r="1616" spans="1:9" x14ac:dyDescent="0.15">
      <c r="A1616" s="9">
        <v>1615</v>
      </c>
      <c r="B1616" s="9" t="s">
        <v>9</v>
      </c>
      <c r="C1616" s="9">
        <v>1916</v>
      </c>
      <c r="D1616" s="10">
        <v>45646</v>
      </c>
      <c r="E1616" s="13" t="str">
        <f>+HYPERLINK("http://trademark.i-assist.jp/data/china/image_1916th/81249119.pdf","81249119")</f>
        <v>81249119</v>
      </c>
      <c r="F1616" s="9" t="s">
        <v>4472</v>
      </c>
      <c r="G1616" s="9" t="s">
        <v>4473</v>
      </c>
      <c r="H1616" s="9" t="s">
        <v>4474</v>
      </c>
      <c r="I1616" s="10">
        <v>45573</v>
      </c>
    </row>
    <row r="1617" spans="1:9" x14ac:dyDescent="0.15">
      <c r="A1617" s="9">
        <v>1616</v>
      </c>
      <c r="B1617" s="9" t="s">
        <v>9</v>
      </c>
      <c r="C1617" s="9">
        <v>1916</v>
      </c>
      <c r="D1617" s="10">
        <v>45646</v>
      </c>
      <c r="E1617" s="13" t="str">
        <f>+HYPERLINK("http://trademark.i-assist.jp/data/china/image_1916th/81249134.pdf","81249134")</f>
        <v>81249134</v>
      </c>
      <c r="F1617" s="9" t="s">
        <v>4475</v>
      </c>
      <c r="G1617" s="9" t="s">
        <v>4473</v>
      </c>
      <c r="H1617" s="9" t="s">
        <v>4476</v>
      </c>
      <c r="I1617" s="10">
        <v>45573</v>
      </c>
    </row>
    <row r="1618" spans="1:9" x14ac:dyDescent="0.15">
      <c r="A1618" s="9">
        <v>1617</v>
      </c>
      <c r="B1618" s="9" t="s">
        <v>9</v>
      </c>
      <c r="C1618" s="9">
        <v>1916</v>
      </c>
      <c r="D1618" s="10">
        <v>45646</v>
      </c>
      <c r="E1618" s="13" t="str">
        <f>+HYPERLINK("http://trademark.i-assist.jp/data/china/image_1916th/81249167.pdf","81249167")</f>
        <v>81249167</v>
      </c>
      <c r="F1618" s="9" t="s">
        <v>4477</v>
      </c>
      <c r="G1618" s="12" t="s">
        <v>4411</v>
      </c>
      <c r="H1618" s="9" t="s">
        <v>4478</v>
      </c>
      <c r="I1618" s="10">
        <v>45573</v>
      </c>
    </row>
    <row r="1619" spans="1:9" x14ac:dyDescent="0.15">
      <c r="A1619" s="9">
        <v>1618</v>
      </c>
      <c r="B1619" s="9" t="s">
        <v>9</v>
      </c>
      <c r="C1619" s="9">
        <v>1916</v>
      </c>
      <c r="D1619" s="10">
        <v>45646</v>
      </c>
      <c r="E1619" s="13" t="str">
        <f>+HYPERLINK("http://trademark.i-assist.jp/data/china/image_1916th/81249372.pdf","81249372")</f>
        <v>81249372</v>
      </c>
      <c r="F1619" s="12" t="s">
        <v>4479</v>
      </c>
      <c r="G1619" s="9" t="s">
        <v>4480</v>
      </c>
      <c r="H1619" s="9" t="s">
        <v>4481</v>
      </c>
      <c r="I1619" s="10">
        <v>45573</v>
      </c>
    </row>
    <row r="1620" spans="1:9" x14ac:dyDescent="0.15">
      <c r="A1620" s="9">
        <v>1619</v>
      </c>
      <c r="B1620" s="9" t="s">
        <v>9</v>
      </c>
      <c r="C1620" s="9">
        <v>1916</v>
      </c>
      <c r="D1620" s="10">
        <v>45646</v>
      </c>
      <c r="E1620" s="13" t="str">
        <f>+HYPERLINK("http://trademark.i-assist.jp/data/china/image_1916th/81250058.pdf","81250058")</f>
        <v>81250058</v>
      </c>
      <c r="F1620" s="12" t="s">
        <v>4482</v>
      </c>
      <c r="G1620" s="9" t="s">
        <v>4483</v>
      </c>
      <c r="H1620" s="9" t="s">
        <v>4484</v>
      </c>
      <c r="I1620" s="10">
        <v>45573</v>
      </c>
    </row>
    <row r="1621" spans="1:9" x14ac:dyDescent="0.15">
      <c r="A1621" s="9">
        <v>1620</v>
      </c>
      <c r="B1621" s="9" t="s">
        <v>9</v>
      </c>
      <c r="C1621" s="9">
        <v>1916</v>
      </c>
      <c r="D1621" s="10">
        <v>45646</v>
      </c>
      <c r="E1621" s="13" t="str">
        <f>+HYPERLINK("http://trademark.i-assist.jp/data/china/image_1916th/81250286.pdf","81250286")</f>
        <v>81250286</v>
      </c>
      <c r="F1621" s="12" t="s">
        <v>4485</v>
      </c>
      <c r="G1621" s="9" t="s">
        <v>4384</v>
      </c>
      <c r="H1621" s="12" t="s">
        <v>4486</v>
      </c>
      <c r="I1621" s="10">
        <v>45573</v>
      </c>
    </row>
    <row r="1622" spans="1:9" x14ac:dyDescent="0.15">
      <c r="A1622" s="9">
        <v>1621</v>
      </c>
      <c r="B1622" s="9" t="s">
        <v>9</v>
      </c>
      <c r="C1622" s="9">
        <v>1916</v>
      </c>
      <c r="D1622" s="10">
        <v>45646</v>
      </c>
      <c r="E1622" s="13" t="str">
        <f>+HYPERLINK("http://trademark.i-assist.jp/data/china/image_1916th/81250573.pdf","81250573")</f>
        <v>81250573</v>
      </c>
      <c r="F1622" s="9" t="s">
        <v>4487</v>
      </c>
      <c r="G1622" s="9" t="s">
        <v>4488</v>
      </c>
      <c r="H1622" s="9" t="s">
        <v>4489</v>
      </c>
      <c r="I1622" s="10">
        <v>45573</v>
      </c>
    </row>
    <row r="1623" spans="1:9" x14ac:dyDescent="0.15">
      <c r="A1623" s="9">
        <v>1622</v>
      </c>
      <c r="B1623" s="9" t="s">
        <v>9</v>
      </c>
      <c r="C1623" s="9">
        <v>1916</v>
      </c>
      <c r="D1623" s="10">
        <v>45646</v>
      </c>
      <c r="E1623" s="13" t="str">
        <f>+HYPERLINK("http://trademark.i-assist.jp/data/china/image_1916th/81250932.pdf","81250932")</f>
        <v>81250932</v>
      </c>
      <c r="F1623" s="9" t="s">
        <v>4490</v>
      </c>
      <c r="G1623" s="9" t="s">
        <v>3744</v>
      </c>
      <c r="H1623" s="9" t="s">
        <v>4491</v>
      </c>
      <c r="I1623" s="10">
        <v>45573</v>
      </c>
    </row>
    <row r="1624" spans="1:9" x14ac:dyDescent="0.15">
      <c r="A1624" s="9">
        <v>1623</v>
      </c>
      <c r="B1624" s="9" t="s">
        <v>9</v>
      </c>
      <c r="C1624" s="9">
        <v>1916</v>
      </c>
      <c r="D1624" s="10">
        <v>45646</v>
      </c>
      <c r="E1624" s="13" t="str">
        <f>+HYPERLINK("http://trademark.i-assist.jp/data/china/image_1916th/81250996.pdf","81250996")</f>
        <v>81250996</v>
      </c>
      <c r="F1624" s="11" t="s">
        <v>4492</v>
      </c>
      <c r="G1624" s="9" t="s">
        <v>4493</v>
      </c>
      <c r="H1624" s="9" t="s">
        <v>4494</v>
      </c>
      <c r="I1624" s="10">
        <v>45573</v>
      </c>
    </row>
    <row r="1625" spans="1:9" x14ac:dyDescent="0.15">
      <c r="A1625" s="9">
        <v>1624</v>
      </c>
      <c r="B1625" s="9" t="s">
        <v>9</v>
      </c>
      <c r="C1625" s="9">
        <v>1916</v>
      </c>
      <c r="D1625" s="10">
        <v>45646</v>
      </c>
      <c r="E1625" s="13" t="str">
        <f>+HYPERLINK("http://trademark.i-assist.jp/data/china/image_1916th/81251159.pdf","81251159")</f>
        <v>81251159</v>
      </c>
      <c r="F1625" s="9" t="s">
        <v>4495</v>
      </c>
      <c r="G1625" s="12" t="s">
        <v>4496</v>
      </c>
      <c r="H1625" s="12" t="s">
        <v>4497</v>
      </c>
      <c r="I1625" s="10">
        <v>45573</v>
      </c>
    </row>
    <row r="1626" spans="1:9" x14ac:dyDescent="0.15">
      <c r="A1626" s="9">
        <v>1625</v>
      </c>
      <c r="B1626" s="9" t="s">
        <v>9</v>
      </c>
      <c r="C1626" s="9">
        <v>1916</v>
      </c>
      <c r="D1626" s="10">
        <v>45646</v>
      </c>
      <c r="E1626" s="13" t="str">
        <f>+HYPERLINK("http://trademark.i-assist.jp/data/china/image_1916th/81251233.pdf","81251233")</f>
        <v>81251233</v>
      </c>
      <c r="F1626" s="9" t="s">
        <v>4498</v>
      </c>
      <c r="G1626" s="9" t="s">
        <v>4470</v>
      </c>
      <c r="H1626" s="9" t="s">
        <v>4499</v>
      </c>
      <c r="I1626" s="10">
        <v>45573</v>
      </c>
    </row>
    <row r="1627" spans="1:9" x14ac:dyDescent="0.15">
      <c r="A1627" s="9">
        <v>1626</v>
      </c>
      <c r="B1627" s="9" t="s">
        <v>9</v>
      </c>
      <c r="C1627" s="9">
        <v>1916</v>
      </c>
      <c r="D1627" s="10">
        <v>45646</v>
      </c>
      <c r="E1627" s="13" t="str">
        <f>+HYPERLINK("http://trademark.i-assist.jp/data/china/image_1916th/81251626.pdf","81251626")</f>
        <v>81251626</v>
      </c>
      <c r="F1627" s="9" t="s">
        <v>4500</v>
      </c>
      <c r="G1627" s="12" t="s">
        <v>19</v>
      </c>
      <c r="H1627" s="9" t="s">
        <v>4501</v>
      </c>
      <c r="I1627" s="10">
        <v>45574</v>
      </c>
    </row>
    <row r="1628" spans="1:9" x14ac:dyDescent="0.15">
      <c r="A1628" s="9">
        <v>1627</v>
      </c>
      <c r="B1628" s="9" t="s">
        <v>9</v>
      </c>
      <c r="C1628" s="9">
        <v>1916</v>
      </c>
      <c r="D1628" s="10">
        <v>45646</v>
      </c>
      <c r="E1628" s="13" t="str">
        <f>+HYPERLINK("http://trademark.i-assist.jp/data/china/image_1916th/81251632.pdf","81251632")</f>
        <v>81251632</v>
      </c>
      <c r="F1628" s="9" t="s">
        <v>4502</v>
      </c>
      <c r="G1628" s="12" t="s">
        <v>19</v>
      </c>
      <c r="H1628" s="9" t="s">
        <v>4503</v>
      </c>
      <c r="I1628" s="10">
        <v>45574</v>
      </c>
    </row>
    <row r="1629" spans="1:9" x14ac:dyDescent="0.15">
      <c r="A1629" s="9">
        <v>1628</v>
      </c>
      <c r="B1629" s="9" t="s">
        <v>9</v>
      </c>
      <c r="C1629" s="9">
        <v>1916</v>
      </c>
      <c r="D1629" s="10">
        <v>45646</v>
      </c>
      <c r="E1629" s="13" t="str">
        <f>+HYPERLINK("http://trademark.i-assist.jp/data/china/image_1916th/81251635.pdf","81251635")</f>
        <v>81251635</v>
      </c>
      <c r="F1629" s="9" t="s">
        <v>4504</v>
      </c>
      <c r="G1629" s="12" t="s">
        <v>4505</v>
      </c>
      <c r="H1629" s="9" t="s">
        <v>4506</v>
      </c>
      <c r="I1629" s="10">
        <v>45574</v>
      </c>
    </row>
    <row r="1630" spans="1:9" x14ac:dyDescent="0.15">
      <c r="A1630" s="9">
        <v>1629</v>
      </c>
      <c r="B1630" s="9" t="s">
        <v>9</v>
      </c>
      <c r="C1630" s="9">
        <v>1916</v>
      </c>
      <c r="D1630" s="10">
        <v>45646</v>
      </c>
      <c r="E1630" s="13" t="str">
        <f>+HYPERLINK("http://trademark.i-assist.jp/data/china/image_1916th/81251726.pdf","81251726")</f>
        <v>81251726</v>
      </c>
      <c r="F1630" s="12" t="s">
        <v>4507</v>
      </c>
      <c r="G1630" s="9" t="s">
        <v>4508</v>
      </c>
      <c r="H1630" s="9" t="s">
        <v>4509</v>
      </c>
      <c r="I1630" s="10">
        <v>45574</v>
      </c>
    </row>
    <row r="1631" spans="1:9" x14ac:dyDescent="0.15">
      <c r="A1631" s="9">
        <v>1630</v>
      </c>
      <c r="B1631" s="9" t="s">
        <v>9</v>
      </c>
      <c r="C1631" s="9">
        <v>1916</v>
      </c>
      <c r="D1631" s="10">
        <v>45646</v>
      </c>
      <c r="E1631" s="13" t="str">
        <f>+HYPERLINK("http://trademark.i-assist.jp/data/china/image_1916th/81252119.pdf","81252119")</f>
        <v>81252119</v>
      </c>
      <c r="F1631" s="12" t="s">
        <v>4510</v>
      </c>
      <c r="G1631" s="12" t="s">
        <v>4511</v>
      </c>
      <c r="H1631" s="9" t="s">
        <v>4512</v>
      </c>
      <c r="I1631" s="10">
        <v>45574</v>
      </c>
    </row>
    <row r="1632" spans="1:9" x14ac:dyDescent="0.15">
      <c r="A1632" s="9">
        <v>1631</v>
      </c>
      <c r="B1632" s="9" t="s">
        <v>9</v>
      </c>
      <c r="C1632" s="9">
        <v>1916</v>
      </c>
      <c r="D1632" s="10">
        <v>45646</v>
      </c>
      <c r="E1632" s="13" t="str">
        <f>+HYPERLINK("http://trademark.i-assist.jp/data/china/image_1916th/81252397.pdf","81252397")</f>
        <v>81252397</v>
      </c>
      <c r="F1632" s="12" t="s">
        <v>13</v>
      </c>
      <c r="G1632" s="9" t="s">
        <v>4513</v>
      </c>
      <c r="H1632" s="9" t="s">
        <v>4514</v>
      </c>
      <c r="I1632" s="10">
        <v>45574</v>
      </c>
    </row>
    <row r="1633" spans="1:9" x14ac:dyDescent="0.15">
      <c r="A1633" s="9">
        <v>1632</v>
      </c>
      <c r="B1633" s="9" t="s">
        <v>9</v>
      </c>
      <c r="C1633" s="9">
        <v>1916</v>
      </c>
      <c r="D1633" s="10">
        <v>45646</v>
      </c>
      <c r="E1633" s="13" t="str">
        <f>+HYPERLINK("http://trademark.i-assist.jp/data/china/image_1916th/81252776.pdf","81252776")</f>
        <v>81252776</v>
      </c>
      <c r="F1633" s="9" t="s">
        <v>4515</v>
      </c>
      <c r="G1633" s="9" t="s">
        <v>4516</v>
      </c>
      <c r="H1633" s="9" t="s">
        <v>4517</v>
      </c>
      <c r="I1633" s="10">
        <v>45574</v>
      </c>
    </row>
    <row r="1634" spans="1:9" x14ac:dyDescent="0.15">
      <c r="A1634" s="9">
        <v>1633</v>
      </c>
      <c r="B1634" s="9" t="s">
        <v>9</v>
      </c>
      <c r="C1634" s="9">
        <v>1916</v>
      </c>
      <c r="D1634" s="10">
        <v>45646</v>
      </c>
      <c r="E1634" s="13" t="str">
        <f>+HYPERLINK("http://trademark.i-assist.jp/data/china/image_1916th/81254745.pdf","81254745")</f>
        <v>81254745</v>
      </c>
      <c r="F1634" s="12" t="s">
        <v>4518</v>
      </c>
      <c r="G1634" s="12" t="s">
        <v>4519</v>
      </c>
      <c r="H1634" s="9" t="s">
        <v>4520</v>
      </c>
      <c r="I1634" s="10">
        <v>45574</v>
      </c>
    </row>
    <row r="1635" spans="1:9" x14ac:dyDescent="0.15">
      <c r="A1635" s="9">
        <v>1634</v>
      </c>
      <c r="B1635" s="9" t="s">
        <v>9</v>
      </c>
      <c r="C1635" s="9">
        <v>1916</v>
      </c>
      <c r="D1635" s="10">
        <v>45646</v>
      </c>
      <c r="E1635" s="13" t="str">
        <f>+HYPERLINK("http://trademark.i-assist.jp/data/china/image_1916th/81255244.pdf","81255244")</f>
        <v>81255244</v>
      </c>
      <c r="F1635" s="9" t="s">
        <v>4521</v>
      </c>
      <c r="G1635" s="9" t="s">
        <v>4522</v>
      </c>
      <c r="H1635" s="9" t="s">
        <v>4523</v>
      </c>
      <c r="I1635" s="10">
        <v>45574</v>
      </c>
    </row>
    <row r="1636" spans="1:9" x14ac:dyDescent="0.15">
      <c r="A1636" s="9">
        <v>1635</v>
      </c>
      <c r="B1636" s="9" t="s">
        <v>9</v>
      </c>
      <c r="C1636" s="9">
        <v>1916</v>
      </c>
      <c r="D1636" s="10">
        <v>45646</v>
      </c>
      <c r="E1636" s="13" t="str">
        <f>+HYPERLINK("http://trademark.i-assist.jp/data/china/image_1916th/81255466.pdf","81255466")</f>
        <v>81255466</v>
      </c>
      <c r="F1636" s="9" t="s">
        <v>4524</v>
      </c>
      <c r="G1636" s="9" t="s">
        <v>4525</v>
      </c>
      <c r="H1636" s="9" t="s">
        <v>4526</v>
      </c>
      <c r="I1636" s="10">
        <v>45574</v>
      </c>
    </row>
    <row r="1637" spans="1:9" x14ac:dyDescent="0.15">
      <c r="A1637" s="9">
        <v>1636</v>
      </c>
      <c r="B1637" s="9" t="s">
        <v>9</v>
      </c>
      <c r="C1637" s="9">
        <v>1916</v>
      </c>
      <c r="D1637" s="10">
        <v>45646</v>
      </c>
      <c r="E1637" s="13" t="str">
        <f>+HYPERLINK("http://trademark.i-assist.jp/data/china/image_1916th/81255942.pdf","81255942")</f>
        <v>81255942</v>
      </c>
      <c r="F1637" s="9" t="s">
        <v>4527</v>
      </c>
      <c r="G1637" s="9" t="s">
        <v>4528</v>
      </c>
      <c r="H1637" s="9" t="s">
        <v>4529</v>
      </c>
      <c r="I1637" s="10">
        <v>45574</v>
      </c>
    </row>
    <row r="1638" spans="1:9" x14ac:dyDescent="0.15">
      <c r="A1638" s="9">
        <v>1637</v>
      </c>
      <c r="B1638" s="9" t="s">
        <v>9</v>
      </c>
      <c r="C1638" s="9">
        <v>1916</v>
      </c>
      <c r="D1638" s="10">
        <v>45646</v>
      </c>
      <c r="E1638" s="13" t="str">
        <f>+HYPERLINK("http://trademark.i-assist.jp/data/china/image_1916th/81256860.pdf","81256860")</f>
        <v>81256860</v>
      </c>
      <c r="F1638" s="9" t="s">
        <v>4530</v>
      </c>
      <c r="G1638" s="9" t="s">
        <v>4531</v>
      </c>
      <c r="H1638" s="9" t="s">
        <v>4532</v>
      </c>
      <c r="I1638" s="10">
        <v>45574</v>
      </c>
    </row>
    <row r="1639" spans="1:9" x14ac:dyDescent="0.15">
      <c r="A1639" s="9">
        <v>1638</v>
      </c>
      <c r="B1639" s="9" t="s">
        <v>9</v>
      </c>
      <c r="C1639" s="9">
        <v>1916</v>
      </c>
      <c r="D1639" s="10">
        <v>45646</v>
      </c>
      <c r="E1639" s="13" t="str">
        <f>+HYPERLINK("http://trademark.i-assist.jp/data/china/image_1916th/81256944.pdf","81256944")</f>
        <v>81256944</v>
      </c>
      <c r="F1639" s="9" t="s">
        <v>4533</v>
      </c>
      <c r="G1639" s="12" t="s">
        <v>4534</v>
      </c>
      <c r="H1639" s="9" t="s">
        <v>4535</v>
      </c>
      <c r="I1639" s="10">
        <v>45574</v>
      </c>
    </row>
    <row r="1640" spans="1:9" x14ac:dyDescent="0.15">
      <c r="A1640" s="9">
        <v>1639</v>
      </c>
      <c r="B1640" s="9" t="s">
        <v>9</v>
      </c>
      <c r="C1640" s="9">
        <v>1916</v>
      </c>
      <c r="D1640" s="10">
        <v>45646</v>
      </c>
      <c r="E1640" s="13" t="str">
        <f>+HYPERLINK("http://trademark.i-assist.jp/data/china/image_1916th/81257283.pdf","81257283")</f>
        <v>81257283</v>
      </c>
      <c r="F1640" s="9" t="s">
        <v>4536</v>
      </c>
      <c r="G1640" s="12" t="s">
        <v>4537</v>
      </c>
      <c r="H1640" s="9" t="s">
        <v>4538</v>
      </c>
      <c r="I1640" s="10">
        <v>45574</v>
      </c>
    </row>
    <row r="1641" spans="1:9" x14ac:dyDescent="0.15">
      <c r="A1641" s="9">
        <v>1640</v>
      </c>
      <c r="B1641" s="9" t="s">
        <v>9</v>
      </c>
      <c r="C1641" s="9">
        <v>1916</v>
      </c>
      <c r="D1641" s="10">
        <v>45646</v>
      </c>
      <c r="E1641" s="13" t="str">
        <f>+HYPERLINK("http://trademark.i-assist.jp/data/china/image_1916th/81258030.pdf","81258030")</f>
        <v>81258030</v>
      </c>
      <c r="F1641" s="9" t="s">
        <v>4539</v>
      </c>
      <c r="G1641" s="9" t="s">
        <v>4528</v>
      </c>
      <c r="H1641" s="9" t="s">
        <v>4540</v>
      </c>
      <c r="I1641" s="10">
        <v>45574</v>
      </c>
    </row>
    <row r="1642" spans="1:9" x14ac:dyDescent="0.15">
      <c r="A1642" s="9">
        <v>1641</v>
      </c>
      <c r="B1642" s="9" t="s">
        <v>9</v>
      </c>
      <c r="C1642" s="9">
        <v>1916</v>
      </c>
      <c r="D1642" s="10">
        <v>45646</v>
      </c>
      <c r="E1642" s="13" t="str">
        <f>+HYPERLINK("http://trademark.i-assist.jp/data/china/image_1916th/81258120.pdf","81258120")</f>
        <v>81258120</v>
      </c>
      <c r="F1642" s="9" t="s">
        <v>4541</v>
      </c>
      <c r="G1642" s="9" t="s">
        <v>4542</v>
      </c>
      <c r="H1642" s="12" t="s">
        <v>4543</v>
      </c>
      <c r="I1642" s="10">
        <v>45574</v>
      </c>
    </row>
    <row r="1643" spans="1:9" x14ac:dyDescent="0.15">
      <c r="A1643" s="9">
        <v>1642</v>
      </c>
      <c r="B1643" s="9" t="s">
        <v>9</v>
      </c>
      <c r="C1643" s="9">
        <v>1916</v>
      </c>
      <c r="D1643" s="10">
        <v>45646</v>
      </c>
      <c r="E1643" s="13" t="str">
        <f>+HYPERLINK("http://trademark.i-assist.jp/data/china/image_1916th/81258327.pdf","81258327")</f>
        <v>81258327</v>
      </c>
      <c r="F1643" s="9" t="s">
        <v>4544</v>
      </c>
      <c r="G1643" s="9" t="s">
        <v>4545</v>
      </c>
      <c r="H1643" s="9" t="s">
        <v>4546</v>
      </c>
      <c r="I1643" s="10">
        <v>45574</v>
      </c>
    </row>
    <row r="1644" spans="1:9" x14ac:dyDescent="0.15">
      <c r="A1644" s="9">
        <v>1643</v>
      </c>
      <c r="B1644" s="9" t="s">
        <v>9</v>
      </c>
      <c r="C1644" s="9">
        <v>1916</v>
      </c>
      <c r="D1644" s="10">
        <v>45646</v>
      </c>
      <c r="E1644" s="13" t="str">
        <f>+HYPERLINK("http://trademark.i-assist.jp/data/china/image_1916th/81258531.pdf","81258531")</f>
        <v>81258531</v>
      </c>
      <c r="F1644" s="9" t="s">
        <v>4547</v>
      </c>
      <c r="G1644" s="9" t="s">
        <v>4548</v>
      </c>
      <c r="H1644" s="9" t="s">
        <v>4549</v>
      </c>
      <c r="I1644" s="10">
        <v>45574</v>
      </c>
    </row>
    <row r="1645" spans="1:9" x14ac:dyDescent="0.15">
      <c r="A1645" s="9">
        <v>1644</v>
      </c>
      <c r="B1645" s="9" t="s">
        <v>9</v>
      </c>
      <c r="C1645" s="9">
        <v>1916</v>
      </c>
      <c r="D1645" s="10">
        <v>45646</v>
      </c>
      <c r="E1645" s="13" t="str">
        <f>+HYPERLINK("http://trademark.i-assist.jp/data/china/image_1916th/81258642.pdf","81258642")</f>
        <v>81258642</v>
      </c>
      <c r="F1645" s="9" t="s">
        <v>4550</v>
      </c>
      <c r="G1645" s="9" t="s">
        <v>4551</v>
      </c>
      <c r="H1645" s="9" t="s">
        <v>4552</v>
      </c>
      <c r="I1645" s="10">
        <v>45574</v>
      </c>
    </row>
    <row r="1646" spans="1:9" x14ac:dyDescent="0.15">
      <c r="A1646" s="9">
        <v>1645</v>
      </c>
      <c r="B1646" s="9" t="s">
        <v>9</v>
      </c>
      <c r="C1646" s="9">
        <v>1916</v>
      </c>
      <c r="D1646" s="10">
        <v>45646</v>
      </c>
      <c r="E1646" s="13" t="str">
        <f>+HYPERLINK("http://trademark.i-assist.jp/data/china/image_1916th/81258811.pdf","81258811")</f>
        <v>81258811</v>
      </c>
      <c r="F1646" s="9" t="s">
        <v>4553</v>
      </c>
      <c r="G1646" s="9" t="s">
        <v>4554</v>
      </c>
      <c r="H1646" s="9" t="s">
        <v>4555</v>
      </c>
      <c r="I1646" s="10">
        <v>45574</v>
      </c>
    </row>
    <row r="1647" spans="1:9" x14ac:dyDescent="0.15">
      <c r="A1647" s="9">
        <v>1646</v>
      </c>
      <c r="B1647" s="9" t="s">
        <v>9</v>
      </c>
      <c r="C1647" s="9">
        <v>1916</v>
      </c>
      <c r="D1647" s="10">
        <v>45646</v>
      </c>
      <c r="E1647" s="13" t="str">
        <f>+HYPERLINK("http://trademark.i-assist.jp/data/china/image_1916th/81259136.pdf","81259136")</f>
        <v>81259136</v>
      </c>
      <c r="F1647" s="9" t="s">
        <v>4556</v>
      </c>
      <c r="G1647" s="9" t="s">
        <v>4349</v>
      </c>
      <c r="H1647" s="9" t="s">
        <v>4557</v>
      </c>
      <c r="I1647" s="10">
        <v>45574</v>
      </c>
    </row>
    <row r="1648" spans="1:9" x14ac:dyDescent="0.15">
      <c r="A1648" s="9">
        <v>1647</v>
      </c>
      <c r="B1648" s="9" t="s">
        <v>9</v>
      </c>
      <c r="C1648" s="9">
        <v>1916</v>
      </c>
      <c r="D1648" s="10">
        <v>45646</v>
      </c>
      <c r="E1648" s="13" t="str">
        <f>+HYPERLINK("http://trademark.i-assist.jp/data/china/image_1916th/81259204.pdf","81259204")</f>
        <v>81259204</v>
      </c>
      <c r="F1648" s="9" t="s">
        <v>4558</v>
      </c>
      <c r="G1648" s="9" t="s">
        <v>4559</v>
      </c>
      <c r="H1648" s="9" t="s">
        <v>4560</v>
      </c>
      <c r="I1648" s="10">
        <v>45574</v>
      </c>
    </row>
    <row r="1649" spans="1:9" x14ac:dyDescent="0.15">
      <c r="A1649" s="9">
        <v>1648</v>
      </c>
      <c r="B1649" s="9" t="s">
        <v>9</v>
      </c>
      <c r="C1649" s="9">
        <v>1916</v>
      </c>
      <c r="D1649" s="10">
        <v>45646</v>
      </c>
      <c r="E1649" s="13" t="str">
        <f>+HYPERLINK("http://trademark.i-assist.jp/data/china/image_1916th/81259295.pdf","81259295")</f>
        <v>81259295</v>
      </c>
      <c r="F1649" s="12" t="s">
        <v>4561</v>
      </c>
      <c r="G1649" s="9" t="s">
        <v>4562</v>
      </c>
      <c r="H1649" s="9" t="s">
        <v>4563</v>
      </c>
      <c r="I1649" s="10">
        <v>45574</v>
      </c>
    </row>
    <row r="1650" spans="1:9" x14ac:dyDescent="0.15">
      <c r="A1650" s="9">
        <v>1649</v>
      </c>
      <c r="B1650" s="9" t="s">
        <v>9</v>
      </c>
      <c r="C1650" s="9">
        <v>1916</v>
      </c>
      <c r="D1650" s="10">
        <v>45646</v>
      </c>
      <c r="E1650" s="13" t="str">
        <f>+HYPERLINK("http://trademark.i-assist.jp/data/china/image_1916th/81259717.pdf","81259717")</f>
        <v>81259717</v>
      </c>
      <c r="F1650" s="12" t="s">
        <v>4564</v>
      </c>
      <c r="G1650" s="9" t="s">
        <v>4565</v>
      </c>
      <c r="H1650" s="9" t="s">
        <v>4566</v>
      </c>
      <c r="I1650" s="10">
        <v>45574</v>
      </c>
    </row>
    <row r="1651" spans="1:9" x14ac:dyDescent="0.15">
      <c r="A1651" s="9">
        <v>1650</v>
      </c>
      <c r="B1651" s="9" t="s">
        <v>9</v>
      </c>
      <c r="C1651" s="9">
        <v>1916</v>
      </c>
      <c r="D1651" s="10">
        <v>45646</v>
      </c>
      <c r="E1651" s="13" t="str">
        <f>+HYPERLINK("http://trademark.i-assist.jp/data/china/image_1916th/81261291.pdf","81261291")</f>
        <v>81261291</v>
      </c>
      <c r="F1651" s="9" t="s">
        <v>4567</v>
      </c>
      <c r="G1651" s="12" t="s">
        <v>4568</v>
      </c>
      <c r="H1651" s="9" t="s">
        <v>4569</v>
      </c>
      <c r="I1651" s="10">
        <v>45574</v>
      </c>
    </row>
    <row r="1652" spans="1:9" x14ac:dyDescent="0.15">
      <c r="A1652" s="9">
        <v>1651</v>
      </c>
      <c r="B1652" s="9" t="s">
        <v>9</v>
      </c>
      <c r="C1652" s="9">
        <v>1916</v>
      </c>
      <c r="D1652" s="10">
        <v>45646</v>
      </c>
      <c r="E1652" s="13" t="str">
        <f>+HYPERLINK("http://trademark.i-assist.jp/data/china/image_1916th/81261334.pdf","81261334")</f>
        <v>81261334</v>
      </c>
      <c r="F1652" s="9" t="s">
        <v>4570</v>
      </c>
      <c r="G1652" s="9" t="s">
        <v>4571</v>
      </c>
      <c r="H1652" s="9" t="s">
        <v>4572</v>
      </c>
      <c r="I1652" s="10">
        <v>45574</v>
      </c>
    </row>
    <row r="1653" spans="1:9" x14ac:dyDescent="0.15">
      <c r="A1653" s="9">
        <v>1652</v>
      </c>
      <c r="B1653" s="9" t="s">
        <v>9</v>
      </c>
      <c r="C1653" s="9">
        <v>1916</v>
      </c>
      <c r="D1653" s="10">
        <v>45646</v>
      </c>
      <c r="E1653" s="13" t="str">
        <f>+HYPERLINK("http://trademark.i-assist.jp/data/china/image_1916th/81261530.pdf","81261530")</f>
        <v>81261530</v>
      </c>
      <c r="F1653" s="12" t="s">
        <v>13</v>
      </c>
      <c r="G1653" s="12" t="s">
        <v>4573</v>
      </c>
      <c r="H1653" s="9" t="s">
        <v>4574</v>
      </c>
      <c r="I1653" s="10">
        <v>45574</v>
      </c>
    </row>
    <row r="1654" spans="1:9" x14ac:dyDescent="0.15">
      <c r="A1654" s="9">
        <v>1653</v>
      </c>
      <c r="B1654" s="9" t="s">
        <v>9</v>
      </c>
      <c r="C1654" s="9">
        <v>1916</v>
      </c>
      <c r="D1654" s="10">
        <v>45646</v>
      </c>
      <c r="E1654" s="13" t="str">
        <f>+HYPERLINK("http://trademark.i-assist.jp/data/china/image_1916th/81261544.pdf","81261544")</f>
        <v>81261544</v>
      </c>
      <c r="F1654" s="12" t="s">
        <v>4575</v>
      </c>
      <c r="G1654" s="9" t="s">
        <v>4576</v>
      </c>
      <c r="H1654" s="12" t="s">
        <v>4577</v>
      </c>
      <c r="I1654" s="10">
        <v>45574</v>
      </c>
    </row>
    <row r="1655" spans="1:9" x14ac:dyDescent="0.15">
      <c r="A1655" s="9">
        <v>1654</v>
      </c>
      <c r="B1655" s="9" t="s">
        <v>9</v>
      </c>
      <c r="C1655" s="9">
        <v>1916</v>
      </c>
      <c r="D1655" s="10">
        <v>45646</v>
      </c>
      <c r="E1655" s="13" t="str">
        <f>+HYPERLINK("http://trademark.i-assist.jp/data/china/image_1916th/81261698.pdf","81261698")</f>
        <v>81261698</v>
      </c>
      <c r="F1655" s="9" t="s">
        <v>4578</v>
      </c>
      <c r="G1655" s="9" t="s">
        <v>4579</v>
      </c>
      <c r="H1655" s="12" t="s">
        <v>4580</v>
      </c>
      <c r="I1655" s="10">
        <v>45574</v>
      </c>
    </row>
    <row r="1656" spans="1:9" x14ac:dyDescent="0.15">
      <c r="A1656" s="9">
        <v>1655</v>
      </c>
      <c r="B1656" s="9" t="s">
        <v>9</v>
      </c>
      <c r="C1656" s="9">
        <v>1916</v>
      </c>
      <c r="D1656" s="10">
        <v>45646</v>
      </c>
      <c r="E1656" s="13" t="str">
        <f>+HYPERLINK("http://trademark.i-assist.jp/data/china/image_1916th/81261761.pdf","81261761")</f>
        <v>81261761</v>
      </c>
      <c r="F1656" s="9" t="s">
        <v>4581</v>
      </c>
      <c r="G1656" s="9" t="s">
        <v>4582</v>
      </c>
      <c r="H1656" s="9" t="s">
        <v>4583</v>
      </c>
      <c r="I1656" s="10">
        <v>45574</v>
      </c>
    </row>
    <row r="1657" spans="1:9" x14ac:dyDescent="0.15">
      <c r="A1657" s="9">
        <v>1656</v>
      </c>
      <c r="B1657" s="9" t="s">
        <v>9</v>
      </c>
      <c r="C1657" s="9">
        <v>1916</v>
      </c>
      <c r="D1657" s="10">
        <v>45646</v>
      </c>
      <c r="E1657" s="13" t="str">
        <f>+HYPERLINK("http://trademark.i-assist.jp/data/china/image_1916th/81261805.pdf","81261805")</f>
        <v>81261805</v>
      </c>
      <c r="F1657" s="9" t="s">
        <v>4584</v>
      </c>
      <c r="G1657" s="12" t="s">
        <v>2936</v>
      </c>
      <c r="H1657" s="9" t="s">
        <v>4585</v>
      </c>
      <c r="I1657" s="10">
        <v>45574</v>
      </c>
    </row>
    <row r="1658" spans="1:9" x14ac:dyDescent="0.15">
      <c r="A1658" s="9">
        <v>1657</v>
      </c>
      <c r="B1658" s="9" t="s">
        <v>9</v>
      </c>
      <c r="C1658" s="9">
        <v>1916</v>
      </c>
      <c r="D1658" s="10">
        <v>45646</v>
      </c>
      <c r="E1658" s="13" t="str">
        <f>+HYPERLINK("http://trademark.i-assist.jp/data/china/image_1916th/81262394.pdf","81262394")</f>
        <v>81262394</v>
      </c>
      <c r="F1658" s="9" t="s">
        <v>4586</v>
      </c>
      <c r="G1658" s="9" t="s">
        <v>4587</v>
      </c>
      <c r="H1658" s="9" t="s">
        <v>4588</v>
      </c>
      <c r="I1658" s="10">
        <v>45574</v>
      </c>
    </row>
    <row r="1659" spans="1:9" x14ac:dyDescent="0.15">
      <c r="A1659" s="9">
        <v>1658</v>
      </c>
      <c r="B1659" s="9" t="s">
        <v>9</v>
      </c>
      <c r="C1659" s="9">
        <v>1916</v>
      </c>
      <c r="D1659" s="10">
        <v>45646</v>
      </c>
      <c r="E1659" s="13" t="str">
        <f>+HYPERLINK("http://trademark.i-assist.jp/data/china/image_1916th/81262427.pdf","81262427")</f>
        <v>81262427</v>
      </c>
      <c r="F1659" s="12" t="s">
        <v>4589</v>
      </c>
      <c r="G1659" s="9" t="s">
        <v>4590</v>
      </c>
      <c r="H1659" s="9" t="s">
        <v>4591</v>
      </c>
      <c r="I1659" s="10">
        <v>45574</v>
      </c>
    </row>
    <row r="1660" spans="1:9" x14ac:dyDescent="0.15">
      <c r="A1660" s="9">
        <v>1659</v>
      </c>
      <c r="B1660" s="9" t="s">
        <v>9</v>
      </c>
      <c r="C1660" s="9">
        <v>1916</v>
      </c>
      <c r="D1660" s="10">
        <v>45646</v>
      </c>
      <c r="E1660" s="13" t="str">
        <f>+HYPERLINK("http://trademark.i-assist.jp/data/china/image_1916th/81262457.pdf","81262457")</f>
        <v>81262457</v>
      </c>
      <c r="F1660" s="9" t="s">
        <v>4592</v>
      </c>
      <c r="G1660" s="12" t="s">
        <v>4593</v>
      </c>
      <c r="H1660" s="9" t="s">
        <v>4594</v>
      </c>
      <c r="I1660" s="10">
        <v>45574</v>
      </c>
    </row>
    <row r="1661" spans="1:9" x14ac:dyDescent="0.15">
      <c r="A1661" s="9">
        <v>1660</v>
      </c>
      <c r="B1661" s="9" t="s">
        <v>9</v>
      </c>
      <c r="C1661" s="9">
        <v>1916</v>
      </c>
      <c r="D1661" s="10">
        <v>45646</v>
      </c>
      <c r="E1661" s="13" t="str">
        <f>+HYPERLINK("http://trademark.i-assist.jp/data/china/image_1916th/81262483.pdf","81262483")</f>
        <v>81262483</v>
      </c>
      <c r="F1661" s="12" t="s">
        <v>4595</v>
      </c>
      <c r="G1661" s="9" t="s">
        <v>4596</v>
      </c>
      <c r="H1661" s="12" t="s">
        <v>4597</v>
      </c>
      <c r="I1661" s="10">
        <v>45574</v>
      </c>
    </row>
    <row r="1662" spans="1:9" x14ac:dyDescent="0.15">
      <c r="A1662" s="9">
        <v>1661</v>
      </c>
      <c r="B1662" s="9" t="s">
        <v>9</v>
      </c>
      <c r="C1662" s="9">
        <v>1916</v>
      </c>
      <c r="D1662" s="10">
        <v>45646</v>
      </c>
      <c r="E1662" s="13" t="str">
        <f>+HYPERLINK("http://trademark.i-assist.jp/data/china/image_1916th/81263388.pdf","81263388")</f>
        <v>81263388</v>
      </c>
      <c r="F1662" s="9" t="s">
        <v>4598</v>
      </c>
      <c r="G1662" s="9" t="s">
        <v>4599</v>
      </c>
      <c r="H1662" s="9" t="s">
        <v>4600</v>
      </c>
      <c r="I1662" s="10">
        <v>45574</v>
      </c>
    </row>
    <row r="1663" spans="1:9" x14ac:dyDescent="0.15">
      <c r="A1663" s="9">
        <v>1662</v>
      </c>
      <c r="B1663" s="9" t="s">
        <v>9</v>
      </c>
      <c r="C1663" s="9">
        <v>1916</v>
      </c>
      <c r="D1663" s="10">
        <v>45646</v>
      </c>
      <c r="E1663" s="13" t="str">
        <f>+HYPERLINK("http://trademark.i-assist.jp/data/china/image_1916th/81263393.pdf","81263393")</f>
        <v>81263393</v>
      </c>
      <c r="F1663" s="9" t="s">
        <v>4601</v>
      </c>
      <c r="G1663" s="12" t="s">
        <v>4602</v>
      </c>
      <c r="H1663" s="9" t="s">
        <v>4603</v>
      </c>
      <c r="I1663" s="10">
        <v>45574</v>
      </c>
    </row>
    <row r="1664" spans="1:9" x14ac:dyDescent="0.15">
      <c r="A1664" s="9">
        <v>1663</v>
      </c>
      <c r="B1664" s="9" t="s">
        <v>9</v>
      </c>
      <c r="C1664" s="9">
        <v>1916</v>
      </c>
      <c r="D1664" s="10">
        <v>45646</v>
      </c>
      <c r="E1664" s="13" t="str">
        <f>+HYPERLINK("http://trademark.i-assist.jp/data/china/image_1916th/81264008.pdf","81264008")</f>
        <v>81264008</v>
      </c>
      <c r="F1664" s="9" t="s">
        <v>4604</v>
      </c>
      <c r="G1664" s="12" t="s">
        <v>30</v>
      </c>
      <c r="H1664" s="9" t="s">
        <v>4605</v>
      </c>
      <c r="I1664" s="10">
        <v>45574</v>
      </c>
    </row>
    <row r="1665" spans="1:9" x14ac:dyDescent="0.15">
      <c r="A1665" s="9">
        <v>1664</v>
      </c>
      <c r="B1665" s="9" t="s">
        <v>9</v>
      </c>
      <c r="C1665" s="9">
        <v>1916</v>
      </c>
      <c r="D1665" s="10">
        <v>45646</v>
      </c>
      <c r="E1665" s="13" t="str">
        <f>+HYPERLINK("http://trademark.i-assist.jp/data/china/image_1916th/81264074.pdf","81264074")</f>
        <v>81264074</v>
      </c>
      <c r="F1665" s="9" t="s">
        <v>4606</v>
      </c>
      <c r="G1665" s="9" t="s">
        <v>4607</v>
      </c>
      <c r="H1665" s="9" t="s">
        <v>4608</v>
      </c>
      <c r="I1665" s="10">
        <v>45574</v>
      </c>
    </row>
    <row r="1666" spans="1:9" x14ac:dyDescent="0.15">
      <c r="A1666" s="9">
        <v>1665</v>
      </c>
      <c r="B1666" s="9" t="s">
        <v>9</v>
      </c>
      <c r="C1666" s="9">
        <v>1916</v>
      </c>
      <c r="D1666" s="10">
        <v>45646</v>
      </c>
      <c r="E1666" s="13" t="str">
        <f>+HYPERLINK("http://trademark.i-assist.jp/data/china/image_1916th/81264846.pdf","81264846")</f>
        <v>81264846</v>
      </c>
      <c r="F1666" s="12" t="s">
        <v>4609</v>
      </c>
      <c r="G1666" s="12" t="s">
        <v>4610</v>
      </c>
      <c r="H1666" s="9" t="s">
        <v>4611</v>
      </c>
      <c r="I1666" s="10">
        <v>45574</v>
      </c>
    </row>
    <row r="1667" spans="1:9" x14ac:dyDescent="0.15">
      <c r="A1667" s="9">
        <v>1666</v>
      </c>
      <c r="B1667" s="9" t="s">
        <v>9</v>
      </c>
      <c r="C1667" s="9">
        <v>1916</v>
      </c>
      <c r="D1667" s="10">
        <v>45646</v>
      </c>
      <c r="E1667" s="13" t="str">
        <f>+HYPERLINK("http://trademark.i-assist.jp/data/china/image_1916th/81264914.pdf","81264914")</f>
        <v>81264914</v>
      </c>
      <c r="F1667" s="9" t="s">
        <v>4612</v>
      </c>
      <c r="G1667" s="12" t="s">
        <v>4613</v>
      </c>
      <c r="H1667" s="9" t="s">
        <v>4614</v>
      </c>
      <c r="I1667" s="10">
        <v>45574</v>
      </c>
    </row>
    <row r="1668" spans="1:9" x14ac:dyDescent="0.15">
      <c r="A1668" s="9">
        <v>1667</v>
      </c>
      <c r="B1668" s="9" t="s">
        <v>9</v>
      </c>
      <c r="C1668" s="9">
        <v>1916</v>
      </c>
      <c r="D1668" s="10">
        <v>45646</v>
      </c>
      <c r="E1668" s="13" t="str">
        <f>+HYPERLINK("http://trademark.i-assist.jp/data/china/image_1916th/81265338.pdf","81265338")</f>
        <v>81265338</v>
      </c>
      <c r="F1668" s="9" t="s">
        <v>4615</v>
      </c>
      <c r="G1668" s="12" t="s">
        <v>4593</v>
      </c>
      <c r="H1668" s="9" t="s">
        <v>4616</v>
      </c>
      <c r="I1668" s="10">
        <v>45574</v>
      </c>
    </row>
    <row r="1669" spans="1:9" x14ac:dyDescent="0.15">
      <c r="A1669" s="9">
        <v>1668</v>
      </c>
      <c r="B1669" s="9" t="s">
        <v>9</v>
      </c>
      <c r="C1669" s="9">
        <v>1916</v>
      </c>
      <c r="D1669" s="10">
        <v>45646</v>
      </c>
      <c r="E1669" s="13" t="str">
        <f>+HYPERLINK("http://trademark.i-assist.jp/data/china/image_1916th/81265434.pdf","81265434")</f>
        <v>81265434</v>
      </c>
      <c r="F1669" s="9" t="s">
        <v>4617</v>
      </c>
      <c r="G1669" s="9" t="s">
        <v>4618</v>
      </c>
      <c r="H1669" s="9" t="s">
        <v>4619</v>
      </c>
      <c r="I1669" s="10">
        <v>45574</v>
      </c>
    </row>
    <row r="1670" spans="1:9" x14ac:dyDescent="0.15">
      <c r="A1670" s="9">
        <v>1669</v>
      </c>
      <c r="B1670" s="9" t="s">
        <v>9</v>
      </c>
      <c r="C1670" s="9">
        <v>1916</v>
      </c>
      <c r="D1670" s="10">
        <v>45646</v>
      </c>
      <c r="E1670" s="13" t="str">
        <f>+HYPERLINK("http://trademark.i-assist.jp/data/china/image_1916th/81265569.pdf","81265569")</f>
        <v>81265569</v>
      </c>
      <c r="F1670" s="12" t="s">
        <v>13</v>
      </c>
      <c r="G1670" s="9" t="s">
        <v>4620</v>
      </c>
      <c r="H1670" s="9" t="s">
        <v>4621</v>
      </c>
      <c r="I1670" s="10">
        <v>45574</v>
      </c>
    </row>
    <row r="1671" spans="1:9" x14ac:dyDescent="0.15">
      <c r="A1671" s="9">
        <v>1670</v>
      </c>
      <c r="B1671" s="9" t="s">
        <v>9</v>
      </c>
      <c r="C1671" s="9">
        <v>1916</v>
      </c>
      <c r="D1671" s="10">
        <v>45646</v>
      </c>
      <c r="E1671" s="13" t="str">
        <f>+HYPERLINK("http://trademark.i-assist.jp/data/china/image_1916th/81266362.pdf","81266362")</f>
        <v>81266362</v>
      </c>
      <c r="F1671" s="12" t="s">
        <v>4622</v>
      </c>
      <c r="G1671" s="12" t="s">
        <v>4623</v>
      </c>
      <c r="H1671" s="9" t="s">
        <v>4624</v>
      </c>
      <c r="I1671" s="10">
        <v>45574</v>
      </c>
    </row>
    <row r="1672" spans="1:9" x14ac:dyDescent="0.15">
      <c r="A1672" s="9">
        <v>1671</v>
      </c>
      <c r="B1672" s="9" t="s">
        <v>9</v>
      </c>
      <c r="C1672" s="9">
        <v>1916</v>
      </c>
      <c r="D1672" s="10">
        <v>45646</v>
      </c>
      <c r="E1672" s="13" t="str">
        <f>+HYPERLINK("http://trademark.i-assist.jp/data/china/image_1916th/81266532.pdf","81266532")</f>
        <v>81266532</v>
      </c>
      <c r="F1672" s="9" t="s">
        <v>4625</v>
      </c>
      <c r="G1672" s="9" t="s">
        <v>4626</v>
      </c>
      <c r="H1672" s="9" t="s">
        <v>4627</v>
      </c>
      <c r="I1672" s="10">
        <v>45574</v>
      </c>
    </row>
    <row r="1673" spans="1:9" x14ac:dyDescent="0.15">
      <c r="A1673" s="9">
        <v>1672</v>
      </c>
      <c r="B1673" s="9" t="s">
        <v>9</v>
      </c>
      <c r="C1673" s="9">
        <v>1916</v>
      </c>
      <c r="D1673" s="10">
        <v>45646</v>
      </c>
      <c r="E1673" s="13" t="str">
        <f>+HYPERLINK("http://trademark.i-assist.jp/data/china/image_1916th/81267328.pdf","81267328")</f>
        <v>81267328</v>
      </c>
      <c r="F1673" s="12" t="s">
        <v>4628</v>
      </c>
      <c r="G1673" s="12" t="s">
        <v>4629</v>
      </c>
      <c r="H1673" s="12" t="s">
        <v>4630</v>
      </c>
      <c r="I1673" s="10">
        <v>45574</v>
      </c>
    </row>
    <row r="1674" spans="1:9" x14ac:dyDescent="0.15">
      <c r="A1674" s="9">
        <v>1673</v>
      </c>
      <c r="B1674" s="9" t="s">
        <v>9</v>
      </c>
      <c r="C1674" s="9">
        <v>1916</v>
      </c>
      <c r="D1674" s="10">
        <v>45646</v>
      </c>
      <c r="E1674" s="13" t="str">
        <f>+HYPERLINK("http://trademark.i-assist.jp/data/china/image_1916th/81267555.pdf","81267555")</f>
        <v>81267555</v>
      </c>
      <c r="F1674" s="9" t="s">
        <v>4631</v>
      </c>
      <c r="G1674" s="9" t="s">
        <v>4542</v>
      </c>
      <c r="H1674" s="9" t="s">
        <v>4632</v>
      </c>
      <c r="I1674" s="10">
        <v>45574</v>
      </c>
    </row>
    <row r="1675" spans="1:9" x14ac:dyDescent="0.15">
      <c r="A1675" s="9">
        <v>1674</v>
      </c>
      <c r="B1675" s="9" t="s">
        <v>9</v>
      </c>
      <c r="C1675" s="9">
        <v>1916</v>
      </c>
      <c r="D1675" s="10">
        <v>45646</v>
      </c>
      <c r="E1675" s="13" t="str">
        <f>+HYPERLINK("http://trademark.i-assist.jp/data/china/image_1916th/81267731.pdf","81267731")</f>
        <v>81267731</v>
      </c>
      <c r="F1675" s="9" t="s">
        <v>4633</v>
      </c>
      <c r="G1675" s="12" t="s">
        <v>4634</v>
      </c>
      <c r="H1675" s="9" t="s">
        <v>4635</v>
      </c>
      <c r="I1675" s="10">
        <v>45574</v>
      </c>
    </row>
    <row r="1676" spans="1:9" x14ac:dyDescent="0.15">
      <c r="A1676" s="9">
        <v>1675</v>
      </c>
      <c r="B1676" s="9" t="s">
        <v>9</v>
      </c>
      <c r="C1676" s="9">
        <v>1916</v>
      </c>
      <c r="D1676" s="10">
        <v>45646</v>
      </c>
      <c r="E1676" s="13" t="str">
        <f>+HYPERLINK("http://trademark.i-assist.jp/data/china/image_1916th/81267956.pdf","81267956")</f>
        <v>81267956</v>
      </c>
      <c r="F1676" s="12" t="s">
        <v>4636</v>
      </c>
      <c r="G1676" s="12" t="s">
        <v>2870</v>
      </c>
      <c r="H1676" s="9" t="s">
        <v>4637</v>
      </c>
      <c r="I1676" s="10">
        <v>45574</v>
      </c>
    </row>
    <row r="1677" spans="1:9" x14ac:dyDescent="0.15">
      <c r="A1677" s="9">
        <v>1676</v>
      </c>
      <c r="B1677" s="9" t="s">
        <v>9</v>
      </c>
      <c r="C1677" s="9">
        <v>1916</v>
      </c>
      <c r="D1677" s="10">
        <v>45646</v>
      </c>
      <c r="E1677" s="13" t="str">
        <f>+HYPERLINK("http://trademark.i-assist.jp/data/china/image_1916th/81269848.pdf","81269848")</f>
        <v>81269848</v>
      </c>
      <c r="F1677" s="12" t="s">
        <v>4638</v>
      </c>
      <c r="G1677" s="9" t="s">
        <v>4562</v>
      </c>
      <c r="H1677" s="9" t="s">
        <v>4639</v>
      </c>
      <c r="I1677" s="10">
        <v>45574</v>
      </c>
    </row>
    <row r="1678" spans="1:9" x14ac:dyDescent="0.15">
      <c r="A1678" s="9">
        <v>1677</v>
      </c>
      <c r="B1678" s="9" t="s">
        <v>9</v>
      </c>
      <c r="C1678" s="9">
        <v>1916</v>
      </c>
      <c r="D1678" s="10">
        <v>45646</v>
      </c>
      <c r="E1678" s="13" t="str">
        <f>+HYPERLINK("http://trademark.i-assist.jp/data/china/image_1916th/81269855.pdf","81269855")</f>
        <v>81269855</v>
      </c>
      <c r="F1678" s="12" t="s">
        <v>4640</v>
      </c>
      <c r="G1678" s="12" t="s">
        <v>4641</v>
      </c>
      <c r="H1678" s="9" t="s">
        <v>4642</v>
      </c>
      <c r="I1678" s="10">
        <v>45574</v>
      </c>
    </row>
    <row r="1679" spans="1:9" x14ac:dyDescent="0.15">
      <c r="A1679" s="9">
        <v>1678</v>
      </c>
      <c r="B1679" s="9" t="s">
        <v>9</v>
      </c>
      <c r="C1679" s="9">
        <v>1916</v>
      </c>
      <c r="D1679" s="10">
        <v>45646</v>
      </c>
      <c r="E1679" s="13" t="str">
        <f>+HYPERLINK("http://trademark.i-assist.jp/data/china/image_1916th/81269887.pdf","81269887")</f>
        <v>81269887</v>
      </c>
      <c r="F1679" s="9" t="s">
        <v>4643</v>
      </c>
      <c r="G1679" s="9" t="s">
        <v>4644</v>
      </c>
      <c r="H1679" s="12" t="s">
        <v>4645</v>
      </c>
      <c r="I1679" s="10">
        <v>45574</v>
      </c>
    </row>
    <row r="1680" spans="1:9" x14ac:dyDescent="0.15">
      <c r="A1680" s="9">
        <v>1679</v>
      </c>
      <c r="B1680" s="9" t="s">
        <v>9</v>
      </c>
      <c r="C1680" s="9">
        <v>1916</v>
      </c>
      <c r="D1680" s="10">
        <v>45646</v>
      </c>
      <c r="E1680" s="13" t="str">
        <f>+HYPERLINK("http://trademark.i-assist.jp/data/china/image_1916th/81270122.pdf","81270122")</f>
        <v>81270122</v>
      </c>
      <c r="F1680" s="12" t="s">
        <v>4646</v>
      </c>
      <c r="G1680" s="9" t="s">
        <v>4559</v>
      </c>
      <c r="H1680" s="9" t="s">
        <v>4647</v>
      </c>
      <c r="I1680" s="10">
        <v>45574</v>
      </c>
    </row>
    <row r="1681" spans="1:9" x14ac:dyDescent="0.15">
      <c r="A1681" s="9">
        <v>1680</v>
      </c>
      <c r="B1681" s="9" t="s">
        <v>9</v>
      </c>
      <c r="C1681" s="9">
        <v>1916</v>
      </c>
      <c r="D1681" s="10">
        <v>45646</v>
      </c>
      <c r="E1681" s="13" t="str">
        <f>+HYPERLINK("http://trademark.i-assist.jp/data/china/image_1916th/81270397.pdf","81270397")</f>
        <v>81270397</v>
      </c>
      <c r="F1681" s="9" t="s">
        <v>4648</v>
      </c>
      <c r="G1681" s="9" t="s">
        <v>4649</v>
      </c>
      <c r="H1681" s="9" t="s">
        <v>4650</v>
      </c>
      <c r="I1681" s="10">
        <v>45574</v>
      </c>
    </row>
    <row r="1682" spans="1:9" x14ac:dyDescent="0.15">
      <c r="A1682" s="9">
        <v>1681</v>
      </c>
      <c r="B1682" s="9" t="s">
        <v>9</v>
      </c>
      <c r="C1682" s="9">
        <v>1916</v>
      </c>
      <c r="D1682" s="10">
        <v>45646</v>
      </c>
      <c r="E1682" s="13" t="str">
        <f>+HYPERLINK("http://trademark.i-assist.jp/data/china/image_1916th/81270725.pdf","81270725")</f>
        <v>81270725</v>
      </c>
      <c r="F1682" s="12" t="s">
        <v>4651</v>
      </c>
      <c r="G1682" s="9" t="s">
        <v>4652</v>
      </c>
      <c r="H1682" s="9" t="s">
        <v>4653</v>
      </c>
      <c r="I1682" s="10">
        <v>45574</v>
      </c>
    </row>
    <row r="1683" spans="1:9" x14ac:dyDescent="0.15">
      <c r="A1683" s="9">
        <v>1682</v>
      </c>
      <c r="B1683" s="9" t="s">
        <v>9</v>
      </c>
      <c r="C1683" s="9">
        <v>1916</v>
      </c>
      <c r="D1683" s="10">
        <v>45646</v>
      </c>
      <c r="E1683" s="13" t="str">
        <f>+HYPERLINK("http://trademark.i-assist.jp/data/china/image_1916th/81271367.pdf","81271367")</f>
        <v>81271367</v>
      </c>
      <c r="F1683" s="12" t="s">
        <v>4654</v>
      </c>
      <c r="G1683" s="9" t="s">
        <v>4562</v>
      </c>
      <c r="H1683" s="9" t="s">
        <v>4655</v>
      </c>
      <c r="I1683" s="10">
        <v>45574</v>
      </c>
    </row>
    <row r="1684" spans="1:9" x14ac:dyDescent="0.15">
      <c r="A1684" s="9">
        <v>1683</v>
      </c>
      <c r="B1684" s="9" t="s">
        <v>9</v>
      </c>
      <c r="C1684" s="9">
        <v>1916</v>
      </c>
      <c r="D1684" s="10">
        <v>45646</v>
      </c>
      <c r="E1684" s="13" t="str">
        <f>+HYPERLINK("http://trademark.i-assist.jp/data/china/image_1916th/81271483.pdf","81271483")</f>
        <v>81271483</v>
      </c>
      <c r="F1684" s="9" t="s">
        <v>4656</v>
      </c>
      <c r="G1684" s="12" t="s">
        <v>4602</v>
      </c>
      <c r="H1684" s="9" t="s">
        <v>4657</v>
      </c>
      <c r="I1684" s="10">
        <v>45574</v>
      </c>
    </row>
    <row r="1685" spans="1:9" x14ac:dyDescent="0.15">
      <c r="A1685" s="9">
        <v>1684</v>
      </c>
      <c r="B1685" s="9" t="s">
        <v>9</v>
      </c>
      <c r="C1685" s="9">
        <v>1916</v>
      </c>
      <c r="D1685" s="10">
        <v>45646</v>
      </c>
      <c r="E1685" s="13" t="str">
        <f>+HYPERLINK("http://trademark.i-assist.jp/data/china/image_1916th/81271586.pdf","81271586")</f>
        <v>81271586</v>
      </c>
      <c r="F1685" s="9" t="s">
        <v>4658</v>
      </c>
      <c r="G1685" s="9" t="s">
        <v>2742</v>
      </c>
      <c r="H1685" s="9" t="s">
        <v>4659</v>
      </c>
      <c r="I1685" s="10">
        <v>45574</v>
      </c>
    </row>
    <row r="1686" spans="1:9" x14ac:dyDescent="0.15">
      <c r="A1686" s="9">
        <v>1685</v>
      </c>
      <c r="B1686" s="9" t="s">
        <v>9</v>
      </c>
      <c r="C1686" s="9">
        <v>1916</v>
      </c>
      <c r="D1686" s="10">
        <v>45646</v>
      </c>
      <c r="E1686" s="13" t="str">
        <f>+HYPERLINK("http://trademark.i-assist.jp/data/china/image_1916th/81271739.pdf","81271739")</f>
        <v>81271739</v>
      </c>
      <c r="F1686" s="9" t="s">
        <v>4660</v>
      </c>
      <c r="G1686" s="9" t="s">
        <v>4661</v>
      </c>
      <c r="H1686" s="9" t="s">
        <v>4662</v>
      </c>
      <c r="I1686" s="10">
        <v>45574</v>
      </c>
    </row>
    <row r="1687" spans="1:9" x14ac:dyDescent="0.15">
      <c r="A1687" s="9">
        <v>1686</v>
      </c>
      <c r="B1687" s="9" t="s">
        <v>9</v>
      </c>
      <c r="C1687" s="9">
        <v>1916</v>
      </c>
      <c r="D1687" s="10">
        <v>45646</v>
      </c>
      <c r="E1687" s="13" t="str">
        <f>+HYPERLINK("http://trademark.i-assist.jp/data/china/image_1916th/81271785.pdf","81271785")</f>
        <v>81271785</v>
      </c>
      <c r="F1687" s="9" t="s">
        <v>4663</v>
      </c>
      <c r="G1687" s="12" t="s">
        <v>4664</v>
      </c>
      <c r="H1687" s="9" t="s">
        <v>4665</v>
      </c>
      <c r="I1687" s="10">
        <v>45574</v>
      </c>
    </row>
    <row r="1688" spans="1:9" x14ac:dyDescent="0.15">
      <c r="A1688" s="9">
        <v>1687</v>
      </c>
      <c r="B1688" s="9" t="s">
        <v>9</v>
      </c>
      <c r="C1688" s="9">
        <v>1916</v>
      </c>
      <c r="D1688" s="10">
        <v>45646</v>
      </c>
      <c r="E1688" s="13" t="str">
        <f>+HYPERLINK("http://trademark.i-assist.jp/data/china/image_1916th/81272085.pdf","81272085")</f>
        <v>81272085</v>
      </c>
      <c r="F1688" s="9" t="s">
        <v>4666</v>
      </c>
      <c r="G1688" s="9" t="s">
        <v>4531</v>
      </c>
      <c r="H1688" s="9" t="s">
        <v>4667</v>
      </c>
      <c r="I1688" s="10">
        <v>45574</v>
      </c>
    </row>
    <row r="1689" spans="1:9" x14ac:dyDescent="0.15">
      <c r="A1689" s="9">
        <v>1688</v>
      </c>
      <c r="B1689" s="9" t="s">
        <v>9</v>
      </c>
      <c r="C1689" s="9">
        <v>1916</v>
      </c>
      <c r="D1689" s="10">
        <v>45646</v>
      </c>
      <c r="E1689" s="13" t="str">
        <f>+HYPERLINK("http://trademark.i-assist.jp/data/china/image_1916th/81272659.pdf","81272659")</f>
        <v>81272659</v>
      </c>
      <c r="F1689" s="12" t="s">
        <v>4668</v>
      </c>
      <c r="G1689" s="12" t="s">
        <v>4669</v>
      </c>
      <c r="H1689" s="9" t="s">
        <v>4670</v>
      </c>
      <c r="I1689" s="10">
        <v>45574</v>
      </c>
    </row>
    <row r="1690" spans="1:9" x14ac:dyDescent="0.15">
      <c r="A1690" s="9">
        <v>1689</v>
      </c>
      <c r="B1690" s="9" t="s">
        <v>9</v>
      </c>
      <c r="C1690" s="9">
        <v>1916</v>
      </c>
      <c r="D1690" s="10">
        <v>45646</v>
      </c>
      <c r="E1690" s="13" t="str">
        <f>+HYPERLINK("http://trademark.i-assist.jp/data/china/image_1916th/81272696.pdf","81272696")</f>
        <v>81272696</v>
      </c>
      <c r="F1690" s="9" t="s">
        <v>4671</v>
      </c>
      <c r="G1690" s="9" t="s">
        <v>4672</v>
      </c>
      <c r="H1690" s="9" t="s">
        <v>4673</v>
      </c>
      <c r="I1690" s="10">
        <v>45574</v>
      </c>
    </row>
    <row r="1691" spans="1:9" x14ac:dyDescent="0.15">
      <c r="A1691" s="9">
        <v>1690</v>
      </c>
      <c r="B1691" s="9" t="s">
        <v>9</v>
      </c>
      <c r="C1691" s="9">
        <v>1916</v>
      </c>
      <c r="D1691" s="10">
        <v>45646</v>
      </c>
      <c r="E1691" s="13" t="str">
        <f>+HYPERLINK("http://trademark.i-assist.jp/data/china/image_1916th/81273747.pdf","81273747")</f>
        <v>81273747</v>
      </c>
      <c r="F1691" s="9" t="s">
        <v>4674</v>
      </c>
      <c r="G1691" s="9" t="s">
        <v>4542</v>
      </c>
      <c r="H1691" s="9" t="s">
        <v>4675</v>
      </c>
      <c r="I1691" s="10">
        <v>45574</v>
      </c>
    </row>
    <row r="1692" spans="1:9" x14ac:dyDescent="0.15">
      <c r="A1692" s="9">
        <v>1691</v>
      </c>
      <c r="B1692" s="9" t="s">
        <v>9</v>
      </c>
      <c r="C1692" s="9">
        <v>1916</v>
      </c>
      <c r="D1692" s="10">
        <v>45646</v>
      </c>
      <c r="E1692" s="13" t="str">
        <f>+HYPERLINK("http://trademark.i-assist.jp/data/china/image_1916th/81273802.pdf","81273802")</f>
        <v>81273802</v>
      </c>
      <c r="F1692" s="9" t="s">
        <v>4676</v>
      </c>
      <c r="G1692" s="9" t="s">
        <v>4626</v>
      </c>
      <c r="H1692" s="9" t="s">
        <v>4677</v>
      </c>
      <c r="I1692" s="10">
        <v>45574</v>
      </c>
    </row>
    <row r="1693" spans="1:9" x14ac:dyDescent="0.15">
      <c r="A1693" s="9">
        <v>1692</v>
      </c>
      <c r="B1693" s="9" t="s">
        <v>9</v>
      </c>
      <c r="C1693" s="9">
        <v>1916</v>
      </c>
      <c r="D1693" s="10">
        <v>45646</v>
      </c>
      <c r="E1693" s="13" t="str">
        <f>+HYPERLINK("http://trademark.i-assist.jp/data/china/image_1916th/81273915.pdf","81273915")</f>
        <v>81273915</v>
      </c>
      <c r="F1693" s="9" t="s">
        <v>4678</v>
      </c>
      <c r="G1693" s="12" t="s">
        <v>4679</v>
      </c>
      <c r="H1693" s="9" t="s">
        <v>4680</v>
      </c>
      <c r="I1693" s="10">
        <v>45574</v>
      </c>
    </row>
    <row r="1694" spans="1:9" x14ac:dyDescent="0.15">
      <c r="A1694" s="9">
        <v>1693</v>
      </c>
      <c r="B1694" s="9" t="s">
        <v>9</v>
      </c>
      <c r="C1694" s="9">
        <v>1916</v>
      </c>
      <c r="D1694" s="10">
        <v>45646</v>
      </c>
      <c r="E1694" s="13" t="str">
        <f>+HYPERLINK("http://trademark.i-assist.jp/data/china/image_1916th/81274041.pdf","81274041")</f>
        <v>81274041</v>
      </c>
      <c r="F1694" s="9" t="s">
        <v>4681</v>
      </c>
      <c r="G1694" s="9" t="s">
        <v>4682</v>
      </c>
      <c r="H1694" s="9" t="s">
        <v>4683</v>
      </c>
      <c r="I1694" s="10">
        <v>45574</v>
      </c>
    </row>
    <row r="1695" spans="1:9" x14ac:dyDescent="0.15">
      <c r="A1695" s="9">
        <v>1694</v>
      </c>
      <c r="B1695" s="9" t="s">
        <v>9</v>
      </c>
      <c r="C1695" s="9">
        <v>1916</v>
      </c>
      <c r="D1695" s="10">
        <v>45646</v>
      </c>
      <c r="E1695" s="13" t="str">
        <f>+HYPERLINK("http://trademark.i-assist.jp/data/china/image_1916th/81274347.pdf","81274347")</f>
        <v>81274347</v>
      </c>
      <c r="F1695" s="9" t="s">
        <v>4684</v>
      </c>
      <c r="G1695" s="12" t="s">
        <v>4685</v>
      </c>
      <c r="H1695" s="9" t="s">
        <v>4686</v>
      </c>
      <c r="I1695" s="10">
        <v>45574</v>
      </c>
    </row>
    <row r="1696" spans="1:9" x14ac:dyDescent="0.15">
      <c r="A1696" s="9">
        <v>1695</v>
      </c>
      <c r="B1696" s="9" t="s">
        <v>9</v>
      </c>
      <c r="C1696" s="9">
        <v>1916</v>
      </c>
      <c r="D1696" s="10">
        <v>45646</v>
      </c>
      <c r="E1696" s="13" t="str">
        <f>+HYPERLINK("http://trademark.i-assist.jp/data/china/image_1916th/81274369.pdf","81274369")</f>
        <v>81274369</v>
      </c>
      <c r="F1696" s="9" t="s">
        <v>4687</v>
      </c>
      <c r="G1696" s="9" t="s">
        <v>4688</v>
      </c>
      <c r="H1696" s="9" t="s">
        <v>4689</v>
      </c>
      <c r="I1696" s="10">
        <v>45574</v>
      </c>
    </row>
    <row r="1697" spans="1:9" x14ac:dyDescent="0.15">
      <c r="A1697" s="9">
        <v>1696</v>
      </c>
      <c r="B1697" s="9" t="s">
        <v>9</v>
      </c>
      <c r="C1697" s="9">
        <v>1916</v>
      </c>
      <c r="D1697" s="10">
        <v>45646</v>
      </c>
      <c r="E1697" s="13" t="str">
        <f>+HYPERLINK("http://trademark.i-assist.jp/data/china/image_1916th/81274626.pdf","81274626")</f>
        <v>81274626</v>
      </c>
      <c r="F1697" s="9" t="s">
        <v>4690</v>
      </c>
      <c r="G1697" s="12" t="s">
        <v>4691</v>
      </c>
      <c r="H1697" s="9" t="s">
        <v>4692</v>
      </c>
      <c r="I1697" s="10">
        <v>45574</v>
      </c>
    </row>
    <row r="1698" spans="1:9" x14ac:dyDescent="0.15">
      <c r="A1698" s="9">
        <v>1697</v>
      </c>
      <c r="B1698" s="9" t="s">
        <v>9</v>
      </c>
      <c r="C1698" s="9">
        <v>1916</v>
      </c>
      <c r="D1698" s="10">
        <v>45646</v>
      </c>
      <c r="E1698" s="13" t="str">
        <f>+HYPERLINK("http://trademark.i-assist.jp/data/china/image_1916th/81274750.pdf","81274750")</f>
        <v>81274750</v>
      </c>
      <c r="F1698" s="9" t="s">
        <v>4693</v>
      </c>
      <c r="G1698" s="9" t="s">
        <v>4694</v>
      </c>
      <c r="H1698" s="9" t="s">
        <v>4695</v>
      </c>
      <c r="I1698" s="10">
        <v>45574</v>
      </c>
    </row>
    <row r="1699" spans="1:9" x14ac:dyDescent="0.15">
      <c r="A1699" s="9">
        <v>1698</v>
      </c>
      <c r="B1699" s="9" t="s">
        <v>9</v>
      </c>
      <c r="C1699" s="9">
        <v>1916</v>
      </c>
      <c r="D1699" s="10">
        <v>45646</v>
      </c>
      <c r="E1699" s="13" t="str">
        <f>+HYPERLINK("http://trademark.i-assist.jp/data/china/image_1916th/81274836.pdf","81274836")</f>
        <v>81274836</v>
      </c>
      <c r="F1699" s="9" t="s">
        <v>4696</v>
      </c>
      <c r="G1699" s="9" t="s">
        <v>4697</v>
      </c>
      <c r="H1699" s="9" t="s">
        <v>4698</v>
      </c>
      <c r="I1699" s="10">
        <v>45574</v>
      </c>
    </row>
    <row r="1700" spans="1:9" x14ac:dyDescent="0.15">
      <c r="A1700" s="9">
        <v>1699</v>
      </c>
      <c r="B1700" s="9" t="s">
        <v>9</v>
      </c>
      <c r="C1700" s="9">
        <v>1916</v>
      </c>
      <c r="D1700" s="10">
        <v>45646</v>
      </c>
      <c r="E1700" s="13" t="str">
        <f>+HYPERLINK("http://trademark.i-assist.jp/data/china/image_1916th/81274939.pdf","81274939")</f>
        <v>81274939</v>
      </c>
      <c r="F1700" s="9" t="s">
        <v>4699</v>
      </c>
      <c r="G1700" s="12" t="s">
        <v>4700</v>
      </c>
      <c r="H1700" s="12" t="s">
        <v>4701</v>
      </c>
      <c r="I1700" s="10">
        <v>45574</v>
      </c>
    </row>
    <row r="1701" spans="1:9" x14ac:dyDescent="0.15">
      <c r="A1701" s="9">
        <v>1700</v>
      </c>
      <c r="B1701" s="9" t="s">
        <v>9</v>
      </c>
      <c r="C1701" s="9">
        <v>1916</v>
      </c>
      <c r="D1701" s="10">
        <v>45646</v>
      </c>
      <c r="E1701" s="13" t="str">
        <f>+HYPERLINK("http://trademark.i-assist.jp/data/china/image_1916th/81275065.pdf","81275065")</f>
        <v>81275065</v>
      </c>
      <c r="F1701" s="9" t="s">
        <v>4702</v>
      </c>
      <c r="G1701" s="9" t="s">
        <v>4703</v>
      </c>
      <c r="H1701" s="9" t="s">
        <v>4704</v>
      </c>
      <c r="I1701" s="10">
        <v>45574</v>
      </c>
    </row>
    <row r="1702" spans="1:9" x14ac:dyDescent="0.15">
      <c r="A1702" s="9">
        <v>1701</v>
      </c>
      <c r="B1702" s="9" t="s">
        <v>9</v>
      </c>
      <c r="C1702" s="9">
        <v>1916</v>
      </c>
      <c r="D1702" s="10">
        <v>45646</v>
      </c>
      <c r="E1702" s="13" t="str">
        <f>+HYPERLINK("http://trademark.i-assist.jp/data/china/image_1916th/81275205.pdf","81275205")</f>
        <v>81275205</v>
      </c>
      <c r="F1702" s="9" t="s">
        <v>4705</v>
      </c>
      <c r="G1702" s="9" t="s">
        <v>4706</v>
      </c>
      <c r="H1702" s="9" t="s">
        <v>4707</v>
      </c>
      <c r="I1702" s="10">
        <v>45574</v>
      </c>
    </row>
    <row r="1703" spans="1:9" x14ac:dyDescent="0.15">
      <c r="A1703" s="9">
        <v>1702</v>
      </c>
      <c r="B1703" s="9" t="s">
        <v>9</v>
      </c>
      <c r="C1703" s="9">
        <v>1916</v>
      </c>
      <c r="D1703" s="10">
        <v>45646</v>
      </c>
      <c r="E1703" s="13" t="str">
        <f>+HYPERLINK("http://trademark.i-assist.jp/data/china/image_1916th/81275516.pdf","81275516")</f>
        <v>81275516</v>
      </c>
      <c r="F1703" s="12" t="s">
        <v>13</v>
      </c>
      <c r="G1703" s="9" t="s">
        <v>4708</v>
      </c>
      <c r="H1703" s="9" t="s">
        <v>4709</v>
      </c>
      <c r="I1703" s="10">
        <v>45574</v>
      </c>
    </row>
    <row r="1704" spans="1:9" x14ac:dyDescent="0.15">
      <c r="A1704" s="9">
        <v>1703</v>
      </c>
      <c r="B1704" s="9" t="s">
        <v>9</v>
      </c>
      <c r="C1704" s="9">
        <v>1916</v>
      </c>
      <c r="D1704" s="10">
        <v>45646</v>
      </c>
      <c r="E1704" s="13" t="str">
        <f>+HYPERLINK("http://trademark.i-assist.jp/data/china/image_1916th/81276032.pdf","81276032")</f>
        <v>81276032</v>
      </c>
      <c r="F1704" s="9" t="s">
        <v>4710</v>
      </c>
      <c r="G1704" s="9" t="s">
        <v>4711</v>
      </c>
      <c r="H1704" s="9" t="s">
        <v>4712</v>
      </c>
      <c r="I1704" s="10">
        <v>45574</v>
      </c>
    </row>
    <row r="1705" spans="1:9" x14ac:dyDescent="0.15">
      <c r="A1705" s="9">
        <v>1704</v>
      </c>
      <c r="B1705" s="9" t="s">
        <v>9</v>
      </c>
      <c r="C1705" s="9">
        <v>1916</v>
      </c>
      <c r="D1705" s="10">
        <v>45646</v>
      </c>
      <c r="E1705" s="13" t="str">
        <f>+HYPERLINK("http://trademark.i-assist.jp/data/china/image_1916th/81276489.pdf","81276489")</f>
        <v>81276489</v>
      </c>
      <c r="F1705" s="9" t="s">
        <v>4713</v>
      </c>
      <c r="G1705" s="9" t="s">
        <v>4618</v>
      </c>
      <c r="H1705" s="9" t="s">
        <v>4714</v>
      </c>
      <c r="I1705" s="10">
        <v>45574</v>
      </c>
    </row>
    <row r="1706" spans="1:9" x14ac:dyDescent="0.15">
      <c r="A1706" s="9">
        <v>1705</v>
      </c>
      <c r="B1706" s="9" t="s">
        <v>9</v>
      </c>
      <c r="C1706" s="9">
        <v>1916</v>
      </c>
      <c r="D1706" s="10">
        <v>45646</v>
      </c>
      <c r="E1706" s="13" t="str">
        <f>+HYPERLINK("http://trademark.i-assist.jp/data/china/image_1916th/81276867.pdf","81276867")</f>
        <v>81276867</v>
      </c>
      <c r="F1706" s="9" t="s">
        <v>4715</v>
      </c>
      <c r="G1706" s="9" t="s">
        <v>4716</v>
      </c>
      <c r="H1706" s="9" t="s">
        <v>4717</v>
      </c>
      <c r="I1706" s="10">
        <v>45574</v>
      </c>
    </row>
    <row r="1707" spans="1:9" x14ac:dyDescent="0.15">
      <c r="A1707" s="9">
        <v>1706</v>
      </c>
      <c r="B1707" s="9" t="s">
        <v>9</v>
      </c>
      <c r="C1707" s="9">
        <v>1916</v>
      </c>
      <c r="D1707" s="10">
        <v>45646</v>
      </c>
      <c r="E1707" s="13" t="str">
        <f>+HYPERLINK("http://trademark.i-assist.jp/data/china/image_1916th/81277327.pdf","81277327")</f>
        <v>81277327</v>
      </c>
      <c r="F1707" s="9" t="s">
        <v>4718</v>
      </c>
      <c r="G1707" s="9" t="s">
        <v>4719</v>
      </c>
      <c r="H1707" s="9" t="s">
        <v>4720</v>
      </c>
      <c r="I1707" s="10">
        <v>45574</v>
      </c>
    </row>
    <row r="1708" spans="1:9" x14ac:dyDescent="0.15">
      <c r="A1708" s="9">
        <v>1707</v>
      </c>
      <c r="B1708" s="9" t="s">
        <v>9</v>
      </c>
      <c r="C1708" s="9">
        <v>1916</v>
      </c>
      <c r="D1708" s="10">
        <v>45646</v>
      </c>
      <c r="E1708" s="13" t="str">
        <f>+HYPERLINK("http://trademark.i-assist.jp/data/china/image_1916th/81277505.pdf","81277505")</f>
        <v>81277505</v>
      </c>
      <c r="F1708" s="12" t="s">
        <v>4721</v>
      </c>
      <c r="G1708" s="12" t="s">
        <v>4722</v>
      </c>
      <c r="H1708" s="9" t="s">
        <v>4723</v>
      </c>
      <c r="I1708" s="10">
        <v>45574</v>
      </c>
    </row>
    <row r="1709" spans="1:9" x14ac:dyDescent="0.15">
      <c r="A1709" s="9">
        <v>1708</v>
      </c>
      <c r="B1709" s="9" t="s">
        <v>9</v>
      </c>
      <c r="C1709" s="9">
        <v>1916</v>
      </c>
      <c r="D1709" s="10">
        <v>45646</v>
      </c>
      <c r="E1709" s="13" t="str">
        <f>+HYPERLINK("http://trademark.i-assist.jp/data/china/image_1916th/81277514.pdf","81277514")</f>
        <v>81277514</v>
      </c>
      <c r="F1709" s="9" t="s">
        <v>4724</v>
      </c>
      <c r="G1709" s="9" t="s">
        <v>4725</v>
      </c>
      <c r="H1709" s="9" t="s">
        <v>4726</v>
      </c>
      <c r="I1709" s="10">
        <v>45574</v>
      </c>
    </row>
    <row r="1710" spans="1:9" x14ac:dyDescent="0.15">
      <c r="A1710" s="9">
        <v>1709</v>
      </c>
      <c r="B1710" s="9" t="s">
        <v>9</v>
      </c>
      <c r="C1710" s="9">
        <v>1916</v>
      </c>
      <c r="D1710" s="10">
        <v>45646</v>
      </c>
      <c r="E1710" s="13" t="str">
        <f>+HYPERLINK("http://trademark.i-assist.jp/data/china/image_1916th/81277927.pdf","81277927")</f>
        <v>81277927</v>
      </c>
      <c r="F1710" s="9" t="s">
        <v>4727</v>
      </c>
      <c r="G1710" s="12" t="s">
        <v>4728</v>
      </c>
      <c r="H1710" s="9" t="s">
        <v>4729</v>
      </c>
      <c r="I1710" s="10">
        <v>45574</v>
      </c>
    </row>
    <row r="1711" spans="1:9" x14ac:dyDescent="0.15">
      <c r="A1711" s="9">
        <v>1710</v>
      </c>
      <c r="B1711" s="9" t="s">
        <v>9</v>
      </c>
      <c r="C1711" s="9">
        <v>1916</v>
      </c>
      <c r="D1711" s="10">
        <v>45646</v>
      </c>
      <c r="E1711" s="13" t="str">
        <f>+HYPERLINK("http://trademark.i-assist.jp/data/china/image_1916th/81278145.pdf","81278145")</f>
        <v>81278145</v>
      </c>
      <c r="F1711" s="12" t="s">
        <v>13</v>
      </c>
      <c r="G1711" s="9" t="s">
        <v>4730</v>
      </c>
      <c r="H1711" s="9" t="s">
        <v>4731</v>
      </c>
      <c r="I1711" s="10">
        <v>45574</v>
      </c>
    </row>
    <row r="1712" spans="1:9" x14ac:dyDescent="0.15">
      <c r="A1712" s="9">
        <v>1711</v>
      </c>
      <c r="B1712" s="9" t="s">
        <v>9</v>
      </c>
      <c r="C1712" s="9">
        <v>1916</v>
      </c>
      <c r="D1712" s="10">
        <v>45646</v>
      </c>
      <c r="E1712" s="13" t="str">
        <f>+HYPERLINK("http://trademark.i-assist.jp/data/china/image_1916th/81278567.pdf","81278567")</f>
        <v>81278567</v>
      </c>
      <c r="F1712" s="12" t="s">
        <v>4732</v>
      </c>
      <c r="G1712" s="9" t="s">
        <v>4626</v>
      </c>
      <c r="H1712" s="9" t="s">
        <v>4733</v>
      </c>
      <c r="I1712" s="10">
        <v>45574</v>
      </c>
    </row>
    <row r="1713" spans="1:9" x14ac:dyDescent="0.15">
      <c r="A1713" s="9">
        <v>1712</v>
      </c>
      <c r="B1713" s="9" t="s">
        <v>9</v>
      </c>
      <c r="C1713" s="9">
        <v>1916</v>
      </c>
      <c r="D1713" s="10">
        <v>45646</v>
      </c>
      <c r="E1713" s="13" t="str">
        <f>+HYPERLINK("http://trademark.i-assist.jp/data/china/image_1916th/81278600.pdf","81278600")</f>
        <v>81278600</v>
      </c>
      <c r="F1713" s="9" t="s">
        <v>4734</v>
      </c>
      <c r="G1713" s="9" t="s">
        <v>4735</v>
      </c>
      <c r="H1713" s="9" t="s">
        <v>4736</v>
      </c>
      <c r="I1713" s="10">
        <v>45574</v>
      </c>
    </row>
    <row r="1714" spans="1:9" x14ac:dyDescent="0.15">
      <c r="A1714" s="9">
        <v>1713</v>
      </c>
      <c r="B1714" s="9" t="s">
        <v>9</v>
      </c>
      <c r="C1714" s="9">
        <v>1916</v>
      </c>
      <c r="D1714" s="10">
        <v>45646</v>
      </c>
      <c r="E1714" s="13" t="str">
        <f>+HYPERLINK("http://trademark.i-assist.jp/data/china/image_1916th/81278639.pdf","81278639")</f>
        <v>81278639</v>
      </c>
      <c r="F1714" s="9" t="s">
        <v>4737</v>
      </c>
      <c r="G1714" s="9" t="s">
        <v>4738</v>
      </c>
      <c r="H1714" s="9" t="s">
        <v>4739</v>
      </c>
      <c r="I1714" s="10">
        <v>45574</v>
      </c>
    </row>
    <row r="1715" spans="1:9" x14ac:dyDescent="0.15">
      <c r="A1715" s="9">
        <v>1714</v>
      </c>
      <c r="B1715" s="9" t="s">
        <v>9</v>
      </c>
      <c r="C1715" s="9">
        <v>1916</v>
      </c>
      <c r="D1715" s="10">
        <v>45646</v>
      </c>
      <c r="E1715" s="13" t="str">
        <f>+HYPERLINK("http://trademark.i-assist.jp/data/china/image_1916th/81278798.pdf","81278798")</f>
        <v>81278798</v>
      </c>
      <c r="F1715" s="12" t="s">
        <v>4740</v>
      </c>
      <c r="G1715" s="9" t="s">
        <v>4741</v>
      </c>
      <c r="H1715" s="9" t="s">
        <v>4742</v>
      </c>
      <c r="I1715" s="10">
        <v>45574</v>
      </c>
    </row>
    <row r="1716" spans="1:9" x14ac:dyDescent="0.15">
      <c r="A1716" s="9">
        <v>1715</v>
      </c>
      <c r="B1716" s="9" t="s">
        <v>9</v>
      </c>
      <c r="C1716" s="9">
        <v>1916</v>
      </c>
      <c r="D1716" s="10">
        <v>45646</v>
      </c>
      <c r="E1716" s="13" t="str">
        <f>+HYPERLINK("http://trademark.i-assist.jp/data/china/image_1916th/81279101.pdf","81279101")</f>
        <v>81279101</v>
      </c>
      <c r="F1716" s="9" t="s">
        <v>4743</v>
      </c>
      <c r="G1716" s="9" t="s">
        <v>4554</v>
      </c>
      <c r="H1716" s="9" t="s">
        <v>4744</v>
      </c>
      <c r="I1716" s="10">
        <v>45574</v>
      </c>
    </row>
    <row r="1717" spans="1:9" x14ac:dyDescent="0.15">
      <c r="A1717" s="9">
        <v>1716</v>
      </c>
      <c r="B1717" s="9" t="s">
        <v>9</v>
      </c>
      <c r="C1717" s="9">
        <v>1916</v>
      </c>
      <c r="D1717" s="10">
        <v>45646</v>
      </c>
      <c r="E1717" s="13" t="str">
        <f>+HYPERLINK("http://trademark.i-assist.jp/data/china/image_1916th/81279178.pdf","81279178")</f>
        <v>81279178</v>
      </c>
      <c r="F1717" s="12" t="s">
        <v>4745</v>
      </c>
      <c r="G1717" s="9" t="s">
        <v>4746</v>
      </c>
      <c r="H1717" s="9" t="s">
        <v>4747</v>
      </c>
      <c r="I1717" s="10">
        <v>45574</v>
      </c>
    </row>
    <row r="1718" spans="1:9" x14ac:dyDescent="0.15">
      <c r="A1718" s="9">
        <v>1717</v>
      </c>
      <c r="B1718" s="9" t="s">
        <v>9</v>
      </c>
      <c r="C1718" s="9">
        <v>1916</v>
      </c>
      <c r="D1718" s="10">
        <v>45646</v>
      </c>
      <c r="E1718" s="13" t="str">
        <f>+HYPERLINK("http://trademark.i-assist.jp/data/china/image_1916th/81279790.pdf","81279790")</f>
        <v>81279790</v>
      </c>
      <c r="F1718" s="9" t="s">
        <v>4748</v>
      </c>
      <c r="G1718" s="12" t="s">
        <v>4749</v>
      </c>
      <c r="H1718" s="9" t="s">
        <v>4750</v>
      </c>
      <c r="I1718" s="10">
        <v>45574</v>
      </c>
    </row>
    <row r="1719" spans="1:9" x14ac:dyDescent="0.15">
      <c r="A1719" s="9">
        <v>1718</v>
      </c>
      <c r="B1719" s="9" t="s">
        <v>9</v>
      </c>
      <c r="C1719" s="9">
        <v>1916</v>
      </c>
      <c r="D1719" s="10">
        <v>45646</v>
      </c>
      <c r="E1719" s="13" t="str">
        <f>+HYPERLINK("http://trademark.i-assist.jp/data/china/image_1916th/81279875.pdf","81279875")</f>
        <v>81279875</v>
      </c>
      <c r="F1719" s="9" t="s">
        <v>4751</v>
      </c>
      <c r="G1719" s="9" t="s">
        <v>4752</v>
      </c>
      <c r="H1719" s="9" t="s">
        <v>4753</v>
      </c>
      <c r="I1719" s="10">
        <v>45574</v>
      </c>
    </row>
    <row r="1720" spans="1:9" x14ac:dyDescent="0.15">
      <c r="A1720" s="9">
        <v>1719</v>
      </c>
      <c r="B1720" s="9" t="s">
        <v>9</v>
      </c>
      <c r="C1720" s="9">
        <v>1916</v>
      </c>
      <c r="D1720" s="10">
        <v>45646</v>
      </c>
      <c r="E1720" s="13" t="str">
        <f>+HYPERLINK("http://trademark.i-assist.jp/data/china/image_1916th/81279882.pdf","81279882")</f>
        <v>81279882</v>
      </c>
      <c r="F1720" s="12" t="s">
        <v>4754</v>
      </c>
      <c r="G1720" s="9" t="s">
        <v>4752</v>
      </c>
      <c r="H1720" s="9" t="s">
        <v>4755</v>
      </c>
      <c r="I1720" s="10">
        <v>45574</v>
      </c>
    </row>
    <row r="1721" spans="1:9" x14ac:dyDescent="0.15">
      <c r="A1721" s="9">
        <v>1720</v>
      </c>
      <c r="B1721" s="9" t="s">
        <v>9</v>
      </c>
      <c r="C1721" s="9">
        <v>1916</v>
      </c>
      <c r="D1721" s="10">
        <v>45646</v>
      </c>
      <c r="E1721" s="13" t="str">
        <f>+HYPERLINK("http://trademark.i-assist.jp/data/china/image_1916th/81279894.pdf","81279894")</f>
        <v>81279894</v>
      </c>
      <c r="F1721" s="9" t="s">
        <v>4756</v>
      </c>
      <c r="G1721" s="9" t="s">
        <v>4757</v>
      </c>
      <c r="H1721" s="9" t="s">
        <v>4758</v>
      </c>
      <c r="I1721" s="10">
        <v>45574</v>
      </c>
    </row>
    <row r="1722" spans="1:9" x14ac:dyDescent="0.15">
      <c r="A1722" s="9">
        <v>1721</v>
      </c>
      <c r="B1722" s="9" t="s">
        <v>9</v>
      </c>
      <c r="C1722" s="9">
        <v>1916</v>
      </c>
      <c r="D1722" s="10">
        <v>45646</v>
      </c>
      <c r="E1722" s="13" t="str">
        <f>+HYPERLINK("http://trademark.i-assist.jp/data/china/image_1916th/81280077.pdf","81280077")</f>
        <v>81280077</v>
      </c>
      <c r="F1722" s="9" t="s">
        <v>4759</v>
      </c>
      <c r="G1722" s="9" t="s">
        <v>4760</v>
      </c>
      <c r="H1722" s="9" t="s">
        <v>4761</v>
      </c>
      <c r="I1722" s="10">
        <v>45574</v>
      </c>
    </row>
    <row r="1723" spans="1:9" x14ac:dyDescent="0.15">
      <c r="A1723" s="9">
        <v>1722</v>
      </c>
      <c r="B1723" s="9" t="s">
        <v>9</v>
      </c>
      <c r="C1723" s="9">
        <v>1916</v>
      </c>
      <c r="D1723" s="10">
        <v>45646</v>
      </c>
      <c r="E1723" s="13" t="str">
        <f>+HYPERLINK("http://trademark.i-assist.jp/data/china/image_1916th/81281379.pdf","81281379")</f>
        <v>81281379</v>
      </c>
      <c r="F1723" s="12" t="s">
        <v>13</v>
      </c>
      <c r="G1723" s="9" t="s">
        <v>4762</v>
      </c>
      <c r="H1723" s="9" t="s">
        <v>4763</v>
      </c>
      <c r="I1723" s="10">
        <v>45574</v>
      </c>
    </row>
    <row r="1724" spans="1:9" x14ac:dyDescent="0.15">
      <c r="A1724" s="9">
        <v>1723</v>
      </c>
      <c r="B1724" s="9" t="s">
        <v>9</v>
      </c>
      <c r="C1724" s="9">
        <v>1916</v>
      </c>
      <c r="D1724" s="10">
        <v>45646</v>
      </c>
      <c r="E1724" s="13" t="str">
        <f>+HYPERLINK("http://trademark.i-assist.jp/data/china/image_1916th/81283477.pdf","81283477")</f>
        <v>81283477</v>
      </c>
      <c r="F1724" s="12" t="s">
        <v>13</v>
      </c>
      <c r="G1724" s="9" t="s">
        <v>4764</v>
      </c>
      <c r="H1724" s="9" t="s">
        <v>4765</v>
      </c>
      <c r="I1724" s="10">
        <v>45574</v>
      </c>
    </row>
    <row r="1725" spans="1:9" x14ac:dyDescent="0.15">
      <c r="A1725" s="9">
        <v>1724</v>
      </c>
      <c r="B1725" s="9" t="s">
        <v>9</v>
      </c>
      <c r="C1725" s="9">
        <v>1916</v>
      </c>
      <c r="D1725" s="10">
        <v>45646</v>
      </c>
      <c r="E1725" s="13" t="str">
        <f>+HYPERLINK("http://trademark.i-assist.jp/data/china/image_1916th/81283669.pdf","81283669")</f>
        <v>81283669</v>
      </c>
      <c r="F1725" s="12" t="s">
        <v>4766</v>
      </c>
      <c r="G1725" s="9" t="s">
        <v>4559</v>
      </c>
      <c r="H1725" s="9" t="s">
        <v>4767</v>
      </c>
      <c r="I1725" s="10">
        <v>45574</v>
      </c>
    </row>
    <row r="1726" spans="1:9" x14ac:dyDescent="0.15">
      <c r="A1726" s="9">
        <v>1725</v>
      </c>
      <c r="B1726" s="9" t="s">
        <v>9</v>
      </c>
      <c r="C1726" s="9">
        <v>1916</v>
      </c>
      <c r="D1726" s="10">
        <v>45646</v>
      </c>
      <c r="E1726" s="13" t="str">
        <f>+HYPERLINK("http://trademark.i-assist.jp/data/china/image_1916th/81283817.pdf","81283817")</f>
        <v>81283817</v>
      </c>
      <c r="F1726" s="9" t="s">
        <v>4768</v>
      </c>
      <c r="G1726" s="12" t="s">
        <v>4769</v>
      </c>
      <c r="H1726" s="9" t="s">
        <v>4770</v>
      </c>
      <c r="I1726" s="10">
        <v>45574</v>
      </c>
    </row>
    <row r="1727" spans="1:9" x14ac:dyDescent="0.15">
      <c r="A1727" s="9">
        <v>1726</v>
      </c>
      <c r="B1727" s="9" t="s">
        <v>9</v>
      </c>
      <c r="C1727" s="9">
        <v>1916</v>
      </c>
      <c r="D1727" s="10">
        <v>45646</v>
      </c>
      <c r="E1727" s="13" t="str">
        <f>+HYPERLINK("http://trademark.i-assist.jp/data/china/image_1916th/81283872.pdf","81283872")</f>
        <v>81283872</v>
      </c>
      <c r="F1727" s="9" t="s">
        <v>4771</v>
      </c>
      <c r="G1727" s="9" t="s">
        <v>4772</v>
      </c>
      <c r="H1727" s="9" t="s">
        <v>4773</v>
      </c>
      <c r="I1727" s="10">
        <v>45574</v>
      </c>
    </row>
    <row r="1728" spans="1:9" x14ac:dyDescent="0.15">
      <c r="A1728" s="9">
        <v>1727</v>
      </c>
      <c r="B1728" s="9" t="s">
        <v>9</v>
      </c>
      <c r="C1728" s="9">
        <v>1916</v>
      </c>
      <c r="D1728" s="10">
        <v>45646</v>
      </c>
      <c r="E1728" s="13" t="str">
        <f>+HYPERLINK("http://trademark.i-assist.jp/data/china/image_1916th/81283953.pdf","81283953")</f>
        <v>81283953</v>
      </c>
      <c r="F1728" s="9" t="s">
        <v>4774</v>
      </c>
      <c r="G1728" s="9" t="s">
        <v>4775</v>
      </c>
      <c r="H1728" s="9" t="s">
        <v>4776</v>
      </c>
      <c r="I1728" s="10">
        <v>45574</v>
      </c>
    </row>
    <row r="1729" spans="1:9" x14ac:dyDescent="0.15">
      <c r="A1729" s="9">
        <v>1728</v>
      </c>
      <c r="B1729" s="9" t="s">
        <v>9</v>
      </c>
      <c r="C1729" s="9">
        <v>1916</v>
      </c>
      <c r="D1729" s="10">
        <v>45646</v>
      </c>
      <c r="E1729" s="13" t="str">
        <f>+HYPERLINK("http://trademark.i-assist.jp/data/china/image_1916th/81284070.pdf","81284070")</f>
        <v>81284070</v>
      </c>
      <c r="F1729" s="9" t="s">
        <v>4777</v>
      </c>
      <c r="G1729" s="12" t="s">
        <v>19</v>
      </c>
      <c r="H1729" s="9" t="s">
        <v>4778</v>
      </c>
      <c r="I1729" s="10">
        <v>45574</v>
      </c>
    </row>
    <row r="1730" spans="1:9" x14ac:dyDescent="0.15">
      <c r="A1730" s="9">
        <v>1729</v>
      </c>
      <c r="B1730" s="9" t="s">
        <v>9</v>
      </c>
      <c r="C1730" s="9">
        <v>1916</v>
      </c>
      <c r="D1730" s="10">
        <v>45646</v>
      </c>
      <c r="E1730" s="13" t="str">
        <f>+HYPERLINK("http://trademark.i-assist.jp/data/china/image_1916th/81284797.pdf","81284797")</f>
        <v>81284797</v>
      </c>
      <c r="F1730" s="12" t="s">
        <v>4779</v>
      </c>
      <c r="G1730" s="9" t="s">
        <v>4780</v>
      </c>
      <c r="H1730" s="12" t="s">
        <v>4781</v>
      </c>
      <c r="I1730" s="10">
        <v>45575</v>
      </c>
    </row>
    <row r="1731" spans="1:9" x14ac:dyDescent="0.15">
      <c r="A1731" s="9">
        <v>1730</v>
      </c>
      <c r="B1731" s="9" t="s">
        <v>9</v>
      </c>
      <c r="C1731" s="9">
        <v>1916</v>
      </c>
      <c r="D1731" s="10">
        <v>45646</v>
      </c>
      <c r="E1731" s="13" t="str">
        <f>+HYPERLINK("http://trademark.i-assist.jp/data/china/image_1916th/81284799.pdf","81284799")</f>
        <v>81284799</v>
      </c>
      <c r="F1731" s="9" t="s">
        <v>4782</v>
      </c>
      <c r="G1731" s="9" t="s">
        <v>4783</v>
      </c>
      <c r="H1731" s="9" t="s">
        <v>4784</v>
      </c>
      <c r="I1731" s="10">
        <v>45575</v>
      </c>
    </row>
    <row r="1732" spans="1:9" x14ac:dyDescent="0.15">
      <c r="A1732" s="9">
        <v>1731</v>
      </c>
      <c r="B1732" s="9" t="s">
        <v>9</v>
      </c>
      <c r="C1732" s="9">
        <v>1916</v>
      </c>
      <c r="D1732" s="10">
        <v>45646</v>
      </c>
      <c r="E1732" s="13" t="str">
        <f>+HYPERLINK("http://trademark.i-assist.jp/data/china/image_1916th/81284961.pdf","81284961")</f>
        <v>81284961</v>
      </c>
      <c r="F1732" s="12" t="s">
        <v>4785</v>
      </c>
      <c r="G1732" s="9" t="s">
        <v>3391</v>
      </c>
      <c r="H1732" s="9" t="s">
        <v>4786</v>
      </c>
      <c r="I1732" s="10">
        <v>45575</v>
      </c>
    </row>
    <row r="1733" spans="1:9" x14ac:dyDescent="0.15">
      <c r="A1733" s="9">
        <v>1732</v>
      </c>
      <c r="B1733" s="9" t="s">
        <v>9</v>
      </c>
      <c r="C1733" s="9">
        <v>1916</v>
      </c>
      <c r="D1733" s="10">
        <v>45646</v>
      </c>
      <c r="E1733" s="13" t="str">
        <f>+HYPERLINK("http://trademark.i-assist.jp/data/china/image_1916th/81285372.pdf","81285372")</f>
        <v>81285372</v>
      </c>
      <c r="F1733" s="9" t="s">
        <v>4787</v>
      </c>
      <c r="G1733" s="9" t="s">
        <v>4788</v>
      </c>
      <c r="H1733" s="9" t="s">
        <v>4789</v>
      </c>
      <c r="I1733" s="10">
        <v>45575</v>
      </c>
    </row>
    <row r="1734" spans="1:9" x14ac:dyDescent="0.15">
      <c r="A1734" s="9">
        <v>1733</v>
      </c>
      <c r="B1734" s="9" t="s">
        <v>9</v>
      </c>
      <c r="C1734" s="9">
        <v>1916</v>
      </c>
      <c r="D1734" s="10">
        <v>45646</v>
      </c>
      <c r="E1734" s="13" t="str">
        <f>+HYPERLINK("http://trademark.i-assist.jp/data/china/image_1916th/81285759.pdf","81285759")</f>
        <v>81285759</v>
      </c>
      <c r="F1734" s="9" t="s">
        <v>4790</v>
      </c>
      <c r="G1734" s="9" t="s">
        <v>4791</v>
      </c>
      <c r="H1734" s="12" t="s">
        <v>4792</v>
      </c>
      <c r="I1734" s="10">
        <v>45575</v>
      </c>
    </row>
    <row r="1735" spans="1:9" x14ac:dyDescent="0.15">
      <c r="A1735" s="9">
        <v>1734</v>
      </c>
      <c r="B1735" s="9" t="s">
        <v>9</v>
      </c>
      <c r="C1735" s="9">
        <v>1916</v>
      </c>
      <c r="D1735" s="10">
        <v>45646</v>
      </c>
      <c r="E1735" s="13" t="str">
        <f>+HYPERLINK("http://trademark.i-assist.jp/data/china/image_1916th/81285851.pdf","81285851")</f>
        <v>81285851</v>
      </c>
      <c r="F1735" s="9" t="s">
        <v>4793</v>
      </c>
      <c r="G1735" s="12" t="s">
        <v>4794</v>
      </c>
      <c r="H1735" s="9" t="s">
        <v>4795</v>
      </c>
      <c r="I1735" s="10">
        <v>45575</v>
      </c>
    </row>
    <row r="1736" spans="1:9" x14ac:dyDescent="0.15">
      <c r="A1736" s="9">
        <v>1735</v>
      </c>
      <c r="B1736" s="9" t="s">
        <v>9</v>
      </c>
      <c r="C1736" s="9">
        <v>1916</v>
      </c>
      <c r="D1736" s="10">
        <v>45646</v>
      </c>
      <c r="E1736" s="13" t="str">
        <f>+HYPERLINK("http://trademark.i-assist.jp/data/china/image_1916th/81286134.pdf","81286134")</f>
        <v>81286134</v>
      </c>
      <c r="F1736" s="12" t="s">
        <v>13</v>
      </c>
      <c r="G1736" s="9" t="s">
        <v>4796</v>
      </c>
      <c r="H1736" s="12" t="s">
        <v>4797</v>
      </c>
      <c r="I1736" s="10">
        <v>45575</v>
      </c>
    </row>
    <row r="1737" spans="1:9" x14ac:dyDescent="0.15">
      <c r="A1737" s="9">
        <v>1736</v>
      </c>
      <c r="B1737" s="9" t="s">
        <v>9</v>
      </c>
      <c r="C1737" s="9">
        <v>1916</v>
      </c>
      <c r="D1737" s="10">
        <v>45646</v>
      </c>
      <c r="E1737" s="13" t="str">
        <f>+HYPERLINK("http://trademark.i-assist.jp/data/china/image_1916th/81286613.pdf","81286613")</f>
        <v>81286613</v>
      </c>
      <c r="F1737" s="9" t="s">
        <v>4798</v>
      </c>
      <c r="G1737" s="9" t="s">
        <v>4799</v>
      </c>
      <c r="H1737" s="9" t="s">
        <v>4800</v>
      </c>
      <c r="I1737" s="10">
        <v>45575</v>
      </c>
    </row>
    <row r="1738" spans="1:9" x14ac:dyDescent="0.15">
      <c r="A1738" s="9">
        <v>1737</v>
      </c>
      <c r="B1738" s="9" t="s">
        <v>9</v>
      </c>
      <c r="C1738" s="9">
        <v>1916</v>
      </c>
      <c r="D1738" s="10">
        <v>45646</v>
      </c>
      <c r="E1738" s="13" t="str">
        <f>+HYPERLINK("http://trademark.i-assist.jp/data/china/image_1916th/81287606.pdf","81287606")</f>
        <v>81287606</v>
      </c>
      <c r="F1738" s="9" t="s">
        <v>4801</v>
      </c>
      <c r="G1738" s="9" t="s">
        <v>4802</v>
      </c>
      <c r="H1738" s="9" t="s">
        <v>4803</v>
      </c>
      <c r="I1738" s="10">
        <v>45575</v>
      </c>
    </row>
    <row r="1739" spans="1:9" x14ac:dyDescent="0.15">
      <c r="A1739" s="9">
        <v>1738</v>
      </c>
      <c r="B1739" s="9" t="s">
        <v>9</v>
      </c>
      <c r="C1739" s="9">
        <v>1916</v>
      </c>
      <c r="D1739" s="10">
        <v>45646</v>
      </c>
      <c r="E1739" s="13" t="str">
        <f>+HYPERLINK("http://trademark.i-assist.jp/data/china/image_1916th/81289538.pdf","81289538")</f>
        <v>81289538</v>
      </c>
      <c r="F1739" s="9" t="s">
        <v>4804</v>
      </c>
      <c r="G1739" s="9" t="s">
        <v>4783</v>
      </c>
      <c r="H1739" s="9" t="s">
        <v>4805</v>
      </c>
      <c r="I1739" s="10">
        <v>45575</v>
      </c>
    </row>
    <row r="1740" spans="1:9" x14ac:dyDescent="0.15">
      <c r="A1740" s="9">
        <v>1739</v>
      </c>
      <c r="B1740" s="9" t="s">
        <v>9</v>
      </c>
      <c r="C1740" s="9">
        <v>1916</v>
      </c>
      <c r="D1740" s="10">
        <v>45646</v>
      </c>
      <c r="E1740" s="13" t="str">
        <f>+HYPERLINK("http://trademark.i-assist.jp/data/china/image_1916th/81289574.pdf","81289574")</f>
        <v>81289574</v>
      </c>
      <c r="F1740" s="9" t="s">
        <v>4806</v>
      </c>
      <c r="G1740" s="9" t="s">
        <v>4807</v>
      </c>
      <c r="H1740" s="9" t="s">
        <v>4808</v>
      </c>
      <c r="I1740" s="10">
        <v>45575</v>
      </c>
    </row>
    <row r="1741" spans="1:9" x14ac:dyDescent="0.15">
      <c r="A1741" s="9">
        <v>1740</v>
      </c>
      <c r="B1741" s="9" t="s">
        <v>9</v>
      </c>
      <c r="C1741" s="9">
        <v>1916</v>
      </c>
      <c r="D1741" s="10">
        <v>45646</v>
      </c>
      <c r="E1741" s="13" t="str">
        <f>+HYPERLINK("http://trademark.i-assist.jp/data/china/image_1916th/81290479.pdf","81290479")</f>
        <v>81290479</v>
      </c>
      <c r="F1741" s="9" t="s">
        <v>4809</v>
      </c>
      <c r="G1741" s="9" t="s">
        <v>4810</v>
      </c>
      <c r="H1741" s="9" t="s">
        <v>4811</v>
      </c>
      <c r="I1741" s="10">
        <v>45575</v>
      </c>
    </row>
    <row r="1742" spans="1:9" x14ac:dyDescent="0.15">
      <c r="A1742" s="9">
        <v>1741</v>
      </c>
      <c r="B1742" s="9" t="s">
        <v>9</v>
      </c>
      <c r="C1742" s="9">
        <v>1916</v>
      </c>
      <c r="D1742" s="10">
        <v>45646</v>
      </c>
      <c r="E1742" s="13" t="str">
        <f>+HYPERLINK("http://trademark.i-assist.jp/data/china/image_1916th/81290602.pdf","81290602")</f>
        <v>81290602</v>
      </c>
      <c r="F1742" s="9" t="s">
        <v>4812</v>
      </c>
      <c r="G1742" s="9" t="s">
        <v>4813</v>
      </c>
      <c r="H1742" s="9" t="s">
        <v>4814</v>
      </c>
      <c r="I1742" s="10">
        <v>45575</v>
      </c>
    </row>
    <row r="1743" spans="1:9" x14ac:dyDescent="0.15">
      <c r="A1743" s="9">
        <v>1742</v>
      </c>
      <c r="B1743" s="9" t="s">
        <v>9</v>
      </c>
      <c r="C1743" s="9">
        <v>1916</v>
      </c>
      <c r="D1743" s="10">
        <v>45646</v>
      </c>
      <c r="E1743" s="13" t="str">
        <f>+HYPERLINK("http://trademark.i-assist.jp/data/china/image_1916th/81292771.pdf","81292771")</f>
        <v>81292771</v>
      </c>
      <c r="F1743" s="9" t="s">
        <v>4815</v>
      </c>
      <c r="G1743" s="9" t="s">
        <v>4816</v>
      </c>
      <c r="H1743" s="9" t="s">
        <v>4817</v>
      </c>
      <c r="I1743" s="10">
        <v>45575</v>
      </c>
    </row>
    <row r="1744" spans="1:9" x14ac:dyDescent="0.15">
      <c r="A1744" s="9">
        <v>1743</v>
      </c>
      <c r="B1744" s="9" t="s">
        <v>9</v>
      </c>
      <c r="C1744" s="9">
        <v>1916</v>
      </c>
      <c r="D1744" s="10">
        <v>45646</v>
      </c>
      <c r="E1744" s="13" t="str">
        <f>+HYPERLINK("http://trademark.i-assist.jp/data/china/image_1916th/81294183.pdf","81294183")</f>
        <v>81294183</v>
      </c>
      <c r="F1744" s="9" t="s">
        <v>4818</v>
      </c>
      <c r="G1744" s="12" t="s">
        <v>1742</v>
      </c>
      <c r="H1744" s="9" t="s">
        <v>4819</v>
      </c>
      <c r="I1744" s="10">
        <v>45575</v>
      </c>
    </row>
    <row r="1745" spans="1:9" x14ac:dyDescent="0.15">
      <c r="A1745" s="9">
        <v>1744</v>
      </c>
      <c r="B1745" s="9" t="s">
        <v>9</v>
      </c>
      <c r="C1745" s="9">
        <v>1916</v>
      </c>
      <c r="D1745" s="10">
        <v>45646</v>
      </c>
      <c r="E1745" s="13" t="str">
        <f>+HYPERLINK("http://trademark.i-assist.jp/data/china/image_1916th/81294465.pdf","81294465")</f>
        <v>81294465</v>
      </c>
      <c r="F1745" s="9" t="s">
        <v>4820</v>
      </c>
      <c r="G1745" s="9" t="s">
        <v>4821</v>
      </c>
      <c r="H1745" s="9" t="s">
        <v>4822</v>
      </c>
      <c r="I1745" s="10">
        <v>45575</v>
      </c>
    </row>
    <row r="1746" spans="1:9" x14ac:dyDescent="0.15">
      <c r="A1746" s="9">
        <v>1745</v>
      </c>
      <c r="B1746" s="9" t="s">
        <v>9</v>
      </c>
      <c r="C1746" s="9">
        <v>1916</v>
      </c>
      <c r="D1746" s="10">
        <v>45646</v>
      </c>
      <c r="E1746" s="13" t="str">
        <f>+HYPERLINK("http://trademark.i-assist.jp/data/china/image_1916th/81295388.pdf","81295388")</f>
        <v>81295388</v>
      </c>
      <c r="F1746" s="12" t="s">
        <v>4779</v>
      </c>
      <c r="G1746" s="9" t="s">
        <v>4780</v>
      </c>
      <c r="H1746" s="9" t="s">
        <v>4823</v>
      </c>
      <c r="I1746" s="10">
        <v>45575</v>
      </c>
    </row>
    <row r="1747" spans="1:9" x14ac:dyDescent="0.15">
      <c r="A1747" s="9">
        <v>1746</v>
      </c>
      <c r="B1747" s="9" t="s">
        <v>9</v>
      </c>
      <c r="C1747" s="9">
        <v>1916</v>
      </c>
      <c r="D1747" s="10">
        <v>45646</v>
      </c>
      <c r="E1747" s="13" t="str">
        <f>+HYPERLINK("http://trademark.i-assist.jp/data/china/image_1916th/81295838.pdf","81295838")</f>
        <v>81295838</v>
      </c>
      <c r="F1747" s="9" t="s">
        <v>4824</v>
      </c>
      <c r="G1747" s="9" t="s">
        <v>4825</v>
      </c>
      <c r="H1747" s="9" t="s">
        <v>4826</v>
      </c>
      <c r="I1747" s="10">
        <v>45575</v>
      </c>
    </row>
    <row r="1748" spans="1:9" x14ac:dyDescent="0.15">
      <c r="A1748" s="9">
        <v>1747</v>
      </c>
      <c r="B1748" s="9" t="s">
        <v>9</v>
      </c>
      <c r="C1748" s="9">
        <v>1916</v>
      </c>
      <c r="D1748" s="10">
        <v>45646</v>
      </c>
      <c r="E1748" s="13" t="str">
        <f>+HYPERLINK("http://trademark.i-assist.jp/data/china/image_1916th/81296040.pdf","81296040")</f>
        <v>81296040</v>
      </c>
      <c r="F1748" s="9" t="s">
        <v>4827</v>
      </c>
      <c r="G1748" s="12" t="s">
        <v>4828</v>
      </c>
      <c r="H1748" s="12" t="s">
        <v>4829</v>
      </c>
      <c r="I1748" s="10">
        <v>45575</v>
      </c>
    </row>
    <row r="1749" spans="1:9" x14ac:dyDescent="0.15">
      <c r="A1749" s="9">
        <v>1748</v>
      </c>
      <c r="B1749" s="9" t="s">
        <v>9</v>
      </c>
      <c r="C1749" s="9">
        <v>1916</v>
      </c>
      <c r="D1749" s="10">
        <v>45646</v>
      </c>
      <c r="E1749" s="13" t="str">
        <f>+HYPERLINK("http://trademark.i-assist.jp/data/china/image_1916th/81297115.pdf","81297115")</f>
        <v>81297115</v>
      </c>
      <c r="F1749" s="9" t="s">
        <v>4830</v>
      </c>
      <c r="G1749" s="9" t="s">
        <v>4831</v>
      </c>
      <c r="H1749" s="9" t="s">
        <v>4832</v>
      </c>
      <c r="I1749" s="10">
        <v>45575</v>
      </c>
    </row>
    <row r="1750" spans="1:9" x14ac:dyDescent="0.15">
      <c r="A1750" s="9">
        <v>1749</v>
      </c>
      <c r="B1750" s="9" t="s">
        <v>9</v>
      </c>
      <c r="C1750" s="9">
        <v>1916</v>
      </c>
      <c r="D1750" s="10">
        <v>45646</v>
      </c>
      <c r="E1750" s="13" t="str">
        <f>+HYPERLINK("http://trademark.i-assist.jp/data/china/image_1916th/81297638.pdf","81297638")</f>
        <v>81297638</v>
      </c>
      <c r="F1750" s="12" t="s">
        <v>4833</v>
      </c>
      <c r="G1750" s="9" t="s">
        <v>4834</v>
      </c>
      <c r="H1750" s="12" t="s">
        <v>4835</v>
      </c>
      <c r="I1750" s="10">
        <v>45575</v>
      </c>
    </row>
    <row r="1751" spans="1:9" x14ac:dyDescent="0.15">
      <c r="A1751" s="9">
        <v>1750</v>
      </c>
      <c r="B1751" s="9" t="s">
        <v>9</v>
      </c>
      <c r="C1751" s="9">
        <v>1916</v>
      </c>
      <c r="D1751" s="10">
        <v>45646</v>
      </c>
      <c r="E1751" s="13" t="str">
        <f>+HYPERLINK("http://trademark.i-assist.jp/data/china/image_1916th/81298042.pdf","81298042")</f>
        <v>81298042</v>
      </c>
      <c r="F1751" s="9" t="s">
        <v>4836</v>
      </c>
      <c r="G1751" s="9" t="s">
        <v>4837</v>
      </c>
      <c r="H1751" s="9" t="s">
        <v>4838</v>
      </c>
      <c r="I1751" s="10">
        <v>45575</v>
      </c>
    </row>
    <row r="1752" spans="1:9" x14ac:dyDescent="0.15">
      <c r="A1752" s="9">
        <v>1751</v>
      </c>
      <c r="B1752" s="9" t="s">
        <v>9</v>
      </c>
      <c r="C1752" s="9">
        <v>1916</v>
      </c>
      <c r="D1752" s="10">
        <v>45646</v>
      </c>
      <c r="E1752" s="13" t="str">
        <f>+HYPERLINK("http://trademark.i-assist.jp/data/china/image_1916th/81298092.pdf","81298092")</f>
        <v>81298092</v>
      </c>
      <c r="F1752" s="9" t="s">
        <v>4839</v>
      </c>
      <c r="G1752" s="9" t="s">
        <v>4840</v>
      </c>
      <c r="H1752" s="9" t="s">
        <v>4841</v>
      </c>
      <c r="I1752" s="10">
        <v>45575</v>
      </c>
    </row>
    <row r="1753" spans="1:9" x14ac:dyDescent="0.15">
      <c r="A1753" s="9">
        <v>1752</v>
      </c>
      <c r="B1753" s="9" t="s">
        <v>9</v>
      </c>
      <c r="C1753" s="9">
        <v>1916</v>
      </c>
      <c r="D1753" s="10">
        <v>45646</v>
      </c>
      <c r="E1753" s="13" t="str">
        <f>+HYPERLINK("http://trademark.i-assist.jp/data/china/image_1916th/81298110.pdf","81298110")</f>
        <v>81298110</v>
      </c>
      <c r="F1753" s="9" t="s">
        <v>4842</v>
      </c>
      <c r="G1753" s="12" t="s">
        <v>1742</v>
      </c>
      <c r="H1753" s="9" t="s">
        <v>4843</v>
      </c>
      <c r="I1753" s="10">
        <v>45575</v>
      </c>
    </row>
    <row r="1754" spans="1:9" x14ac:dyDescent="0.15">
      <c r="A1754" s="9">
        <v>1753</v>
      </c>
      <c r="B1754" s="9" t="s">
        <v>9</v>
      </c>
      <c r="C1754" s="9">
        <v>1916</v>
      </c>
      <c r="D1754" s="10">
        <v>45646</v>
      </c>
      <c r="E1754" s="13" t="str">
        <f>+HYPERLINK("http://trademark.i-assist.jp/data/china/image_1916th/81300146.pdf","81300146")</f>
        <v>81300146</v>
      </c>
      <c r="F1754" s="9" t="s">
        <v>4844</v>
      </c>
      <c r="G1754" s="12" t="s">
        <v>4845</v>
      </c>
      <c r="H1754" s="9" t="s">
        <v>4846</v>
      </c>
      <c r="I1754" s="10">
        <v>45575</v>
      </c>
    </row>
    <row r="1755" spans="1:9" x14ac:dyDescent="0.15">
      <c r="A1755" s="9">
        <v>1754</v>
      </c>
      <c r="B1755" s="9" t="s">
        <v>9</v>
      </c>
      <c r="C1755" s="9">
        <v>1916</v>
      </c>
      <c r="D1755" s="10">
        <v>45646</v>
      </c>
      <c r="E1755" s="13" t="str">
        <f>+HYPERLINK("http://trademark.i-assist.jp/data/china/image_1916th/81300378.pdf","81300378")</f>
        <v>81300378</v>
      </c>
      <c r="F1755" s="12" t="s">
        <v>4847</v>
      </c>
      <c r="G1755" s="12" t="s">
        <v>4848</v>
      </c>
      <c r="H1755" s="12" t="s">
        <v>4849</v>
      </c>
      <c r="I1755" s="10">
        <v>45575</v>
      </c>
    </row>
    <row r="1756" spans="1:9" x14ac:dyDescent="0.15">
      <c r="A1756" s="9">
        <v>1755</v>
      </c>
      <c r="B1756" s="9" t="s">
        <v>9</v>
      </c>
      <c r="C1756" s="9">
        <v>1916</v>
      </c>
      <c r="D1756" s="10">
        <v>45646</v>
      </c>
      <c r="E1756" s="13" t="str">
        <f>+HYPERLINK("http://trademark.i-assist.jp/data/china/image_1916th/81300697.pdf","81300697")</f>
        <v>81300697</v>
      </c>
      <c r="F1756" s="12" t="s">
        <v>4850</v>
      </c>
      <c r="G1756" s="12" t="s">
        <v>4851</v>
      </c>
      <c r="H1756" s="9" t="s">
        <v>4852</v>
      </c>
      <c r="I1756" s="10">
        <v>45575</v>
      </c>
    </row>
    <row r="1757" spans="1:9" x14ac:dyDescent="0.15">
      <c r="A1757" s="9">
        <v>1756</v>
      </c>
      <c r="B1757" s="9" t="s">
        <v>9</v>
      </c>
      <c r="C1757" s="9">
        <v>1916</v>
      </c>
      <c r="D1757" s="10">
        <v>45646</v>
      </c>
      <c r="E1757" s="13" t="str">
        <f>+HYPERLINK("http://trademark.i-assist.jp/data/china/image_1916th/81300792.pdf","81300792")</f>
        <v>81300792</v>
      </c>
      <c r="F1757" s="9" t="s">
        <v>4853</v>
      </c>
      <c r="G1757" s="9" t="s">
        <v>4854</v>
      </c>
      <c r="H1757" s="12" t="s">
        <v>4855</v>
      </c>
      <c r="I1757" s="10">
        <v>45575</v>
      </c>
    </row>
    <row r="1758" spans="1:9" x14ac:dyDescent="0.15">
      <c r="A1758" s="9">
        <v>1757</v>
      </c>
      <c r="B1758" s="9" t="s">
        <v>9</v>
      </c>
      <c r="C1758" s="9">
        <v>1916</v>
      </c>
      <c r="D1758" s="10">
        <v>45646</v>
      </c>
      <c r="E1758" s="13" t="str">
        <f>+HYPERLINK("http://trademark.i-assist.jp/data/china/image_1916th/81300923.pdf","81300923")</f>
        <v>81300923</v>
      </c>
      <c r="F1758" s="9" t="s">
        <v>4856</v>
      </c>
      <c r="G1758" s="12" t="s">
        <v>4857</v>
      </c>
      <c r="H1758" s="9" t="s">
        <v>4858</v>
      </c>
      <c r="I1758" s="10">
        <v>45575</v>
      </c>
    </row>
    <row r="1759" spans="1:9" x14ac:dyDescent="0.15">
      <c r="A1759" s="9">
        <v>1758</v>
      </c>
      <c r="B1759" s="9" t="s">
        <v>9</v>
      </c>
      <c r="C1759" s="9">
        <v>1916</v>
      </c>
      <c r="D1759" s="10">
        <v>45646</v>
      </c>
      <c r="E1759" s="13" t="str">
        <f>+HYPERLINK("http://trademark.i-assist.jp/data/china/image_1916th/81301073.pdf","81301073")</f>
        <v>81301073</v>
      </c>
      <c r="F1759" s="12" t="s">
        <v>13</v>
      </c>
      <c r="G1759" s="9" t="s">
        <v>4859</v>
      </c>
      <c r="H1759" s="9" t="s">
        <v>4860</v>
      </c>
      <c r="I1759" s="10">
        <v>45575</v>
      </c>
    </row>
    <row r="1760" spans="1:9" x14ac:dyDescent="0.15">
      <c r="A1760" s="9">
        <v>1759</v>
      </c>
      <c r="B1760" s="9" t="s">
        <v>9</v>
      </c>
      <c r="C1760" s="9">
        <v>1916</v>
      </c>
      <c r="D1760" s="10">
        <v>45646</v>
      </c>
      <c r="E1760" s="13" t="str">
        <f>+HYPERLINK("http://trademark.i-assist.jp/data/china/image_1916th/81301856.pdf","81301856")</f>
        <v>81301856</v>
      </c>
      <c r="F1760" s="12" t="s">
        <v>4861</v>
      </c>
      <c r="G1760" s="9" t="s">
        <v>4862</v>
      </c>
      <c r="H1760" s="9" t="s">
        <v>4863</v>
      </c>
      <c r="I1760" s="10">
        <v>45575</v>
      </c>
    </row>
    <row r="1761" spans="1:9" x14ac:dyDescent="0.15">
      <c r="A1761" s="9">
        <v>1760</v>
      </c>
      <c r="B1761" s="9" t="s">
        <v>9</v>
      </c>
      <c r="C1761" s="9">
        <v>1916</v>
      </c>
      <c r="D1761" s="10">
        <v>45646</v>
      </c>
      <c r="E1761" s="13" t="str">
        <f>+HYPERLINK("http://trademark.i-assist.jp/data/china/image_1916th/81302408.pdf","81302408")</f>
        <v>81302408</v>
      </c>
      <c r="F1761" s="9" t="s">
        <v>4864</v>
      </c>
      <c r="G1761" s="9" t="s">
        <v>4865</v>
      </c>
      <c r="H1761" s="9" t="s">
        <v>4866</v>
      </c>
      <c r="I1761" s="10">
        <v>45575</v>
      </c>
    </row>
    <row r="1762" spans="1:9" x14ac:dyDescent="0.15">
      <c r="A1762" s="9">
        <v>1761</v>
      </c>
      <c r="B1762" s="9" t="s">
        <v>9</v>
      </c>
      <c r="C1762" s="9">
        <v>1916</v>
      </c>
      <c r="D1762" s="10">
        <v>45646</v>
      </c>
      <c r="E1762" s="13" t="str">
        <f>+HYPERLINK("http://trademark.i-assist.jp/data/china/image_1916th/81302633.pdf","81302633")</f>
        <v>81302633</v>
      </c>
      <c r="F1762" s="12" t="s">
        <v>13</v>
      </c>
      <c r="G1762" s="9" t="s">
        <v>4867</v>
      </c>
      <c r="H1762" s="9" t="s">
        <v>4868</v>
      </c>
      <c r="I1762" s="10">
        <v>45575</v>
      </c>
    </row>
    <row r="1763" spans="1:9" x14ac:dyDescent="0.15">
      <c r="A1763" s="9">
        <v>1762</v>
      </c>
      <c r="B1763" s="9" t="s">
        <v>9</v>
      </c>
      <c r="C1763" s="9">
        <v>1916</v>
      </c>
      <c r="D1763" s="10">
        <v>45646</v>
      </c>
      <c r="E1763" s="13" t="str">
        <f>+HYPERLINK("http://trademark.i-assist.jp/data/china/image_1916th/81302954.pdf","81302954")</f>
        <v>81302954</v>
      </c>
      <c r="F1763" s="9" t="s">
        <v>4869</v>
      </c>
      <c r="G1763" s="9" t="s">
        <v>4870</v>
      </c>
      <c r="H1763" s="9" t="s">
        <v>4871</v>
      </c>
      <c r="I1763" s="10">
        <v>45575</v>
      </c>
    </row>
    <row r="1764" spans="1:9" x14ac:dyDescent="0.15">
      <c r="A1764" s="9">
        <v>1763</v>
      </c>
      <c r="B1764" s="9" t="s">
        <v>9</v>
      </c>
      <c r="C1764" s="9">
        <v>1916</v>
      </c>
      <c r="D1764" s="10">
        <v>45646</v>
      </c>
      <c r="E1764" s="13" t="str">
        <f>+HYPERLINK("http://trademark.i-assist.jp/data/china/image_1916th/81302958.pdf","81302958")</f>
        <v>81302958</v>
      </c>
      <c r="F1764" s="9" t="s">
        <v>4872</v>
      </c>
      <c r="G1764" s="12" t="s">
        <v>4873</v>
      </c>
      <c r="H1764" s="9" t="s">
        <v>4874</v>
      </c>
      <c r="I1764" s="10">
        <v>45575</v>
      </c>
    </row>
    <row r="1765" spans="1:9" x14ac:dyDescent="0.15">
      <c r="A1765" s="9">
        <v>1764</v>
      </c>
      <c r="B1765" s="9" t="s">
        <v>9</v>
      </c>
      <c r="C1765" s="9">
        <v>1916</v>
      </c>
      <c r="D1765" s="10">
        <v>45646</v>
      </c>
      <c r="E1765" s="13" t="str">
        <f>+HYPERLINK("http://trademark.i-assist.jp/data/china/image_1916th/81303106.pdf","81303106")</f>
        <v>81303106</v>
      </c>
      <c r="F1765" s="9" t="s">
        <v>4875</v>
      </c>
      <c r="G1765" s="9" t="s">
        <v>4837</v>
      </c>
      <c r="H1765" s="9" t="s">
        <v>4876</v>
      </c>
      <c r="I1765" s="10">
        <v>45575</v>
      </c>
    </row>
    <row r="1766" spans="1:9" x14ac:dyDescent="0.15">
      <c r="A1766" s="9">
        <v>1765</v>
      </c>
      <c r="B1766" s="9" t="s">
        <v>9</v>
      </c>
      <c r="C1766" s="9">
        <v>1916</v>
      </c>
      <c r="D1766" s="10">
        <v>45646</v>
      </c>
      <c r="E1766" s="13" t="str">
        <f>+HYPERLINK("http://trademark.i-assist.jp/data/china/image_1916th/81303180.pdf","81303180")</f>
        <v>81303180</v>
      </c>
      <c r="F1766" s="9" t="s">
        <v>4877</v>
      </c>
      <c r="G1766" s="9" t="s">
        <v>4878</v>
      </c>
      <c r="H1766" s="9" t="s">
        <v>4879</v>
      </c>
      <c r="I1766" s="10">
        <v>45575</v>
      </c>
    </row>
    <row r="1767" spans="1:9" x14ac:dyDescent="0.15">
      <c r="A1767" s="9">
        <v>1766</v>
      </c>
      <c r="B1767" s="9" t="s">
        <v>9</v>
      </c>
      <c r="C1767" s="9">
        <v>1916</v>
      </c>
      <c r="D1767" s="10">
        <v>45646</v>
      </c>
      <c r="E1767" s="13" t="str">
        <f>+HYPERLINK("http://trademark.i-assist.jp/data/china/image_1916th/81303248.pdf","81303248")</f>
        <v>81303248</v>
      </c>
      <c r="F1767" s="9" t="s">
        <v>4880</v>
      </c>
      <c r="G1767" s="9" t="s">
        <v>4881</v>
      </c>
      <c r="H1767" s="9" t="s">
        <v>4882</v>
      </c>
      <c r="I1767" s="10">
        <v>45575</v>
      </c>
    </row>
    <row r="1768" spans="1:9" x14ac:dyDescent="0.15">
      <c r="A1768" s="9">
        <v>1767</v>
      </c>
      <c r="B1768" s="9" t="s">
        <v>9</v>
      </c>
      <c r="C1768" s="9">
        <v>1916</v>
      </c>
      <c r="D1768" s="10">
        <v>45646</v>
      </c>
      <c r="E1768" s="13" t="str">
        <f>+HYPERLINK("http://trademark.i-assist.jp/data/china/image_1916th/81303286.pdf","81303286")</f>
        <v>81303286</v>
      </c>
      <c r="F1768" s="9" t="s">
        <v>4883</v>
      </c>
      <c r="G1768" s="9" t="s">
        <v>4884</v>
      </c>
      <c r="H1768" s="9" t="s">
        <v>4885</v>
      </c>
      <c r="I1768" s="10">
        <v>45575</v>
      </c>
    </row>
    <row r="1769" spans="1:9" x14ac:dyDescent="0.15">
      <c r="A1769" s="9">
        <v>1768</v>
      </c>
      <c r="B1769" s="9" t="s">
        <v>9</v>
      </c>
      <c r="C1769" s="9">
        <v>1916</v>
      </c>
      <c r="D1769" s="10">
        <v>45646</v>
      </c>
      <c r="E1769" s="13" t="str">
        <f>+HYPERLINK("http://trademark.i-assist.jp/data/china/image_1916th/81303479.pdf","81303479")</f>
        <v>81303479</v>
      </c>
      <c r="F1769" s="9" t="s">
        <v>4886</v>
      </c>
      <c r="G1769" s="12" t="s">
        <v>20</v>
      </c>
      <c r="H1769" s="9" t="s">
        <v>4887</v>
      </c>
      <c r="I1769" s="10">
        <v>45575</v>
      </c>
    </row>
    <row r="1770" spans="1:9" x14ac:dyDescent="0.15">
      <c r="A1770" s="9">
        <v>1769</v>
      </c>
      <c r="B1770" s="9" t="s">
        <v>9</v>
      </c>
      <c r="C1770" s="9">
        <v>1916</v>
      </c>
      <c r="D1770" s="10">
        <v>45646</v>
      </c>
      <c r="E1770" s="13" t="str">
        <f>+HYPERLINK("http://trademark.i-assist.jp/data/china/image_1916th/81304169.pdf","81304169")</f>
        <v>81304169</v>
      </c>
      <c r="F1770" s="9" t="s">
        <v>4888</v>
      </c>
      <c r="G1770" s="12" t="s">
        <v>4889</v>
      </c>
      <c r="H1770" s="12" t="s">
        <v>4890</v>
      </c>
      <c r="I1770" s="10">
        <v>45575</v>
      </c>
    </row>
    <row r="1771" spans="1:9" x14ac:dyDescent="0.15">
      <c r="A1771" s="9">
        <v>1770</v>
      </c>
      <c r="B1771" s="9" t="s">
        <v>9</v>
      </c>
      <c r="C1771" s="9">
        <v>1916</v>
      </c>
      <c r="D1771" s="10">
        <v>45646</v>
      </c>
      <c r="E1771" s="13" t="str">
        <f>+HYPERLINK("http://trademark.i-assist.jp/data/china/image_1916th/81304189.pdf","81304189")</f>
        <v>81304189</v>
      </c>
      <c r="F1771" s="9" t="s">
        <v>4891</v>
      </c>
      <c r="G1771" s="12" t="s">
        <v>4892</v>
      </c>
      <c r="H1771" s="9" t="s">
        <v>4893</v>
      </c>
      <c r="I1771" s="10">
        <v>45575</v>
      </c>
    </row>
    <row r="1772" spans="1:9" x14ac:dyDescent="0.15">
      <c r="A1772" s="9">
        <v>1771</v>
      </c>
      <c r="B1772" s="9" t="s">
        <v>9</v>
      </c>
      <c r="C1772" s="9">
        <v>1916</v>
      </c>
      <c r="D1772" s="10">
        <v>45646</v>
      </c>
      <c r="E1772" s="13" t="str">
        <f>+HYPERLINK("http://trademark.i-assist.jp/data/china/image_1916th/81304257.pdf","81304257")</f>
        <v>81304257</v>
      </c>
      <c r="F1772" s="9" t="s">
        <v>4894</v>
      </c>
      <c r="G1772" s="9" t="s">
        <v>4895</v>
      </c>
      <c r="H1772" s="9" t="s">
        <v>4896</v>
      </c>
      <c r="I1772" s="10">
        <v>45575</v>
      </c>
    </row>
    <row r="1773" spans="1:9" x14ac:dyDescent="0.15">
      <c r="A1773" s="9">
        <v>1772</v>
      </c>
      <c r="B1773" s="9" t="s">
        <v>9</v>
      </c>
      <c r="C1773" s="9">
        <v>1916</v>
      </c>
      <c r="D1773" s="10">
        <v>45646</v>
      </c>
      <c r="E1773" s="13" t="str">
        <f>+HYPERLINK("http://trademark.i-assist.jp/data/china/image_1916th/81304361.pdf","81304361")</f>
        <v>81304361</v>
      </c>
      <c r="F1773" s="12" t="s">
        <v>4897</v>
      </c>
      <c r="G1773" s="9" t="s">
        <v>4898</v>
      </c>
      <c r="H1773" s="9" t="s">
        <v>4899</v>
      </c>
      <c r="I1773" s="10">
        <v>45575</v>
      </c>
    </row>
    <row r="1774" spans="1:9" x14ac:dyDescent="0.15">
      <c r="A1774" s="9">
        <v>1773</v>
      </c>
      <c r="B1774" s="9" t="s">
        <v>9</v>
      </c>
      <c r="C1774" s="9">
        <v>1916</v>
      </c>
      <c r="D1774" s="10">
        <v>45646</v>
      </c>
      <c r="E1774" s="13" t="str">
        <f>+HYPERLINK("http://trademark.i-assist.jp/data/china/image_1916th/81304789.pdf","81304789")</f>
        <v>81304789</v>
      </c>
      <c r="F1774" s="9" t="s">
        <v>4900</v>
      </c>
      <c r="G1774" s="9" t="s">
        <v>4901</v>
      </c>
      <c r="H1774" s="12" t="s">
        <v>4902</v>
      </c>
      <c r="I1774" s="10">
        <v>45575</v>
      </c>
    </row>
    <row r="1775" spans="1:9" x14ac:dyDescent="0.15">
      <c r="A1775" s="9">
        <v>1774</v>
      </c>
      <c r="B1775" s="9" t="s">
        <v>9</v>
      </c>
      <c r="C1775" s="9">
        <v>1916</v>
      </c>
      <c r="D1775" s="10">
        <v>45646</v>
      </c>
      <c r="E1775" s="13" t="str">
        <f>+HYPERLINK("http://trademark.i-assist.jp/data/china/image_1916th/81305650.pdf","81305650")</f>
        <v>81305650</v>
      </c>
      <c r="F1775" s="9" t="s">
        <v>4903</v>
      </c>
      <c r="G1775" s="12" t="s">
        <v>4828</v>
      </c>
      <c r="H1775" s="9" t="s">
        <v>4904</v>
      </c>
      <c r="I1775" s="10">
        <v>45575</v>
      </c>
    </row>
    <row r="1776" spans="1:9" x14ac:dyDescent="0.15">
      <c r="A1776" s="9">
        <v>1775</v>
      </c>
      <c r="B1776" s="9" t="s">
        <v>9</v>
      </c>
      <c r="C1776" s="9">
        <v>1916</v>
      </c>
      <c r="D1776" s="10">
        <v>45646</v>
      </c>
      <c r="E1776" s="13" t="str">
        <f>+HYPERLINK("http://trademark.i-assist.jp/data/china/image_1916th/81306315.pdf","81306315")</f>
        <v>81306315</v>
      </c>
      <c r="F1776" s="12" t="s">
        <v>4905</v>
      </c>
      <c r="G1776" s="9" t="s">
        <v>4906</v>
      </c>
      <c r="H1776" s="9" t="s">
        <v>4907</v>
      </c>
      <c r="I1776" s="10">
        <v>45575</v>
      </c>
    </row>
    <row r="1777" spans="1:9" x14ac:dyDescent="0.15">
      <c r="A1777" s="9">
        <v>1776</v>
      </c>
      <c r="B1777" s="9" t="s">
        <v>9</v>
      </c>
      <c r="C1777" s="9">
        <v>1916</v>
      </c>
      <c r="D1777" s="10">
        <v>45646</v>
      </c>
      <c r="E1777" s="13" t="str">
        <f>+HYPERLINK("http://trademark.i-assist.jp/data/china/image_1916th/81306750.pdf","81306750")</f>
        <v>81306750</v>
      </c>
      <c r="F1777" s="12" t="s">
        <v>4908</v>
      </c>
      <c r="G1777" s="9" t="s">
        <v>4909</v>
      </c>
      <c r="H1777" s="9" t="s">
        <v>4910</v>
      </c>
      <c r="I1777" s="10">
        <v>45575</v>
      </c>
    </row>
    <row r="1778" spans="1:9" x14ac:dyDescent="0.15">
      <c r="A1778" s="9">
        <v>1777</v>
      </c>
      <c r="B1778" s="9" t="s">
        <v>9</v>
      </c>
      <c r="C1778" s="9">
        <v>1916</v>
      </c>
      <c r="D1778" s="10">
        <v>45646</v>
      </c>
      <c r="E1778" s="13" t="str">
        <f>+HYPERLINK("http://trademark.i-assist.jp/data/china/image_1916th/81307485.pdf","81307485")</f>
        <v>81307485</v>
      </c>
      <c r="F1778" s="9" t="s">
        <v>4911</v>
      </c>
      <c r="G1778" s="9" t="s">
        <v>4912</v>
      </c>
      <c r="H1778" s="9" t="s">
        <v>4913</v>
      </c>
      <c r="I1778" s="10">
        <v>45575</v>
      </c>
    </row>
    <row r="1779" spans="1:9" x14ac:dyDescent="0.15">
      <c r="A1779" s="9">
        <v>1778</v>
      </c>
      <c r="B1779" s="9" t="s">
        <v>9</v>
      </c>
      <c r="C1779" s="9">
        <v>1916</v>
      </c>
      <c r="D1779" s="10">
        <v>45646</v>
      </c>
      <c r="E1779" s="13" t="str">
        <f>+HYPERLINK("http://trademark.i-assist.jp/data/china/image_1916th/81308265.pdf","81308265")</f>
        <v>81308265</v>
      </c>
      <c r="F1779" s="9" t="s">
        <v>4914</v>
      </c>
      <c r="G1779" s="12" t="s">
        <v>4915</v>
      </c>
      <c r="H1779" s="9" t="s">
        <v>4916</v>
      </c>
      <c r="I1779" s="10">
        <v>45575</v>
      </c>
    </row>
    <row r="1780" spans="1:9" x14ac:dyDescent="0.15">
      <c r="A1780" s="9">
        <v>1779</v>
      </c>
      <c r="B1780" s="9" t="s">
        <v>9</v>
      </c>
      <c r="C1780" s="9">
        <v>1916</v>
      </c>
      <c r="D1780" s="10">
        <v>45646</v>
      </c>
      <c r="E1780" s="13" t="str">
        <f>+HYPERLINK("http://trademark.i-assist.jp/data/china/image_1916th/81309550.pdf","81309550")</f>
        <v>81309550</v>
      </c>
      <c r="F1780" s="9" t="s">
        <v>4917</v>
      </c>
      <c r="G1780" s="9" t="s">
        <v>4918</v>
      </c>
      <c r="H1780" s="9" t="s">
        <v>4919</v>
      </c>
      <c r="I1780" s="10">
        <v>45575</v>
      </c>
    </row>
    <row r="1781" spans="1:9" x14ac:dyDescent="0.15">
      <c r="A1781" s="9">
        <v>1780</v>
      </c>
      <c r="B1781" s="9" t="s">
        <v>9</v>
      </c>
      <c r="C1781" s="9">
        <v>1916</v>
      </c>
      <c r="D1781" s="10">
        <v>45646</v>
      </c>
      <c r="E1781" s="13" t="str">
        <f>+HYPERLINK("http://trademark.i-assist.jp/data/china/image_1916th/81311212.pdf","81311212")</f>
        <v>81311212</v>
      </c>
      <c r="F1781" s="9" t="s">
        <v>4920</v>
      </c>
      <c r="G1781" s="9" t="s">
        <v>4921</v>
      </c>
      <c r="H1781" s="9" t="s">
        <v>4922</v>
      </c>
      <c r="I1781" s="10">
        <v>45576</v>
      </c>
    </row>
    <row r="1782" spans="1:9" x14ac:dyDescent="0.15">
      <c r="A1782" s="9">
        <v>1781</v>
      </c>
      <c r="B1782" s="9" t="s">
        <v>9</v>
      </c>
      <c r="C1782" s="9">
        <v>1916</v>
      </c>
      <c r="D1782" s="10">
        <v>45646</v>
      </c>
      <c r="E1782" s="13" t="str">
        <f>+HYPERLINK("http://trademark.i-assist.jp/data/china/image_1916th/81311809.pdf","81311809")</f>
        <v>81311809</v>
      </c>
      <c r="F1782" s="9" t="s">
        <v>4923</v>
      </c>
      <c r="G1782" s="9" t="s">
        <v>4924</v>
      </c>
      <c r="H1782" s="9" t="s">
        <v>4925</v>
      </c>
      <c r="I1782" s="10">
        <v>45576</v>
      </c>
    </row>
    <row r="1783" spans="1:9" x14ac:dyDescent="0.15">
      <c r="A1783" s="9">
        <v>1782</v>
      </c>
      <c r="B1783" s="9" t="s">
        <v>9</v>
      </c>
      <c r="C1783" s="9">
        <v>1916</v>
      </c>
      <c r="D1783" s="10">
        <v>45646</v>
      </c>
      <c r="E1783" s="13" t="str">
        <f>+HYPERLINK("http://trademark.i-assist.jp/data/china/image_1916th/81312195.pdf","81312195")</f>
        <v>81312195</v>
      </c>
      <c r="F1783" s="9" t="s">
        <v>4926</v>
      </c>
      <c r="G1783" s="12" t="s">
        <v>4927</v>
      </c>
      <c r="H1783" s="9" t="s">
        <v>4928</v>
      </c>
      <c r="I1783" s="10">
        <v>45576</v>
      </c>
    </row>
    <row r="1784" spans="1:9" x14ac:dyDescent="0.15">
      <c r="A1784" s="9">
        <v>1783</v>
      </c>
      <c r="B1784" s="9" t="s">
        <v>9</v>
      </c>
      <c r="C1784" s="9">
        <v>1916</v>
      </c>
      <c r="D1784" s="10">
        <v>45646</v>
      </c>
      <c r="E1784" s="13" t="str">
        <f>+HYPERLINK("http://trademark.i-assist.jp/data/china/image_1916th/81312221.pdf","81312221")</f>
        <v>81312221</v>
      </c>
      <c r="F1784" s="9" t="s">
        <v>4929</v>
      </c>
      <c r="G1784" s="9" t="s">
        <v>4930</v>
      </c>
      <c r="H1784" s="9" t="s">
        <v>4931</v>
      </c>
      <c r="I1784" s="10">
        <v>45576</v>
      </c>
    </row>
    <row r="1785" spans="1:9" x14ac:dyDescent="0.15">
      <c r="A1785" s="9">
        <v>1784</v>
      </c>
      <c r="B1785" s="9" t="s">
        <v>9</v>
      </c>
      <c r="C1785" s="9">
        <v>1916</v>
      </c>
      <c r="D1785" s="10">
        <v>45646</v>
      </c>
      <c r="E1785" s="13" t="str">
        <f>+HYPERLINK("http://trademark.i-assist.jp/data/china/image_1916th/81312232.pdf","81312232")</f>
        <v>81312232</v>
      </c>
      <c r="F1785" s="12" t="s">
        <v>4932</v>
      </c>
      <c r="G1785" s="9" t="s">
        <v>4930</v>
      </c>
      <c r="H1785" s="9" t="s">
        <v>4933</v>
      </c>
      <c r="I1785" s="10">
        <v>45576</v>
      </c>
    </row>
    <row r="1786" spans="1:9" x14ac:dyDescent="0.15">
      <c r="A1786" s="9">
        <v>1785</v>
      </c>
      <c r="B1786" s="9" t="s">
        <v>9</v>
      </c>
      <c r="C1786" s="9">
        <v>1916</v>
      </c>
      <c r="D1786" s="10">
        <v>45646</v>
      </c>
      <c r="E1786" s="13" t="str">
        <f>+HYPERLINK("http://trademark.i-assist.jp/data/china/image_1916th/81312454.pdf","81312454")</f>
        <v>81312454</v>
      </c>
      <c r="F1786" s="9" t="s">
        <v>4934</v>
      </c>
      <c r="G1786" s="9" t="s">
        <v>4935</v>
      </c>
      <c r="H1786" s="9" t="s">
        <v>4936</v>
      </c>
      <c r="I1786" s="10">
        <v>45576</v>
      </c>
    </row>
    <row r="1787" spans="1:9" x14ac:dyDescent="0.15">
      <c r="A1787" s="9">
        <v>1786</v>
      </c>
      <c r="B1787" s="9" t="s">
        <v>9</v>
      </c>
      <c r="C1787" s="9">
        <v>1916</v>
      </c>
      <c r="D1787" s="10">
        <v>45646</v>
      </c>
      <c r="E1787" s="13" t="str">
        <f>+HYPERLINK("http://trademark.i-assist.jp/data/china/image_1916th/81312942.pdf","81312942")</f>
        <v>81312942</v>
      </c>
      <c r="F1787" s="9" t="s">
        <v>4937</v>
      </c>
      <c r="G1787" s="9" t="s">
        <v>4938</v>
      </c>
      <c r="H1787" s="9" t="s">
        <v>4939</v>
      </c>
      <c r="I1787" s="10">
        <v>45576</v>
      </c>
    </row>
    <row r="1788" spans="1:9" x14ac:dyDescent="0.15">
      <c r="A1788" s="9">
        <v>1787</v>
      </c>
      <c r="B1788" s="9" t="s">
        <v>9</v>
      </c>
      <c r="C1788" s="9">
        <v>1916</v>
      </c>
      <c r="D1788" s="10">
        <v>45646</v>
      </c>
      <c r="E1788" s="13" t="str">
        <f>+HYPERLINK("http://trademark.i-assist.jp/data/china/image_1916th/81315657.pdf","81315657")</f>
        <v>81315657</v>
      </c>
      <c r="F1788" s="9" t="s">
        <v>4940</v>
      </c>
      <c r="G1788" s="9" t="s">
        <v>4941</v>
      </c>
      <c r="H1788" s="9" t="s">
        <v>4942</v>
      </c>
      <c r="I1788" s="10">
        <v>45576</v>
      </c>
    </row>
    <row r="1789" spans="1:9" x14ac:dyDescent="0.15">
      <c r="A1789" s="9">
        <v>1788</v>
      </c>
      <c r="B1789" s="9" t="s">
        <v>9</v>
      </c>
      <c r="C1789" s="9">
        <v>1916</v>
      </c>
      <c r="D1789" s="10">
        <v>45646</v>
      </c>
      <c r="E1789" s="13" t="str">
        <f>+HYPERLINK("http://trademark.i-assist.jp/data/china/image_1916th/81315896.pdf","81315896")</f>
        <v>81315896</v>
      </c>
      <c r="F1789" s="9" t="s">
        <v>4943</v>
      </c>
      <c r="G1789" s="9" t="s">
        <v>4944</v>
      </c>
      <c r="H1789" s="9" t="s">
        <v>4945</v>
      </c>
      <c r="I1789" s="10">
        <v>45576</v>
      </c>
    </row>
    <row r="1790" spans="1:9" x14ac:dyDescent="0.15">
      <c r="A1790" s="9">
        <v>1789</v>
      </c>
      <c r="B1790" s="9" t="s">
        <v>9</v>
      </c>
      <c r="C1790" s="9">
        <v>1916</v>
      </c>
      <c r="D1790" s="10">
        <v>45646</v>
      </c>
      <c r="E1790" s="13" t="str">
        <f>+HYPERLINK("http://trademark.i-assist.jp/data/china/image_1916th/81316360.pdf","81316360")</f>
        <v>81316360</v>
      </c>
      <c r="F1790" s="9" t="s">
        <v>4946</v>
      </c>
      <c r="G1790" s="12" t="s">
        <v>4947</v>
      </c>
      <c r="H1790" s="9" t="s">
        <v>4948</v>
      </c>
      <c r="I1790" s="10">
        <v>45576</v>
      </c>
    </row>
    <row r="1791" spans="1:9" x14ac:dyDescent="0.15">
      <c r="A1791" s="9">
        <v>1790</v>
      </c>
      <c r="B1791" s="9" t="s">
        <v>9</v>
      </c>
      <c r="C1791" s="9">
        <v>1916</v>
      </c>
      <c r="D1791" s="10">
        <v>45646</v>
      </c>
      <c r="E1791" s="13" t="str">
        <f>+HYPERLINK("http://trademark.i-assist.jp/data/china/image_1916th/81317605.pdf","81317605")</f>
        <v>81317605</v>
      </c>
      <c r="F1791" s="12" t="s">
        <v>13</v>
      </c>
      <c r="G1791" s="12" t="s">
        <v>4949</v>
      </c>
      <c r="H1791" s="12" t="s">
        <v>4950</v>
      </c>
      <c r="I1791" s="10">
        <v>45576</v>
      </c>
    </row>
    <row r="1792" spans="1:9" x14ac:dyDescent="0.15">
      <c r="A1792" s="9">
        <v>1791</v>
      </c>
      <c r="B1792" s="9" t="s">
        <v>9</v>
      </c>
      <c r="C1792" s="9">
        <v>1916</v>
      </c>
      <c r="D1792" s="10">
        <v>45646</v>
      </c>
      <c r="E1792" s="13" t="str">
        <f>+HYPERLINK("http://trademark.i-assist.jp/data/china/image_1916th/81317884.pdf","81317884")</f>
        <v>81317884</v>
      </c>
      <c r="F1792" s="9" t="s">
        <v>4951</v>
      </c>
      <c r="G1792" s="9" t="s">
        <v>4952</v>
      </c>
      <c r="H1792" s="12" t="s">
        <v>4953</v>
      </c>
      <c r="I1792" s="10">
        <v>45576</v>
      </c>
    </row>
    <row r="1793" spans="1:9" x14ac:dyDescent="0.15">
      <c r="A1793" s="9">
        <v>1792</v>
      </c>
      <c r="B1793" s="9" t="s">
        <v>9</v>
      </c>
      <c r="C1793" s="9">
        <v>1916</v>
      </c>
      <c r="D1793" s="10">
        <v>45646</v>
      </c>
      <c r="E1793" s="13" t="str">
        <f>+HYPERLINK("http://trademark.i-assist.jp/data/china/image_1916th/81317894.pdf","81317894")</f>
        <v>81317894</v>
      </c>
      <c r="F1793" s="9" t="s">
        <v>4954</v>
      </c>
      <c r="G1793" s="9" t="s">
        <v>4955</v>
      </c>
      <c r="H1793" s="9" t="s">
        <v>4956</v>
      </c>
      <c r="I1793" s="10">
        <v>45576</v>
      </c>
    </row>
    <row r="1794" spans="1:9" x14ac:dyDescent="0.15">
      <c r="A1794" s="9">
        <v>1793</v>
      </c>
      <c r="B1794" s="9" t="s">
        <v>9</v>
      </c>
      <c r="C1794" s="9">
        <v>1916</v>
      </c>
      <c r="D1794" s="10">
        <v>45646</v>
      </c>
      <c r="E1794" s="13" t="str">
        <f>+HYPERLINK("http://trademark.i-assist.jp/data/china/image_1916th/81318712.pdf","81318712")</f>
        <v>81318712</v>
      </c>
      <c r="F1794" s="9" t="s">
        <v>4957</v>
      </c>
      <c r="G1794" s="12" t="s">
        <v>4958</v>
      </c>
      <c r="H1794" s="9" t="s">
        <v>4959</v>
      </c>
      <c r="I1794" s="10">
        <v>45576</v>
      </c>
    </row>
    <row r="1795" spans="1:9" x14ac:dyDescent="0.15">
      <c r="A1795" s="9">
        <v>1794</v>
      </c>
      <c r="B1795" s="9" t="s">
        <v>9</v>
      </c>
      <c r="C1795" s="9">
        <v>1916</v>
      </c>
      <c r="D1795" s="10">
        <v>45646</v>
      </c>
      <c r="E1795" s="13" t="str">
        <f>+HYPERLINK("http://trademark.i-assist.jp/data/china/image_1916th/81319814.pdf","81319814")</f>
        <v>81319814</v>
      </c>
      <c r="F1795" s="9" t="s">
        <v>4960</v>
      </c>
      <c r="G1795" s="9" t="s">
        <v>4961</v>
      </c>
      <c r="H1795" s="9" t="s">
        <v>4962</v>
      </c>
      <c r="I1795" s="10">
        <v>45576</v>
      </c>
    </row>
    <row r="1796" spans="1:9" x14ac:dyDescent="0.15">
      <c r="A1796" s="9">
        <v>1795</v>
      </c>
      <c r="B1796" s="9" t="s">
        <v>9</v>
      </c>
      <c r="C1796" s="9">
        <v>1916</v>
      </c>
      <c r="D1796" s="10">
        <v>45646</v>
      </c>
      <c r="E1796" s="13" t="str">
        <f>+HYPERLINK("http://trademark.i-assist.jp/data/china/image_1916th/81319861.pdf","81319861")</f>
        <v>81319861</v>
      </c>
      <c r="F1796" s="9" t="s">
        <v>4963</v>
      </c>
      <c r="G1796" s="12" t="s">
        <v>4964</v>
      </c>
      <c r="H1796" s="12" t="s">
        <v>4965</v>
      </c>
      <c r="I1796" s="10">
        <v>45576</v>
      </c>
    </row>
    <row r="1797" spans="1:9" x14ac:dyDescent="0.15">
      <c r="A1797" s="9">
        <v>1796</v>
      </c>
      <c r="B1797" s="9" t="s">
        <v>9</v>
      </c>
      <c r="C1797" s="9">
        <v>1916</v>
      </c>
      <c r="D1797" s="10">
        <v>45646</v>
      </c>
      <c r="E1797" s="13" t="str">
        <f>+HYPERLINK("http://trademark.i-assist.jp/data/china/image_1916th/81320041.pdf","81320041")</f>
        <v>81320041</v>
      </c>
      <c r="F1797" s="9" t="s">
        <v>4966</v>
      </c>
      <c r="G1797" s="9" t="s">
        <v>4967</v>
      </c>
      <c r="H1797" s="9" t="s">
        <v>4968</v>
      </c>
      <c r="I1797" s="10">
        <v>45576</v>
      </c>
    </row>
    <row r="1798" spans="1:9" x14ac:dyDescent="0.15">
      <c r="A1798" s="9">
        <v>1797</v>
      </c>
      <c r="B1798" s="9" t="s">
        <v>9</v>
      </c>
      <c r="C1798" s="9">
        <v>1916</v>
      </c>
      <c r="D1798" s="10">
        <v>45646</v>
      </c>
      <c r="E1798" s="13" t="str">
        <f>+HYPERLINK("http://trademark.i-assist.jp/data/china/image_1916th/81320379.pdf","81320379")</f>
        <v>81320379</v>
      </c>
      <c r="F1798" s="9" t="s">
        <v>4969</v>
      </c>
      <c r="G1798" s="9" t="s">
        <v>4935</v>
      </c>
      <c r="H1798" s="9" t="s">
        <v>4970</v>
      </c>
      <c r="I1798" s="10">
        <v>45576</v>
      </c>
    </row>
    <row r="1799" spans="1:9" x14ac:dyDescent="0.15">
      <c r="A1799" s="9">
        <v>1798</v>
      </c>
      <c r="B1799" s="9" t="s">
        <v>9</v>
      </c>
      <c r="C1799" s="9">
        <v>1916</v>
      </c>
      <c r="D1799" s="10">
        <v>45646</v>
      </c>
      <c r="E1799" s="13" t="str">
        <f>+HYPERLINK("http://trademark.i-assist.jp/data/china/image_1916th/81320670.pdf","81320670")</f>
        <v>81320670</v>
      </c>
      <c r="F1799" s="9" t="s">
        <v>4971</v>
      </c>
      <c r="G1799" s="9" t="s">
        <v>4972</v>
      </c>
      <c r="H1799" s="9" t="s">
        <v>4973</v>
      </c>
      <c r="I1799" s="10">
        <v>45576</v>
      </c>
    </row>
    <row r="1800" spans="1:9" x14ac:dyDescent="0.15">
      <c r="A1800" s="9">
        <v>1799</v>
      </c>
      <c r="B1800" s="9" t="s">
        <v>9</v>
      </c>
      <c r="C1800" s="9">
        <v>1916</v>
      </c>
      <c r="D1800" s="10">
        <v>45646</v>
      </c>
      <c r="E1800" s="13" t="str">
        <f>+HYPERLINK("http://trademark.i-assist.jp/data/china/image_1916th/81321193.pdf","81321193")</f>
        <v>81321193</v>
      </c>
      <c r="F1800" s="9" t="s">
        <v>4974</v>
      </c>
      <c r="G1800" s="12" t="s">
        <v>4975</v>
      </c>
      <c r="H1800" s="9" t="s">
        <v>4976</v>
      </c>
      <c r="I1800" s="10">
        <v>45576</v>
      </c>
    </row>
    <row r="1801" spans="1:9" x14ac:dyDescent="0.15">
      <c r="A1801" s="9">
        <v>1800</v>
      </c>
      <c r="B1801" s="9" t="s">
        <v>9</v>
      </c>
      <c r="C1801" s="9">
        <v>1916</v>
      </c>
      <c r="D1801" s="10">
        <v>45646</v>
      </c>
      <c r="E1801" s="13" t="str">
        <f>+HYPERLINK("http://trademark.i-assist.jp/data/china/image_1916th/81321249.pdf","81321249")</f>
        <v>81321249</v>
      </c>
      <c r="F1801" s="12" t="s">
        <v>13</v>
      </c>
      <c r="G1801" s="9" t="s">
        <v>4977</v>
      </c>
      <c r="H1801" s="9" t="s">
        <v>4978</v>
      </c>
      <c r="I1801" s="10">
        <v>45576</v>
      </c>
    </row>
    <row r="1802" spans="1:9" x14ac:dyDescent="0.15">
      <c r="A1802" s="9">
        <v>1801</v>
      </c>
      <c r="B1802" s="9" t="s">
        <v>9</v>
      </c>
      <c r="C1802" s="9">
        <v>1916</v>
      </c>
      <c r="D1802" s="10">
        <v>45646</v>
      </c>
      <c r="E1802" s="13" t="str">
        <f>+HYPERLINK("http://trademark.i-assist.jp/data/china/image_1916th/81321543.pdf","81321543")</f>
        <v>81321543</v>
      </c>
      <c r="F1802" s="9" t="s">
        <v>4979</v>
      </c>
      <c r="G1802" s="12" t="s">
        <v>4980</v>
      </c>
      <c r="H1802" s="9" t="s">
        <v>4981</v>
      </c>
      <c r="I1802" s="10">
        <v>45576</v>
      </c>
    </row>
    <row r="1803" spans="1:9" x14ac:dyDescent="0.15">
      <c r="A1803" s="9">
        <v>1802</v>
      </c>
      <c r="B1803" s="9" t="s">
        <v>9</v>
      </c>
      <c r="C1803" s="9">
        <v>1916</v>
      </c>
      <c r="D1803" s="10">
        <v>45646</v>
      </c>
      <c r="E1803" s="13" t="str">
        <f>+HYPERLINK("http://trademark.i-assist.jp/data/china/image_1916th/81321925.pdf","81321925")</f>
        <v>81321925</v>
      </c>
      <c r="F1803" s="11" t="s">
        <v>4982</v>
      </c>
      <c r="G1803" s="9" t="s">
        <v>4983</v>
      </c>
      <c r="H1803" s="9" t="s">
        <v>4984</v>
      </c>
      <c r="I1803" s="10">
        <v>45576</v>
      </c>
    </row>
    <row r="1804" spans="1:9" x14ac:dyDescent="0.15">
      <c r="A1804" s="9">
        <v>1803</v>
      </c>
      <c r="B1804" s="9" t="s">
        <v>9</v>
      </c>
      <c r="C1804" s="9">
        <v>1916</v>
      </c>
      <c r="D1804" s="10">
        <v>45646</v>
      </c>
      <c r="E1804" s="13" t="str">
        <f>+HYPERLINK("http://trademark.i-assist.jp/data/china/image_1916th/81322673.pdf","81322673")</f>
        <v>81322673</v>
      </c>
      <c r="F1804" s="9" t="s">
        <v>4985</v>
      </c>
      <c r="G1804" s="9" t="s">
        <v>1614</v>
      </c>
      <c r="H1804" s="9" t="s">
        <v>4986</v>
      </c>
      <c r="I1804" s="10">
        <v>45576</v>
      </c>
    </row>
    <row r="1805" spans="1:9" x14ac:dyDescent="0.15">
      <c r="A1805" s="9">
        <v>1804</v>
      </c>
      <c r="B1805" s="9" t="s">
        <v>9</v>
      </c>
      <c r="C1805" s="9">
        <v>1916</v>
      </c>
      <c r="D1805" s="10">
        <v>45646</v>
      </c>
      <c r="E1805" s="13" t="str">
        <f>+HYPERLINK("http://trademark.i-assist.jp/data/china/image_1916th/81323180.pdf","81323180")</f>
        <v>81323180</v>
      </c>
      <c r="F1805" s="9" t="s">
        <v>4987</v>
      </c>
      <c r="G1805" s="9" t="s">
        <v>4988</v>
      </c>
      <c r="H1805" s="9" t="s">
        <v>4989</v>
      </c>
      <c r="I1805" s="10">
        <v>45576</v>
      </c>
    </row>
    <row r="1806" spans="1:9" x14ac:dyDescent="0.15">
      <c r="A1806" s="9">
        <v>1805</v>
      </c>
      <c r="B1806" s="9" t="s">
        <v>9</v>
      </c>
      <c r="C1806" s="9">
        <v>1916</v>
      </c>
      <c r="D1806" s="10">
        <v>45646</v>
      </c>
      <c r="E1806" s="13" t="str">
        <f>+HYPERLINK("http://trademark.i-assist.jp/data/china/image_1916th/81324674.pdf","81324674")</f>
        <v>81324674</v>
      </c>
      <c r="F1806" s="9" t="s">
        <v>4990</v>
      </c>
      <c r="G1806" s="9" t="s">
        <v>4988</v>
      </c>
      <c r="H1806" s="9" t="s">
        <v>4991</v>
      </c>
      <c r="I1806" s="10">
        <v>45576</v>
      </c>
    </row>
    <row r="1807" spans="1:9" x14ac:dyDescent="0.15">
      <c r="A1807" s="9">
        <v>1806</v>
      </c>
      <c r="B1807" s="9" t="s">
        <v>9</v>
      </c>
      <c r="C1807" s="9">
        <v>1916</v>
      </c>
      <c r="D1807" s="10">
        <v>45646</v>
      </c>
      <c r="E1807" s="13" t="str">
        <f>+HYPERLINK("http://trademark.i-assist.jp/data/china/image_1916th/81325345.pdf","81325345")</f>
        <v>81325345</v>
      </c>
      <c r="F1807" s="9" t="s">
        <v>4992</v>
      </c>
      <c r="G1807" s="9" t="s">
        <v>1614</v>
      </c>
      <c r="H1807" s="9" t="s">
        <v>4993</v>
      </c>
      <c r="I1807" s="10">
        <v>45576</v>
      </c>
    </row>
    <row r="1808" spans="1:9" x14ac:dyDescent="0.15">
      <c r="A1808" s="9">
        <v>1807</v>
      </c>
      <c r="B1808" s="9" t="s">
        <v>9</v>
      </c>
      <c r="C1808" s="9">
        <v>1916</v>
      </c>
      <c r="D1808" s="10">
        <v>45646</v>
      </c>
      <c r="E1808" s="13" t="str">
        <f>+HYPERLINK("http://trademark.i-assist.jp/data/china/image_1916th/81326452.pdf","81326452")</f>
        <v>81326452</v>
      </c>
      <c r="F1808" s="9" t="s">
        <v>4994</v>
      </c>
      <c r="G1808" s="9" t="s">
        <v>4995</v>
      </c>
      <c r="H1808" s="9" t="s">
        <v>4996</v>
      </c>
      <c r="I1808" s="10">
        <v>45576</v>
      </c>
    </row>
    <row r="1809" spans="1:9" x14ac:dyDescent="0.15">
      <c r="A1809" s="9">
        <v>1808</v>
      </c>
      <c r="B1809" s="9" t="s">
        <v>9</v>
      </c>
      <c r="C1809" s="9">
        <v>1916</v>
      </c>
      <c r="D1809" s="10">
        <v>45646</v>
      </c>
      <c r="E1809" s="13" t="str">
        <f>+HYPERLINK("http://trademark.i-assist.jp/data/china/image_1916th/81326913.pdf","81326913")</f>
        <v>81326913</v>
      </c>
      <c r="F1809" s="12" t="s">
        <v>4997</v>
      </c>
      <c r="G1809" s="12" t="s">
        <v>2343</v>
      </c>
      <c r="H1809" s="9" t="s">
        <v>4998</v>
      </c>
      <c r="I1809" s="10">
        <v>45576</v>
      </c>
    </row>
    <row r="1810" spans="1:9" x14ac:dyDescent="0.15">
      <c r="A1810" s="9">
        <v>1809</v>
      </c>
      <c r="B1810" s="9" t="s">
        <v>9</v>
      </c>
      <c r="C1810" s="9">
        <v>1916</v>
      </c>
      <c r="D1810" s="10">
        <v>45646</v>
      </c>
      <c r="E1810" s="13" t="str">
        <f>+HYPERLINK("http://trademark.i-assist.jp/data/china/image_1916th/81328134.pdf","81328134")</f>
        <v>81328134</v>
      </c>
      <c r="F1810" s="12" t="s">
        <v>13</v>
      </c>
      <c r="G1810" s="9" t="s">
        <v>4999</v>
      </c>
      <c r="H1810" s="9" t="s">
        <v>5000</v>
      </c>
      <c r="I1810" s="10">
        <v>45576</v>
      </c>
    </row>
    <row r="1811" spans="1:9" x14ac:dyDescent="0.15">
      <c r="A1811" s="9">
        <v>1810</v>
      </c>
      <c r="B1811" s="9" t="s">
        <v>9</v>
      </c>
      <c r="C1811" s="9">
        <v>1916</v>
      </c>
      <c r="D1811" s="10">
        <v>45646</v>
      </c>
      <c r="E1811" s="13" t="str">
        <f>+HYPERLINK("http://trademark.i-assist.jp/data/china/image_1916th/81328135.pdf","81328135")</f>
        <v>81328135</v>
      </c>
      <c r="F1811" s="9" t="s">
        <v>5001</v>
      </c>
      <c r="G1811" s="9" t="s">
        <v>5002</v>
      </c>
      <c r="H1811" s="9" t="s">
        <v>5003</v>
      </c>
      <c r="I1811" s="10">
        <v>45576</v>
      </c>
    </row>
    <row r="1812" spans="1:9" x14ac:dyDescent="0.15">
      <c r="A1812" s="9">
        <v>1811</v>
      </c>
      <c r="B1812" s="9" t="s">
        <v>9</v>
      </c>
      <c r="C1812" s="9">
        <v>1916</v>
      </c>
      <c r="D1812" s="10">
        <v>45646</v>
      </c>
      <c r="E1812" s="13" t="str">
        <f>+HYPERLINK("http://trademark.i-assist.jp/data/china/image_1916th/81328920.pdf","81328920")</f>
        <v>81328920</v>
      </c>
      <c r="F1812" s="9" t="s">
        <v>5004</v>
      </c>
      <c r="G1812" s="9" t="s">
        <v>5005</v>
      </c>
      <c r="H1812" s="9" t="s">
        <v>5006</v>
      </c>
      <c r="I1812" s="10">
        <v>45576</v>
      </c>
    </row>
    <row r="1813" spans="1:9" x14ac:dyDescent="0.15">
      <c r="A1813" s="9">
        <v>1812</v>
      </c>
      <c r="B1813" s="9" t="s">
        <v>9</v>
      </c>
      <c r="C1813" s="9">
        <v>1916</v>
      </c>
      <c r="D1813" s="10">
        <v>45646</v>
      </c>
      <c r="E1813" s="13" t="str">
        <f>+HYPERLINK("http://trademark.i-assist.jp/data/china/image_1916th/81329173.pdf","81329173")</f>
        <v>81329173</v>
      </c>
      <c r="F1813" s="9" t="s">
        <v>5007</v>
      </c>
      <c r="G1813" s="12" t="s">
        <v>5008</v>
      </c>
      <c r="H1813" s="9" t="s">
        <v>5009</v>
      </c>
      <c r="I1813" s="10">
        <v>45576</v>
      </c>
    </row>
    <row r="1814" spans="1:9" x14ac:dyDescent="0.15">
      <c r="A1814" s="9">
        <v>1813</v>
      </c>
      <c r="B1814" s="9" t="s">
        <v>9</v>
      </c>
      <c r="C1814" s="9">
        <v>1916</v>
      </c>
      <c r="D1814" s="10">
        <v>45646</v>
      </c>
      <c r="E1814" s="13" t="str">
        <f>+HYPERLINK("http://trademark.i-assist.jp/data/china/image_1916th/81329414.pdf","81329414")</f>
        <v>81329414</v>
      </c>
      <c r="F1814" s="9" t="s">
        <v>5010</v>
      </c>
      <c r="G1814" s="12" t="s">
        <v>5011</v>
      </c>
      <c r="H1814" s="9" t="s">
        <v>5012</v>
      </c>
      <c r="I1814" s="10">
        <v>45576</v>
      </c>
    </row>
    <row r="1815" spans="1:9" x14ac:dyDescent="0.15">
      <c r="A1815" s="9">
        <v>1814</v>
      </c>
      <c r="B1815" s="9" t="s">
        <v>9</v>
      </c>
      <c r="C1815" s="9">
        <v>1916</v>
      </c>
      <c r="D1815" s="10">
        <v>45646</v>
      </c>
      <c r="E1815" s="13" t="str">
        <f>+HYPERLINK("http://trademark.i-assist.jp/data/china/image_1916th/81329601.pdf","81329601")</f>
        <v>81329601</v>
      </c>
      <c r="F1815" s="12" t="s">
        <v>5013</v>
      </c>
      <c r="G1815" s="9" t="s">
        <v>5014</v>
      </c>
      <c r="H1815" s="9" t="s">
        <v>5015</v>
      </c>
      <c r="I1815" s="10">
        <v>45576</v>
      </c>
    </row>
    <row r="1816" spans="1:9" x14ac:dyDescent="0.15">
      <c r="A1816" s="9">
        <v>1815</v>
      </c>
      <c r="B1816" s="9" t="s">
        <v>9</v>
      </c>
      <c r="C1816" s="9">
        <v>1916</v>
      </c>
      <c r="D1816" s="10">
        <v>45646</v>
      </c>
      <c r="E1816" s="13" t="str">
        <f>+HYPERLINK("http://trademark.i-assist.jp/data/china/image_1916th/81330125.pdf","81330125")</f>
        <v>81330125</v>
      </c>
      <c r="F1816" s="12" t="s">
        <v>5016</v>
      </c>
      <c r="G1816" s="9" t="s">
        <v>4930</v>
      </c>
      <c r="H1816" s="9" t="s">
        <v>5017</v>
      </c>
      <c r="I1816" s="10">
        <v>45576</v>
      </c>
    </row>
    <row r="1817" spans="1:9" x14ac:dyDescent="0.15">
      <c r="A1817" s="9">
        <v>1816</v>
      </c>
      <c r="B1817" s="9" t="s">
        <v>9</v>
      </c>
      <c r="C1817" s="9">
        <v>1916</v>
      </c>
      <c r="D1817" s="10">
        <v>45646</v>
      </c>
      <c r="E1817" s="13" t="str">
        <f>+HYPERLINK("http://trademark.i-assist.jp/data/china/image_1916th/81330254.pdf","81330254")</f>
        <v>81330254</v>
      </c>
      <c r="F1817" s="9" t="s">
        <v>5018</v>
      </c>
      <c r="G1817" s="9" t="s">
        <v>5019</v>
      </c>
      <c r="H1817" s="9" t="s">
        <v>5020</v>
      </c>
      <c r="I1817" s="10">
        <v>45576</v>
      </c>
    </row>
    <row r="1818" spans="1:9" x14ac:dyDescent="0.15">
      <c r="A1818" s="9">
        <v>1817</v>
      </c>
      <c r="B1818" s="9" t="s">
        <v>9</v>
      </c>
      <c r="C1818" s="9">
        <v>1916</v>
      </c>
      <c r="D1818" s="10">
        <v>45646</v>
      </c>
      <c r="E1818" s="13" t="str">
        <f>+HYPERLINK("http://trademark.i-assist.jp/data/china/image_1916th/81332336.pdf","81332336")</f>
        <v>81332336</v>
      </c>
      <c r="F1818" s="12" t="s">
        <v>5021</v>
      </c>
      <c r="G1818" s="12" t="s">
        <v>5008</v>
      </c>
      <c r="H1818" s="9" t="s">
        <v>5022</v>
      </c>
      <c r="I1818" s="10">
        <v>45576</v>
      </c>
    </row>
    <row r="1819" spans="1:9" x14ac:dyDescent="0.15">
      <c r="A1819" s="9">
        <v>1818</v>
      </c>
      <c r="B1819" s="9" t="s">
        <v>9</v>
      </c>
      <c r="C1819" s="9">
        <v>1916</v>
      </c>
      <c r="D1819" s="10">
        <v>45646</v>
      </c>
      <c r="E1819" s="13" t="str">
        <f>+HYPERLINK("http://trademark.i-assist.jp/data/china/image_1916th/81332960.pdf","81332960")</f>
        <v>81332960</v>
      </c>
      <c r="F1819" s="12" t="s">
        <v>5023</v>
      </c>
      <c r="G1819" s="9" t="s">
        <v>4930</v>
      </c>
      <c r="H1819" s="9" t="s">
        <v>5024</v>
      </c>
      <c r="I1819" s="10">
        <v>45576</v>
      </c>
    </row>
    <row r="1820" spans="1:9" x14ac:dyDescent="0.15">
      <c r="A1820" s="9">
        <v>1819</v>
      </c>
      <c r="B1820" s="9" t="s">
        <v>9</v>
      </c>
      <c r="C1820" s="9">
        <v>1916</v>
      </c>
      <c r="D1820" s="10">
        <v>45646</v>
      </c>
      <c r="E1820" s="13" t="str">
        <f>+HYPERLINK("http://trademark.i-assist.jp/data/china/image_1916th/81333392.pdf","81333392")</f>
        <v>81333392</v>
      </c>
      <c r="F1820" s="9" t="s">
        <v>5025</v>
      </c>
      <c r="G1820" s="9" t="s">
        <v>5026</v>
      </c>
      <c r="H1820" s="9" t="s">
        <v>5027</v>
      </c>
      <c r="I1820" s="10">
        <v>45576</v>
      </c>
    </row>
    <row r="1821" spans="1:9" x14ac:dyDescent="0.15">
      <c r="A1821" s="9">
        <v>1820</v>
      </c>
      <c r="B1821" s="9" t="s">
        <v>9</v>
      </c>
      <c r="C1821" s="9">
        <v>1916</v>
      </c>
      <c r="D1821" s="10">
        <v>45646</v>
      </c>
      <c r="E1821" s="13" t="str">
        <f>+HYPERLINK("http://trademark.i-assist.jp/data/china/image_1916th/81333766.pdf","81333766")</f>
        <v>81333766</v>
      </c>
      <c r="F1821" s="9" t="s">
        <v>5028</v>
      </c>
      <c r="G1821" s="9" t="s">
        <v>5029</v>
      </c>
      <c r="H1821" s="12" t="s">
        <v>5030</v>
      </c>
      <c r="I1821" s="10">
        <v>45576</v>
      </c>
    </row>
    <row r="1822" spans="1:9" x14ac:dyDescent="0.15">
      <c r="A1822" s="9">
        <v>1821</v>
      </c>
      <c r="B1822" s="9" t="s">
        <v>9</v>
      </c>
      <c r="C1822" s="9">
        <v>1916</v>
      </c>
      <c r="D1822" s="10">
        <v>45646</v>
      </c>
      <c r="E1822" s="13" t="str">
        <f>+HYPERLINK("http://trademark.i-assist.jp/data/china/image_1916th/81333922.pdf","81333922")</f>
        <v>81333922</v>
      </c>
      <c r="F1822" s="9" t="s">
        <v>5031</v>
      </c>
      <c r="G1822" s="9" t="s">
        <v>5032</v>
      </c>
      <c r="H1822" s="9" t="s">
        <v>5033</v>
      </c>
      <c r="I1822" s="10">
        <v>45577</v>
      </c>
    </row>
    <row r="1823" spans="1:9" x14ac:dyDescent="0.15">
      <c r="A1823" s="9">
        <v>1822</v>
      </c>
      <c r="B1823" s="9" t="s">
        <v>9</v>
      </c>
      <c r="C1823" s="9">
        <v>1916</v>
      </c>
      <c r="D1823" s="10">
        <v>45646</v>
      </c>
      <c r="E1823" s="13" t="str">
        <f>+HYPERLINK("http://trademark.i-assist.jp/data/china/image_1916th/81334185.pdf","81334185")</f>
        <v>81334185</v>
      </c>
      <c r="F1823" s="9" t="s">
        <v>5034</v>
      </c>
      <c r="G1823" s="9" t="s">
        <v>5035</v>
      </c>
      <c r="H1823" s="12" t="s">
        <v>5036</v>
      </c>
      <c r="I1823" s="10">
        <v>45577</v>
      </c>
    </row>
    <row r="1824" spans="1:9" x14ac:dyDescent="0.15">
      <c r="A1824" s="9">
        <v>1823</v>
      </c>
      <c r="B1824" s="9" t="s">
        <v>9</v>
      </c>
      <c r="C1824" s="9">
        <v>1916</v>
      </c>
      <c r="D1824" s="10">
        <v>45646</v>
      </c>
      <c r="E1824" s="13" t="str">
        <f>+HYPERLINK("http://trademark.i-assist.jp/data/china/image_1916th/81334484.pdf","81334484")</f>
        <v>81334484</v>
      </c>
      <c r="F1824" s="9" t="s">
        <v>5037</v>
      </c>
      <c r="G1824" s="9" t="s">
        <v>5038</v>
      </c>
      <c r="H1824" s="9" t="s">
        <v>5039</v>
      </c>
      <c r="I1824" s="10">
        <v>45577</v>
      </c>
    </row>
    <row r="1825" spans="1:9" x14ac:dyDescent="0.15">
      <c r="A1825" s="9">
        <v>1824</v>
      </c>
      <c r="B1825" s="9" t="s">
        <v>9</v>
      </c>
      <c r="C1825" s="9">
        <v>1916</v>
      </c>
      <c r="D1825" s="10">
        <v>45646</v>
      </c>
      <c r="E1825" s="13" t="str">
        <f>+HYPERLINK("http://trademark.i-assist.jp/data/china/image_1916th/81334715.pdf","81334715")</f>
        <v>81334715</v>
      </c>
      <c r="F1825" s="9" t="s">
        <v>5040</v>
      </c>
      <c r="G1825" s="9" t="s">
        <v>4672</v>
      </c>
      <c r="H1825" s="9" t="s">
        <v>5041</v>
      </c>
      <c r="I1825" s="10">
        <v>45577</v>
      </c>
    </row>
    <row r="1826" spans="1:9" x14ac:dyDescent="0.15">
      <c r="A1826" s="9">
        <v>1825</v>
      </c>
      <c r="B1826" s="9" t="s">
        <v>9</v>
      </c>
      <c r="C1826" s="9">
        <v>1916</v>
      </c>
      <c r="D1826" s="10">
        <v>45646</v>
      </c>
      <c r="E1826" s="13" t="str">
        <f>+HYPERLINK("http://trademark.i-assist.jp/data/china/image_1916th/81334794.pdf","81334794")</f>
        <v>81334794</v>
      </c>
      <c r="F1826" s="12" t="s">
        <v>5042</v>
      </c>
      <c r="G1826" s="9" t="s">
        <v>5043</v>
      </c>
      <c r="H1826" s="9" t="s">
        <v>5044</v>
      </c>
      <c r="I1826" s="10">
        <v>45577</v>
      </c>
    </row>
    <row r="1827" spans="1:9" x14ac:dyDescent="0.15">
      <c r="A1827" s="9">
        <v>1826</v>
      </c>
      <c r="B1827" s="9" t="s">
        <v>9</v>
      </c>
      <c r="C1827" s="9">
        <v>1916</v>
      </c>
      <c r="D1827" s="10">
        <v>45646</v>
      </c>
      <c r="E1827" s="13" t="str">
        <f>+HYPERLINK("http://trademark.i-assist.jp/data/china/image_1916th/81335314.pdf","81335314")</f>
        <v>81335314</v>
      </c>
      <c r="F1827" s="9" t="s">
        <v>5045</v>
      </c>
      <c r="G1827" s="12" t="s">
        <v>5046</v>
      </c>
      <c r="H1827" s="9" t="s">
        <v>5047</v>
      </c>
      <c r="I1827" s="10">
        <v>45577</v>
      </c>
    </row>
    <row r="1828" spans="1:9" x14ac:dyDescent="0.15">
      <c r="A1828" s="9">
        <v>1827</v>
      </c>
      <c r="B1828" s="9" t="s">
        <v>9</v>
      </c>
      <c r="C1828" s="9">
        <v>1916</v>
      </c>
      <c r="D1828" s="10">
        <v>45646</v>
      </c>
      <c r="E1828" s="13" t="str">
        <f>+HYPERLINK("http://trademark.i-assist.jp/data/china/image_1916th/81335586.pdf","81335586")</f>
        <v>81335586</v>
      </c>
      <c r="F1828" s="9" t="s">
        <v>5048</v>
      </c>
      <c r="G1828" s="9" t="s">
        <v>5049</v>
      </c>
      <c r="H1828" s="9" t="s">
        <v>5050</v>
      </c>
      <c r="I1828" s="10">
        <v>45577</v>
      </c>
    </row>
    <row r="1829" spans="1:9" x14ac:dyDescent="0.15">
      <c r="A1829" s="9">
        <v>1828</v>
      </c>
      <c r="B1829" s="9" t="s">
        <v>9</v>
      </c>
      <c r="C1829" s="9">
        <v>1916</v>
      </c>
      <c r="D1829" s="10">
        <v>45646</v>
      </c>
      <c r="E1829" s="13" t="str">
        <f>+HYPERLINK("http://trademark.i-assist.jp/data/china/image_1916th/81336191.pdf","81336191")</f>
        <v>81336191</v>
      </c>
      <c r="F1829" s="9" t="s">
        <v>5051</v>
      </c>
      <c r="G1829" s="9" t="s">
        <v>5052</v>
      </c>
      <c r="H1829" s="9" t="s">
        <v>5053</v>
      </c>
      <c r="I1829" s="10">
        <v>45577</v>
      </c>
    </row>
    <row r="1830" spans="1:9" x14ac:dyDescent="0.15">
      <c r="A1830" s="9">
        <v>1829</v>
      </c>
      <c r="B1830" s="9" t="s">
        <v>9</v>
      </c>
      <c r="C1830" s="9">
        <v>1916</v>
      </c>
      <c r="D1830" s="10">
        <v>45646</v>
      </c>
      <c r="E1830" s="13" t="str">
        <f>+HYPERLINK("http://trademark.i-assist.jp/data/china/image_1916th/81336972.pdf","81336972")</f>
        <v>81336972</v>
      </c>
      <c r="F1830" s="9" t="s">
        <v>5037</v>
      </c>
      <c r="G1830" s="9" t="s">
        <v>5038</v>
      </c>
      <c r="H1830" s="9" t="s">
        <v>5054</v>
      </c>
      <c r="I1830" s="10">
        <v>45577</v>
      </c>
    </row>
    <row r="1831" spans="1:9" x14ac:dyDescent="0.15">
      <c r="A1831" s="9">
        <v>1830</v>
      </c>
      <c r="B1831" s="9" t="s">
        <v>9</v>
      </c>
      <c r="C1831" s="9">
        <v>1916</v>
      </c>
      <c r="D1831" s="10">
        <v>45646</v>
      </c>
      <c r="E1831" s="13" t="str">
        <f>+HYPERLINK("http://trademark.i-assist.jp/data/china/image_1916th/81337683.pdf","81337683")</f>
        <v>81337683</v>
      </c>
      <c r="F1831" s="9" t="s">
        <v>5055</v>
      </c>
      <c r="G1831" s="12" t="s">
        <v>5056</v>
      </c>
      <c r="H1831" s="12" t="s">
        <v>5057</v>
      </c>
      <c r="I1831" s="10">
        <v>45577</v>
      </c>
    </row>
    <row r="1832" spans="1:9" x14ac:dyDescent="0.15">
      <c r="A1832" s="9">
        <v>1831</v>
      </c>
      <c r="B1832" s="9" t="s">
        <v>9</v>
      </c>
      <c r="C1832" s="9">
        <v>1916</v>
      </c>
      <c r="D1832" s="10">
        <v>45646</v>
      </c>
      <c r="E1832" s="13" t="str">
        <f>+HYPERLINK("http://trademark.i-assist.jp/data/china/image_1916th/81340512.pdf","81340512")</f>
        <v>81340512</v>
      </c>
      <c r="F1832" s="9" t="s">
        <v>5058</v>
      </c>
      <c r="G1832" s="9" t="s">
        <v>28</v>
      </c>
      <c r="H1832" s="9" t="s">
        <v>5059</v>
      </c>
      <c r="I1832" s="10">
        <v>45577</v>
      </c>
    </row>
    <row r="1833" spans="1:9" x14ac:dyDescent="0.15">
      <c r="A1833" s="9">
        <v>1832</v>
      </c>
      <c r="B1833" s="9" t="s">
        <v>9</v>
      </c>
      <c r="C1833" s="9">
        <v>1916</v>
      </c>
      <c r="D1833" s="10">
        <v>45646</v>
      </c>
      <c r="E1833" s="13" t="str">
        <f>+HYPERLINK("http://trademark.i-assist.jp/data/china/image_1916th/81342073.pdf","81342073")</f>
        <v>81342073</v>
      </c>
      <c r="F1833" s="9" t="s">
        <v>5060</v>
      </c>
      <c r="G1833" s="12" t="s">
        <v>5061</v>
      </c>
      <c r="H1833" s="9" t="s">
        <v>5062</v>
      </c>
      <c r="I1833" s="10">
        <v>45577</v>
      </c>
    </row>
    <row r="1834" spans="1:9" x14ac:dyDescent="0.15">
      <c r="A1834" s="9">
        <v>1833</v>
      </c>
      <c r="B1834" s="9" t="s">
        <v>9</v>
      </c>
      <c r="C1834" s="9">
        <v>1916</v>
      </c>
      <c r="D1834" s="10">
        <v>45646</v>
      </c>
      <c r="E1834" s="13" t="str">
        <f>+HYPERLINK("http://trademark.i-assist.jp/data/china/image_1916th/81344075.pdf","81344075")</f>
        <v>81344075</v>
      </c>
      <c r="F1834" s="9" t="s">
        <v>5063</v>
      </c>
      <c r="G1834" s="9" t="s">
        <v>4672</v>
      </c>
      <c r="H1834" s="9" t="s">
        <v>5064</v>
      </c>
      <c r="I1834" s="10">
        <v>45577</v>
      </c>
    </row>
    <row r="1835" spans="1:9" x14ac:dyDescent="0.15">
      <c r="A1835" s="9">
        <v>1834</v>
      </c>
      <c r="B1835" s="9" t="s">
        <v>9</v>
      </c>
      <c r="C1835" s="9">
        <v>1916</v>
      </c>
      <c r="D1835" s="10">
        <v>45646</v>
      </c>
      <c r="E1835" s="13" t="str">
        <f>+HYPERLINK("http://trademark.i-assist.jp/data/china/image_1916th/81344662.pdf","81344662")</f>
        <v>81344662</v>
      </c>
      <c r="F1835" s="9" t="s">
        <v>5065</v>
      </c>
      <c r="G1835" s="9" t="s">
        <v>28</v>
      </c>
      <c r="H1835" s="12" t="s">
        <v>5066</v>
      </c>
      <c r="I1835" s="10">
        <v>45577</v>
      </c>
    </row>
    <row r="1836" spans="1:9" x14ac:dyDescent="0.15">
      <c r="A1836" s="9">
        <v>1835</v>
      </c>
      <c r="B1836" s="9" t="s">
        <v>9</v>
      </c>
      <c r="C1836" s="9">
        <v>1916</v>
      </c>
      <c r="D1836" s="10">
        <v>45646</v>
      </c>
      <c r="E1836" s="13" t="str">
        <f>+HYPERLINK("http://trademark.i-assist.jp/data/china/image_1916th/81345546.pdf","81345546")</f>
        <v>81345546</v>
      </c>
      <c r="F1836" s="9" t="s">
        <v>5067</v>
      </c>
      <c r="G1836" s="9" t="s">
        <v>4672</v>
      </c>
      <c r="H1836" s="12" t="s">
        <v>5068</v>
      </c>
      <c r="I1836" s="10">
        <v>45577</v>
      </c>
    </row>
    <row r="1837" spans="1:9" x14ac:dyDescent="0.15">
      <c r="A1837" s="9">
        <v>1836</v>
      </c>
      <c r="B1837" s="9" t="s">
        <v>9</v>
      </c>
      <c r="C1837" s="9">
        <v>1916</v>
      </c>
      <c r="D1837" s="10">
        <v>45646</v>
      </c>
      <c r="E1837" s="13" t="str">
        <f>+HYPERLINK("http://trademark.i-assist.jp/data/china/image_1916th/81345693.pdf","81345693")</f>
        <v>81345693</v>
      </c>
      <c r="F1837" s="9" t="s">
        <v>5069</v>
      </c>
      <c r="G1837" s="9" t="s">
        <v>5070</v>
      </c>
      <c r="H1837" s="9" t="s">
        <v>5071</v>
      </c>
      <c r="I1837" s="10">
        <v>45577</v>
      </c>
    </row>
    <row r="1838" spans="1:9" x14ac:dyDescent="0.15">
      <c r="A1838" s="9">
        <v>1837</v>
      </c>
      <c r="B1838" s="9" t="s">
        <v>9</v>
      </c>
      <c r="C1838" s="9">
        <v>1916</v>
      </c>
      <c r="D1838" s="10">
        <v>45646</v>
      </c>
      <c r="E1838" s="13" t="str">
        <f>+HYPERLINK("http://trademark.i-assist.jp/data/china/image_1916th/81345876.pdf","81345876")</f>
        <v>81345876</v>
      </c>
      <c r="F1838" s="12" t="s">
        <v>13</v>
      </c>
      <c r="G1838" s="9" t="s">
        <v>5072</v>
      </c>
      <c r="H1838" s="9" t="s">
        <v>5073</v>
      </c>
      <c r="I1838" s="10">
        <v>45577</v>
      </c>
    </row>
    <row r="1839" spans="1:9" x14ac:dyDescent="0.15">
      <c r="A1839" s="9">
        <v>1838</v>
      </c>
      <c r="B1839" s="9" t="s">
        <v>9</v>
      </c>
      <c r="C1839" s="9">
        <v>1916</v>
      </c>
      <c r="D1839" s="10">
        <v>45646</v>
      </c>
      <c r="E1839" s="13" t="str">
        <f>+HYPERLINK("http://trademark.i-assist.jp/data/china/image_1916th/81346815.pdf","81346815")</f>
        <v>81346815</v>
      </c>
      <c r="F1839" s="12" t="s">
        <v>5074</v>
      </c>
      <c r="G1839" s="9" t="s">
        <v>5075</v>
      </c>
      <c r="H1839" s="9" t="s">
        <v>5076</v>
      </c>
      <c r="I1839" s="10">
        <v>45577</v>
      </c>
    </row>
    <row r="1840" spans="1:9" x14ac:dyDescent="0.15">
      <c r="A1840" s="9">
        <v>1839</v>
      </c>
      <c r="B1840" s="9" t="s">
        <v>9</v>
      </c>
      <c r="C1840" s="9">
        <v>1916</v>
      </c>
      <c r="D1840" s="10">
        <v>45646</v>
      </c>
      <c r="E1840" s="13" t="str">
        <f>+HYPERLINK("http://trademark.i-assist.jp/data/china/image_1916th/81347950.pdf","81347950")</f>
        <v>81347950</v>
      </c>
      <c r="F1840" s="9" t="s">
        <v>5077</v>
      </c>
      <c r="G1840" s="9" t="s">
        <v>5049</v>
      </c>
      <c r="H1840" s="9" t="s">
        <v>5078</v>
      </c>
      <c r="I1840" s="10">
        <v>45577</v>
      </c>
    </row>
    <row r="1841" spans="1:9" x14ac:dyDescent="0.15">
      <c r="A1841" s="9">
        <v>1840</v>
      </c>
      <c r="B1841" s="9" t="s">
        <v>9</v>
      </c>
      <c r="C1841" s="9">
        <v>1916</v>
      </c>
      <c r="D1841" s="10">
        <v>45646</v>
      </c>
      <c r="E1841" s="13" t="str">
        <f>+HYPERLINK("http://trademark.i-assist.jp/data/china/image_1916th/81348696.pdf","81348696")</f>
        <v>81348696</v>
      </c>
      <c r="F1841" s="12" t="s">
        <v>5079</v>
      </c>
      <c r="G1841" s="9" t="s">
        <v>5080</v>
      </c>
      <c r="H1841" s="9" t="s">
        <v>5081</v>
      </c>
      <c r="I1841" s="10">
        <v>45577</v>
      </c>
    </row>
    <row r="1842" spans="1:9" x14ac:dyDescent="0.15">
      <c r="A1842" s="9">
        <v>1841</v>
      </c>
      <c r="B1842" s="9" t="s">
        <v>9</v>
      </c>
      <c r="C1842" s="9">
        <v>1916</v>
      </c>
      <c r="D1842" s="10">
        <v>45646</v>
      </c>
      <c r="E1842" s="13" t="str">
        <f>+HYPERLINK("http://trademark.i-assist.jp/data/china/image_1916th/81348977.pdf","81348977")</f>
        <v>81348977</v>
      </c>
      <c r="F1842" s="9" t="s">
        <v>5082</v>
      </c>
      <c r="G1842" s="12" t="s">
        <v>5083</v>
      </c>
      <c r="H1842" s="12" t="s">
        <v>5084</v>
      </c>
      <c r="I1842" s="10">
        <v>45577</v>
      </c>
    </row>
    <row r="1843" spans="1:9" x14ac:dyDescent="0.15">
      <c r="A1843" s="9">
        <v>1842</v>
      </c>
      <c r="B1843" s="9" t="s">
        <v>9</v>
      </c>
      <c r="C1843" s="9">
        <v>1916</v>
      </c>
      <c r="D1843" s="10">
        <v>45646</v>
      </c>
      <c r="E1843" s="13" t="str">
        <f>+HYPERLINK("http://trademark.i-assist.jp/data/china/image_1916th/81349165.pdf","81349165")</f>
        <v>81349165</v>
      </c>
      <c r="F1843" s="9" t="s">
        <v>5085</v>
      </c>
      <c r="G1843" s="12" t="s">
        <v>5086</v>
      </c>
      <c r="H1843" s="12" t="s">
        <v>5087</v>
      </c>
      <c r="I1843" s="10">
        <v>45577</v>
      </c>
    </row>
    <row r="1844" spans="1:9" x14ac:dyDescent="0.15">
      <c r="A1844" s="9">
        <v>1843</v>
      </c>
      <c r="B1844" s="9" t="s">
        <v>9</v>
      </c>
      <c r="C1844" s="9">
        <v>1916</v>
      </c>
      <c r="D1844" s="10">
        <v>45646</v>
      </c>
      <c r="E1844" s="13" t="str">
        <f>+HYPERLINK("http://trademark.i-assist.jp/data/china/image_1916th/81351024.pdf","81351024")</f>
        <v>81351024</v>
      </c>
      <c r="F1844" s="9" t="s">
        <v>5088</v>
      </c>
      <c r="G1844" s="12" t="s">
        <v>5089</v>
      </c>
      <c r="H1844" s="9" t="s">
        <v>5090</v>
      </c>
      <c r="I1844" s="10">
        <v>45577</v>
      </c>
    </row>
    <row r="1845" spans="1:9" x14ac:dyDescent="0.15">
      <c r="A1845" s="9">
        <v>1844</v>
      </c>
      <c r="B1845" s="9" t="s">
        <v>9</v>
      </c>
      <c r="C1845" s="9">
        <v>1916</v>
      </c>
      <c r="D1845" s="10">
        <v>45646</v>
      </c>
      <c r="E1845" s="13" t="str">
        <f>+HYPERLINK("http://trademark.i-assist.jp/data/china/image_1916th/81351367.pdf","81351367")</f>
        <v>81351367</v>
      </c>
      <c r="F1845" s="9" t="s">
        <v>5091</v>
      </c>
      <c r="G1845" s="9" t="s">
        <v>4672</v>
      </c>
      <c r="H1845" s="9" t="s">
        <v>5092</v>
      </c>
      <c r="I1845" s="10">
        <v>45577</v>
      </c>
    </row>
    <row r="1846" spans="1:9" x14ac:dyDescent="0.15">
      <c r="A1846" s="9">
        <v>1845</v>
      </c>
      <c r="B1846" s="9" t="s">
        <v>9</v>
      </c>
      <c r="C1846" s="9">
        <v>1916</v>
      </c>
      <c r="D1846" s="10">
        <v>45646</v>
      </c>
      <c r="E1846" s="13" t="str">
        <f>+HYPERLINK("http://trademark.i-assist.jp/data/china/image_1916th/81351419.pdf","81351419")</f>
        <v>81351419</v>
      </c>
      <c r="F1846" s="9" t="s">
        <v>5093</v>
      </c>
      <c r="G1846" s="9" t="s">
        <v>5094</v>
      </c>
      <c r="H1846" s="9" t="s">
        <v>5095</v>
      </c>
      <c r="I1846" s="10">
        <v>45577</v>
      </c>
    </row>
    <row r="1847" spans="1:9" x14ac:dyDescent="0.15">
      <c r="A1847" s="9">
        <v>1846</v>
      </c>
      <c r="B1847" s="9" t="s">
        <v>9</v>
      </c>
      <c r="C1847" s="9">
        <v>1916</v>
      </c>
      <c r="D1847" s="10">
        <v>45646</v>
      </c>
      <c r="E1847" s="13" t="str">
        <f>+HYPERLINK("http://trademark.i-assist.jp/data/china/image_1916th/81351877.pdf","81351877")</f>
        <v>81351877</v>
      </c>
      <c r="F1847" s="9" t="s">
        <v>5096</v>
      </c>
      <c r="G1847" s="9" t="s">
        <v>5097</v>
      </c>
      <c r="H1847" s="9" t="s">
        <v>5098</v>
      </c>
      <c r="I1847" s="10">
        <v>45577</v>
      </c>
    </row>
    <row r="1848" spans="1:9" x14ac:dyDescent="0.15">
      <c r="A1848" s="9">
        <v>1847</v>
      </c>
      <c r="B1848" s="9" t="s">
        <v>9</v>
      </c>
      <c r="C1848" s="9">
        <v>1916</v>
      </c>
      <c r="D1848" s="10">
        <v>45646</v>
      </c>
      <c r="E1848" s="13" t="str">
        <f>+HYPERLINK("http://trademark.i-assist.jp/data/china/image_1916th/81352869.pdf","81352869")</f>
        <v>81352869</v>
      </c>
      <c r="F1848" s="9" t="s">
        <v>5099</v>
      </c>
      <c r="G1848" s="9" t="s">
        <v>5038</v>
      </c>
      <c r="H1848" s="9" t="s">
        <v>5100</v>
      </c>
      <c r="I1848" s="10">
        <v>45577</v>
      </c>
    </row>
    <row r="1849" spans="1:9" x14ac:dyDescent="0.15">
      <c r="A1849" s="9">
        <v>1848</v>
      </c>
      <c r="B1849" s="9" t="s">
        <v>9</v>
      </c>
      <c r="C1849" s="9">
        <v>1916</v>
      </c>
      <c r="D1849" s="10">
        <v>45646</v>
      </c>
      <c r="E1849" s="13" t="str">
        <f>+HYPERLINK("http://trademark.i-assist.jp/data/china/image_1916th/81353191.pdf","81353191")</f>
        <v>81353191</v>
      </c>
      <c r="F1849" s="9" t="s">
        <v>5101</v>
      </c>
      <c r="G1849" s="9" t="s">
        <v>4672</v>
      </c>
      <c r="H1849" s="9" t="s">
        <v>5102</v>
      </c>
      <c r="I1849" s="10">
        <v>45577</v>
      </c>
    </row>
    <row r="1850" spans="1:9" x14ac:dyDescent="0.15">
      <c r="A1850" s="9">
        <v>1849</v>
      </c>
      <c r="B1850" s="9" t="s">
        <v>9</v>
      </c>
      <c r="C1850" s="9">
        <v>1916</v>
      </c>
      <c r="D1850" s="10">
        <v>45646</v>
      </c>
      <c r="E1850" s="13" t="str">
        <f>+HYPERLINK("http://trademark.i-assist.jp/data/china/image_1916th/81354092.pdf","81354092")</f>
        <v>81354092</v>
      </c>
      <c r="F1850" s="12" t="s">
        <v>5103</v>
      </c>
      <c r="G1850" s="9" t="s">
        <v>5104</v>
      </c>
      <c r="H1850" s="9" t="s">
        <v>5105</v>
      </c>
      <c r="I1850" s="10">
        <v>45577</v>
      </c>
    </row>
    <row r="1851" spans="1:9" x14ac:dyDescent="0.15">
      <c r="A1851" s="9">
        <v>1850</v>
      </c>
      <c r="B1851" s="9" t="s">
        <v>9</v>
      </c>
      <c r="C1851" s="9">
        <v>1916</v>
      </c>
      <c r="D1851" s="10">
        <v>45646</v>
      </c>
      <c r="E1851" s="13" t="str">
        <f>+HYPERLINK("http://trademark.i-assist.jp/data/china/image_1916th/81354313.pdf","81354313")</f>
        <v>81354313</v>
      </c>
      <c r="F1851" s="9" t="s">
        <v>5106</v>
      </c>
      <c r="G1851" s="12" t="s">
        <v>5107</v>
      </c>
      <c r="H1851" s="12" t="s">
        <v>5108</v>
      </c>
      <c r="I1851" s="10">
        <v>45577</v>
      </c>
    </row>
    <row r="1852" spans="1:9" x14ac:dyDescent="0.15">
      <c r="A1852" s="9">
        <v>1851</v>
      </c>
      <c r="B1852" s="9" t="s">
        <v>9</v>
      </c>
      <c r="C1852" s="9">
        <v>1916</v>
      </c>
      <c r="D1852" s="10">
        <v>45646</v>
      </c>
      <c r="E1852" s="13" t="str">
        <f>+HYPERLINK("http://trademark.i-assist.jp/data/china/image_1916th/81355004.pdf","81355004")</f>
        <v>81355004</v>
      </c>
      <c r="F1852" s="9" t="s">
        <v>5109</v>
      </c>
      <c r="G1852" s="9" t="s">
        <v>5110</v>
      </c>
      <c r="H1852" s="9" t="s">
        <v>5111</v>
      </c>
      <c r="I1852" s="10">
        <v>45577</v>
      </c>
    </row>
    <row r="1853" spans="1:9" x14ac:dyDescent="0.15">
      <c r="A1853" s="9">
        <v>1852</v>
      </c>
      <c r="B1853" s="9" t="s">
        <v>9</v>
      </c>
      <c r="C1853" s="9">
        <v>1916</v>
      </c>
      <c r="D1853" s="10">
        <v>45646</v>
      </c>
      <c r="E1853" s="13" t="str">
        <f>+HYPERLINK("http://trademark.i-assist.jp/data/china/image_1916th/81355065.pdf","81355065")</f>
        <v>81355065</v>
      </c>
      <c r="F1853" s="9" t="s">
        <v>5112</v>
      </c>
      <c r="G1853" s="9" t="s">
        <v>5113</v>
      </c>
      <c r="H1853" s="9" t="s">
        <v>5114</v>
      </c>
      <c r="I1853" s="10">
        <v>45578</v>
      </c>
    </row>
    <row r="1854" spans="1:9" x14ac:dyDescent="0.15">
      <c r="A1854" s="9">
        <v>1853</v>
      </c>
      <c r="B1854" s="9" t="s">
        <v>9</v>
      </c>
      <c r="C1854" s="9">
        <v>1916</v>
      </c>
      <c r="D1854" s="10">
        <v>45646</v>
      </c>
      <c r="E1854" s="13" t="str">
        <f>+HYPERLINK("http://trademark.i-assist.jp/data/china/image_1916th/81355296.pdf","81355296")</f>
        <v>81355296</v>
      </c>
      <c r="F1854" s="12" t="s">
        <v>5115</v>
      </c>
      <c r="G1854" s="12" t="s">
        <v>5116</v>
      </c>
      <c r="H1854" s="9" t="s">
        <v>5117</v>
      </c>
      <c r="I1854" s="10">
        <v>45578</v>
      </c>
    </row>
    <row r="1855" spans="1:9" x14ac:dyDescent="0.15">
      <c r="A1855" s="9">
        <v>1854</v>
      </c>
      <c r="B1855" s="9" t="s">
        <v>9</v>
      </c>
      <c r="C1855" s="9">
        <v>1916</v>
      </c>
      <c r="D1855" s="10">
        <v>45646</v>
      </c>
      <c r="E1855" s="13" t="str">
        <f>+HYPERLINK("http://trademark.i-assist.jp/data/china/image_1916th/81356250.pdf","81356250")</f>
        <v>81356250</v>
      </c>
      <c r="F1855" s="9" t="s">
        <v>5118</v>
      </c>
      <c r="G1855" s="9" t="s">
        <v>5119</v>
      </c>
      <c r="H1855" s="9" t="s">
        <v>5120</v>
      </c>
      <c r="I1855" s="10">
        <v>45578</v>
      </c>
    </row>
    <row r="1856" spans="1:9" x14ac:dyDescent="0.15">
      <c r="A1856" s="9">
        <v>1855</v>
      </c>
      <c r="B1856" s="9" t="s">
        <v>9</v>
      </c>
      <c r="C1856" s="9">
        <v>1916</v>
      </c>
      <c r="D1856" s="10">
        <v>45646</v>
      </c>
      <c r="E1856" s="13" t="str">
        <f>+HYPERLINK("http://trademark.i-assist.jp/data/china/image_1916th/81357569.pdf","81357569")</f>
        <v>81357569</v>
      </c>
      <c r="F1856" s="9" t="s">
        <v>5121</v>
      </c>
      <c r="G1856" s="12" t="s">
        <v>5122</v>
      </c>
      <c r="H1856" s="9" t="s">
        <v>5123</v>
      </c>
      <c r="I1856" s="10">
        <v>45578</v>
      </c>
    </row>
    <row r="1857" spans="1:9" x14ac:dyDescent="0.15">
      <c r="A1857" s="9">
        <v>1856</v>
      </c>
      <c r="B1857" s="9" t="s">
        <v>9</v>
      </c>
      <c r="C1857" s="9">
        <v>1916</v>
      </c>
      <c r="D1857" s="10">
        <v>45646</v>
      </c>
      <c r="E1857" s="13" t="str">
        <f>+HYPERLINK("http://trademark.i-assist.jp/data/china/image_1916th/81358363.pdf","81358363")</f>
        <v>81358363</v>
      </c>
      <c r="F1857" s="12" t="s">
        <v>5124</v>
      </c>
      <c r="G1857" s="9" t="s">
        <v>5119</v>
      </c>
      <c r="H1857" s="9" t="s">
        <v>5125</v>
      </c>
      <c r="I1857" s="10">
        <v>45578</v>
      </c>
    </row>
    <row r="1858" spans="1:9" x14ac:dyDescent="0.15">
      <c r="A1858" s="9">
        <v>1857</v>
      </c>
      <c r="B1858" s="9" t="s">
        <v>9</v>
      </c>
      <c r="C1858" s="9">
        <v>1916</v>
      </c>
      <c r="D1858" s="10">
        <v>45646</v>
      </c>
      <c r="E1858" s="13" t="str">
        <f>+HYPERLINK("http://trademark.i-assist.jp/data/china/image_1916th/81359102.pdf","81359102")</f>
        <v>81359102</v>
      </c>
      <c r="F1858" s="9" t="s">
        <v>5126</v>
      </c>
      <c r="G1858" s="12" t="s">
        <v>53</v>
      </c>
      <c r="H1858" s="9" t="s">
        <v>5127</v>
      </c>
      <c r="I1858" s="10">
        <v>45579</v>
      </c>
    </row>
    <row r="1859" spans="1:9" x14ac:dyDescent="0.15">
      <c r="A1859" s="9">
        <v>1858</v>
      </c>
      <c r="B1859" s="9" t="s">
        <v>9</v>
      </c>
      <c r="C1859" s="9">
        <v>1916</v>
      </c>
      <c r="D1859" s="10">
        <v>45646</v>
      </c>
      <c r="E1859" s="13" t="str">
        <f>+HYPERLINK("http://trademark.i-assist.jp/data/china/image_1916th/81359948.pdf","81359948")</f>
        <v>81359948</v>
      </c>
      <c r="F1859" s="12" t="s">
        <v>5128</v>
      </c>
      <c r="G1859" s="9" t="s">
        <v>5129</v>
      </c>
      <c r="H1859" s="9" t="s">
        <v>5130</v>
      </c>
      <c r="I1859" s="10">
        <v>45579</v>
      </c>
    </row>
    <row r="1860" spans="1:9" x14ac:dyDescent="0.15">
      <c r="A1860" s="9">
        <v>1859</v>
      </c>
      <c r="B1860" s="9" t="s">
        <v>9</v>
      </c>
      <c r="C1860" s="9">
        <v>1916</v>
      </c>
      <c r="D1860" s="10">
        <v>45646</v>
      </c>
      <c r="E1860" s="13" t="str">
        <f>+HYPERLINK("http://trademark.i-assist.jp/data/china/image_1916th/81361443.pdf","81361443")</f>
        <v>81361443</v>
      </c>
      <c r="F1860" s="9" t="s">
        <v>5131</v>
      </c>
      <c r="G1860" s="9" t="s">
        <v>5132</v>
      </c>
      <c r="H1860" s="9" t="s">
        <v>5133</v>
      </c>
      <c r="I1860" s="10">
        <v>45579</v>
      </c>
    </row>
    <row r="1861" spans="1:9" x14ac:dyDescent="0.15">
      <c r="A1861" s="9">
        <v>1860</v>
      </c>
      <c r="B1861" s="9" t="s">
        <v>9</v>
      </c>
      <c r="C1861" s="9">
        <v>1916</v>
      </c>
      <c r="D1861" s="10">
        <v>45646</v>
      </c>
      <c r="E1861" s="13" t="str">
        <f>+HYPERLINK("http://trademark.i-assist.jp/data/china/image_1916th/81361831.pdf","81361831")</f>
        <v>81361831</v>
      </c>
      <c r="F1861" s="12" t="s">
        <v>13</v>
      </c>
      <c r="G1861" s="9" t="s">
        <v>5134</v>
      </c>
      <c r="H1861" s="12" t="s">
        <v>5135</v>
      </c>
      <c r="I1861" s="10">
        <v>45579</v>
      </c>
    </row>
    <row r="1862" spans="1:9" x14ac:dyDescent="0.15">
      <c r="A1862" s="9">
        <v>1861</v>
      </c>
      <c r="B1862" s="9" t="s">
        <v>9</v>
      </c>
      <c r="C1862" s="9">
        <v>1916</v>
      </c>
      <c r="D1862" s="10">
        <v>45646</v>
      </c>
      <c r="E1862" s="13" t="str">
        <f>+HYPERLINK("http://trademark.i-assist.jp/data/china/image_1916th/81361947.pdf","81361947")</f>
        <v>81361947</v>
      </c>
      <c r="F1862" s="9" t="s">
        <v>5136</v>
      </c>
      <c r="G1862" s="9" t="s">
        <v>5137</v>
      </c>
      <c r="H1862" s="9" t="s">
        <v>5138</v>
      </c>
      <c r="I1862" s="10">
        <v>45579</v>
      </c>
    </row>
    <row r="1863" spans="1:9" x14ac:dyDescent="0.15">
      <c r="A1863" s="9">
        <v>1862</v>
      </c>
      <c r="B1863" s="9" t="s">
        <v>9</v>
      </c>
      <c r="C1863" s="9">
        <v>1916</v>
      </c>
      <c r="D1863" s="10">
        <v>45646</v>
      </c>
      <c r="E1863" s="13" t="str">
        <f>+HYPERLINK("http://trademark.i-assist.jp/data/china/image_1916th/81361969.pdf","81361969")</f>
        <v>81361969</v>
      </c>
      <c r="F1863" s="9" t="s">
        <v>5139</v>
      </c>
      <c r="G1863" s="9" t="s">
        <v>5140</v>
      </c>
      <c r="H1863" s="9" t="s">
        <v>5141</v>
      </c>
      <c r="I1863" s="10">
        <v>45579</v>
      </c>
    </row>
    <row r="1864" spans="1:9" x14ac:dyDescent="0.15">
      <c r="A1864" s="9">
        <v>1863</v>
      </c>
      <c r="B1864" s="9" t="s">
        <v>9</v>
      </c>
      <c r="C1864" s="9">
        <v>1916</v>
      </c>
      <c r="D1864" s="10">
        <v>45646</v>
      </c>
      <c r="E1864" s="13" t="str">
        <f>+HYPERLINK("http://trademark.i-assist.jp/data/china/image_1916th/81362987.pdf","81362987")</f>
        <v>81362987</v>
      </c>
      <c r="F1864" s="9" t="s">
        <v>5142</v>
      </c>
      <c r="G1864" s="12" t="s">
        <v>5143</v>
      </c>
      <c r="H1864" s="9" t="s">
        <v>5144</v>
      </c>
      <c r="I1864" s="10">
        <v>45579</v>
      </c>
    </row>
    <row r="1865" spans="1:9" x14ac:dyDescent="0.15">
      <c r="A1865" s="9">
        <v>1864</v>
      </c>
      <c r="B1865" s="9" t="s">
        <v>9</v>
      </c>
      <c r="C1865" s="9">
        <v>1916</v>
      </c>
      <c r="D1865" s="10">
        <v>45646</v>
      </c>
      <c r="E1865" s="13" t="str">
        <f>+HYPERLINK("http://trademark.i-assist.jp/data/china/image_1916th/81363039.pdf","81363039")</f>
        <v>81363039</v>
      </c>
      <c r="F1865" s="9" t="s">
        <v>5145</v>
      </c>
      <c r="G1865" s="9" t="s">
        <v>5146</v>
      </c>
      <c r="H1865" s="9" t="s">
        <v>5147</v>
      </c>
      <c r="I1865" s="10">
        <v>45579</v>
      </c>
    </row>
    <row r="1866" spans="1:9" x14ac:dyDescent="0.15">
      <c r="A1866" s="9">
        <v>1865</v>
      </c>
      <c r="B1866" s="9" t="s">
        <v>9</v>
      </c>
      <c r="C1866" s="9">
        <v>1916</v>
      </c>
      <c r="D1866" s="10">
        <v>45646</v>
      </c>
      <c r="E1866" s="13" t="str">
        <f>+HYPERLINK("http://trademark.i-assist.jp/data/china/image_1916th/81363430.pdf","81363430")</f>
        <v>81363430</v>
      </c>
      <c r="F1866" s="9" t="s">
        <v>5148</v>
      </c>
      <c r="G1866" s="12" t="s">
        <v>5149</v>
      </c>
      <c r="H1866" s="9" t="s">
        <v>5150</v>
      </c>
      <c r="I1866" s="10">
        <v>45579</v>
      </c>
    </row>
    <row r="1867" spans="1:9" x14ac:dyDescent="0.15">
      <c r="A1867" s="9">
        <v>1866</v>
      </c>
      <c r="B1867" s="9" t="s">
        <v>9</v>
      </c>
      <c r="C1867" s="9">
        <v>1916</v>
      </c>
      <c r="D1867" s="10">
        <v>45646</v>
      </c>
      <c r="E1867" s="13" t="str">
        <f>+HYPERLINK("http://trademark.i-assist.jp/data/china/image_1916th/81365939.pdf","81365939")</f>
        <v>81365939</v>
      </c>
      <c r="F1867" s="9" t="s">
        <v>5151</v>
      </c>
      <c r="G1867" s="9" t="s">
        <v>5152</v>
      </c>
      <c r="H1867" s="12" t="s">
        <v>5153</v>
      </c>
      <c r="I1867" s="10">
        <v>45579</v>
      </c>
    </row>
    <row r="1868" spans="1:9" x14ac:dyDescent="0.15">
      <c r="A1868" s="9">
        <v>1867</v>
      </c>
      <c r="B1868" s="9" t="s">
        <v>9</v>
      </c>
      <c r="C1868" s="9">
        <v>1916</v>
      </c>
      <c r="D1868" s="10">
        <v>45646</v>
      </c>
      <c r="E1868" s="13" t="str">
        <f>+HYPERLINK("http://trademark.i-assist.jp/data/china/image_1916th/81366839.pdf","81366839")</f>
        <v>81366839</v>
      </c>
      <c r="F1868" s="9" t="s">
        <v>5154</v>
      </c>
      <c r="G1868" s="12" t="s">
        <v>5155</v>
      </c>
      <c r="H1868" s="9" t="s">
        <v>5156</v>
      </c>
      <c r="I1868" s="10">
        <v>45579</v>
      </c>
    </row>
    <row r="1869" spans="1:9" x14ac:dyDescent="0.15">
      <c r="A1869" s="9">
        <v>1868</v>
      </c>
      <c r="B1869" s="9" t="s">
        <v>9</v>
      </c>
      <c r="C1869" s="9">
        <v>1916</v>
      </c>
      <c r="D1869" s="10">
        <v>45646</v>
      </c>
      <c r="E1869" s="13" t="str">
        <f>+HYPERLINK("http://trademark.i-assist.jp/data/china/image_1916th/81367782.pdf","81367782")</f>
        <v>81367782</v>
      </c>
      <c r="F1869" s="12" t="s">
        <v>13</v>
      </c>
      <c r="G1869" s="12" t="s">
        <v>5157</v>
      </c>
      <c r="H1869" s="9" t="s">
        <v>5158</v>
      </c>
      <c r="I1869" s="10">
        <v>45579</v>
      </c>
    </row>
    <row r="1870" spans="1:9" x14ac:dyDescent="0.15">
      <c r="A1870" s="9">
        <v>1869</v>
      </c>
      <c r="B1870" s="9" t="s">
        <v>9</v>
      </c>
      <c r="C1870" s="9">
        <v>1916</v>
      </c>
      <c r="D1870" s="10">
        <v>45646</v>
      </c>
      <c r="E1870" s="13" t="str">
        <f>+HYPERLINK("http://trademark.i-assist.jp/data/china/image_1916th/81367832.pdf","81367832")</f>
        <v>81367832</v>
      </c>
      <c r="F1870" s="9" t="s">
        <v>5159</v>
      </c>
      <c r="G1870" s="9" t="s">
        <v>5160</v>
      </c>
      <c r="H1870" s="9" t="s">
        <v>5161</v>
      </c>
      <c r="I1870" s="10">
        <v>45579</v>
      </c>
    </row>
    <row r="1871" spans="1:9" x14ac:dyDescent="0.15">
      <c r="A1871" s="9">
        <v>1870</v>
      </c>
      <c r="B1871" s="9" t="s">
        <v>9</v>
      </c>
      <c r="C1871" s="9">
        <v>1916</v>
      </c>
      <c r="D1871" s="10">
        <v>45646</v>
      </c>
      <c r="E1871" s="13" t="str">
        <f>+HYPERLINK("http://trademark.i-assist.jp/data/china/image_1916th/81367956.pdf","81367956")</f>
        <v>81367956</v>
      </c>
      <c r="F1871" s="9" t="s">
        <v>5162</v>
      </c>
      <c r="G1871" s="9" t="s">
        <v>5163</v>
      </c>
      <c r="H1871" s="9" t="s">
        <v>5164</v>
      </c>
      <c r="I1871" s="10">
        <v>45579</v>
      </c>
    </row>
    <row r="1872" spans="1:9" x14ac:dyDescent="0.15">
      <c r="A1872" s="9">
        <v>1871</v>
      </c>
      <c r="B1872" s="9" t="s">
        <v>9</v>
      </c>
      <c r="C1872" s="9">
        <v>1916</v>
      </c>
      <c r="D1872" s="10">
        <v>45646</v>
      </c>
      <c r="E1872" s="13" t="str">
        <f>+HYPERLINK("http://trademark.i-assist.jp/data/china/image_1916th/81368908.pdf","81368908")</f>
        <v>81368908</v>
      </c>
      <c r="F1872" s="9" t="s">
        <v>5165</v>
      </c>
      <c r="G1872" s="9" t="s">
        <v>5166</v>
      </c>
      <c r="H1872" s="9" t="s">
        <v>5167</v>
      </c>
      <c r="I1872" s="10">
        <v>45579</v>
      </c>
    </row>
    <row r="1873" spans="1:9" x14ac:dyDescent="0.15">
      <c r="A1873" s="9">
        <v>1872</v>
      </c>
      <c r="B1873" s="9" t="s">
        <v>9</v>
      </c>
      <c r="C1873" s="9">
        <v>1916</v>
      </c>
      <c r="D1873" s="10">
        <v>45646</v>
      </c>
      <c r="E1873" s="13" t="str">
        <f>+HYPERLINK("http://trademark.i-assist.jp/data/china/image_1916th/81374131.pdf","81374131")</f>
        <v>81374131</v>
      </c>
      <c r="F1873" s="9" t="s">
        <v>5168</v>
      </c>
      <c r="G1873" s="12" t="s">
        <v>53</v>
      </c>
      <c r="H1873" s="9" t="s">
        <v>5169</v>
      </c>
      <c r="I1873" s="10">
        <v>45579</v>
      </c>
    </row>
    <row r="1874" spans="1:9" x14ac:dyDescent="0.15">
      <c r="A1874" s="9">
        <v>1873</v>
      </c>
      <c r="B1874" s="9" t="s">
        <v>9</v>
      </c>
      <c r="C1874" s="9">
        <v>1916</v>
      </c>
      <c r="D1874" s="10">
        <v>45646</v>
      </c>
      <c r="E1874" s="13" t="str">
        <f>+HYPERLINK("http://trademark.i-assist.jp/data/china/image_1916th/81374165.pdf","81374165")</f>
        <v>81374165</v>
      </c>
      <c r="F1874" s="9" t="s">
        <v>5170</v>
      </c>
      <c r="G1874" s="9" t="s">
        <v>1857</v>
      </c>
      <c r="H1874" s="9" t="s">
        <v>5171</v>
      </c>
      <c r="I1874" s="10">
        <v>45579</v>
      </c>
    </row>
    <row r="1875" spans="1:9" x14ac:dyDescent="0.15">
      <c r="A1875" s="9">
        <v>1874</v>
      </c>
      <c r="B1875" s="9" t="s">
        <v>9</v>
      </c>
      <c r="C1875" s="9">
        <v>1916</v>
      </c>
      <c r="D1875" s="10">
        <v>45646</v>
      </c>
      <c r="E1875" s="13" t="str">
        <f>+HYPERLINK("http://trademark.i-assist.jp/data/china/image_1916th/81375787.pdf","81375787")</f>
        <v>81375787</v>
      </c>
      <c r="F1875" s="9" t="s">
        <v>5172</v>
      </c>
      <c r="G1875" s="9" t="s">
        <v>5173</v>
      </c>
      <c r="H1875" s="9" t="s">
        <v>5174</v>
      </c>
      <c r="I1875" s="10">
        <v>45579</v>
      </c>
    </row>
    <row r="1876" spans="1:9" x14ac:dyDescent="0.15">
      <c r="A1876" s="9">
        <v>1875</v>
      </c>
      <c r="B1876" s="9" t="s">
        <v>9</v>
      </c>
      <c r="C1876" s="9">
        <v>1916</v>
      </c>
      <c r="D1876" s="10">
        <v>45646</v>
      </c>
      <c r="E1876" s="13" t="str">
        <f>+HYPERLINK("http://trademark.i-assist.jp/data/china/image_1916th/81376106.pdf","81376106")</f>
        <v>81376106</v>
      </c>
      <c r="F1876" s="9" t="s">
        <v>5175</v>
      </c>
      <c r="G1876" s="9" t="s">
        <v>5176</v>
      </c>
      <c r="H1876" s="12" t="s">
        <v>5177</v>
      </c>
      <c r="I1876" s="10">
        <v>45579</v>
      </c>
    </row>
    <row r="1877" spans="1:9" x14ac:dyDescent="0.15">
      <c r="A1877" s="9">
        <v>1876</v>
      </c>
      <c r="B1877" s="9" t="s">
        <v>9</v>
      </c>
      <c r="C1877" s="9">
        <v>1916</v>
      </c>
      <c r="D1877" s="10">
        <v>45646</v>
      </c>
      <c r="E1877" s="13" t="str">
        <f>+HYPERLINK("http://trademark.i-assist.jp/data/china/image_1916th/81376716.pdf","81376716")</f>
        <v>81376716</v>
      </c>
      <c r="F1877" s="9" t="s">
        <v>5178</v>
      </c>
      <c r="G1877" s="12" t="s">
        <v>5157</v>
      </c>
      <c r="H1877" s="9" t="s">
        <v>5179</v>
      </c>
      <c r="I1877" s="10">
        <v>45579</v>
      </c>
    </row>
    <row r="1878" spans="1:9" x14ac:dyDescent="0.15">
      <c r="A1878" s="9">
        <v>1877</v>
      </c>
      <c r="B1878" s="9" t="s">
        <v>9</v>
      </c>
      <c r="C1878" s="9">
        <v>1916</v>
      </c>
      <c r="D1878" s="10">
        <v>45646</v>
      </c>
      <c r="E1878" s="13" t="str">
        <f>+HYPERLINK("http://trademark.i-assist.jp/data/china/image_1916th/81379937.pdf","81379937")</f>
        <v>81379937</v>
      </c>
      <c r="F1878" s="12" t="s">
        <v>5180</v>
      </c>
      <c r="G1878" s="9" t="s">
        <v>5181</v>
      </c>
      <c r="H1878" s="9" t="s">
        <v>5182</v>
      </c>
      <c r="I1878" s="10">
        <v>45579</v>
      </c>
    </row>
    <row r="1879" spans="1:9" x14ac:dyDescent="0.15">
      <c r="A1879" s="9">
        <v>1878</v>
      </c>
      <c r="B1879" s="9" t="s">
        <v>9</v>
      </c>
      <c r="C1879" s="9">
        <v>1916</v>
      </c>
      <c r="D1879" s="10">
        <v>45646</v>
      </c>
      <c r="E1879" s="13" t="str">
        <f>+HYPERLINK("http://trademark.i-assist.jp/data/china/image_1916th/81380083.pdf","81380083")</f>
        <v>81380083</v>
      </c>
      <c r="F1879" s="9" t="s">
        <v>5183</v>
      </c>
      <c r="G1879" s="9" t="s">
        <v>5184</v>
      </c>
      <c r="H1879" s="9" t="s">
        <v>11</v>
      </c>
      <c r="I1879" s="10">
        <v>45579</v>
      </c>
    </row>
    <row r="1880" spans="1:9" x14ac:dyDescent="0.15">
      <c r="A1880" s="9">
        <v>1879</v>
      </c>
      <c r="B1880" s="9" t="s">
        <v>9</v>
      </c>
      <c r="C1880" s="9">
        <v>1916</v>
      </c>
      <c r="D1880" s="10">
        <v>45646</v>
      </c>
      <c r="E1880" s="13" t="str">
        <f>+HYPERLINK("http://trademark.i-assist.jp/data/china/image_1916th/81380507.pdf","81380507")</f>
        <v>81380507</v>
      </c>
      <c r="F1880" s="9" t="s">
        <v>5185</v>
      </c>
      <c r="G1880" s="9" t="s">
        <v>5186</v>
      </c>
      <c r="H1880" s="9" t="s">
        <v>5187</v>
      </c>
      <c r="I1880" s="10">
        <v>45579</v>
      </c>
    </row>
    <row r="1881" spans="1:9" x14ac:dyDescent="0.15">
      <c r="A1881" s="9">
        <v>1880</v>
      </c>
      <c r="B1881" s="9" t="s">
        <v>9</v>
      </c>
      <c r="C1881" s="9">
        <v>1916</v>
      </c>
      <c r="D1881" s="10">
        <v>45646</v>
      </c>
      <c r="E1881" s="13" t="str">
        <f>+HYPERLINK("http://trademark.i-assist.jp/data/china/image_1916th/81380648.pdf","81380648")</f>
        <v>81380648</v>
      </c>
      <c r="F1881" s="12" t="s">
        <v>5188</v>
      </c>
      <c r="G1881" s="9" t="s">
        <v>5104</v>
      </c>
      <c r="H1881" s="9" t="s">
        <v>5189</v>
      </c>
      <c r="I1881" s="10">
        <v>45579</v>
      </c>
    </row>
    <row r="1882" spans="1:9" x14ac:dyDescent="0.15">
      <c r="A1882" s="9">
        <v>1881</v>
      </c>
      <c r="B1882" s="9" t="s">
        <v>9</v>
      </c>
      <c r="C1882" s="9">
        <v>1916</v>
      </c>
      <c r="D1882" s="10">
        <v>45646</v>
      </c>
      <c r="E1882" s="13" t="str">
        <f>+HYPERLINK("http://trademark.i-assist.jp/data/china/image_1916th/81380817.pdf","81380817")</f>
        <v>81380817</v>
      </c>
      <c r="F1882" s="9" t="s">
        <v>5190</v>
      </c>
      <c r="G1882" s="12" t="s">
        <v>5191</v>
      </c>
      <c r="H1882" s="9" t="s">
        <v>5192</v>
      </c>
      <c r="I1882" s="10">
        <v>45579</v>
      </c>
    </row>
    <row r="1883" spans="1:9" x14ac:dyDescent="0.15">
      <c r="A1883" s="9">
        <v>1882</v>
      </c>
      <c r="B1883" s="9" t="s">
        <v>9</v>
      </c>
      <c r="C1883" s="9">
        <v>1916</v>
      </c>
      <c r="D1883" s="10">
        <v>45646</v>
      </c>
      <c r="E1883" s="13" t="str">
        <f>+HYPERLINK("http://trademark.i-assist.jp/data/china/image_1916th/81574718.pdf","81574718")</f>
        <v>81574718</v>
      </c>
      <c r="F1883" s="12" t="s">
        <v>5193</v>
      </c>
      <c r="G1883" s="12" t="s">
        <v>5194</v>
      </c>
      <c r="H1883" s="9" t="s">
        <v>5195</v>
      </c>
      <c r="I1883" s="10">
        <v>45589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1916th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2025-03-21T05:28:41Z</dcterms:modified>
</cp:coreProperties>
</file>