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15\"/>
    </mc:Choice>
  </mc:AlternateContent>
  <xr:revisionPtr revIDLastSave="0" documentId="13_ncr:1_{2BAEA54B-AA59-4C78-8142-55D3EEA9D61F}" xr6:coauthVersionLast="47" xr6:coauthVersionMax="47" xr10:uidLastSave="{00000000-0000-0000-0000-000000000000}"/>
  <bookViews>
    <workbookView xWindow="3900" yWindow="3195" windowWidth="22965" windowHeight="11295" xr2:uid="{00000000-000D-0000-FFFF-FFFF00000000}"/>
  </bookViews>
  <sheets>
    <sheet name="1915th" sheetId="2" r:id="rId1"/>
  </sheets>
  <definedNames>
    <definedName name="_xlnm._FilterDatabase" localSheetId="0" hidden="1">'1915th'!$A$1:$I$1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20" i="2" l="1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<sst xmlns="http://schemas.openxmlformats.org/spreadsheetml/2006/main" count="9685" uniqueCount="6594">
  <si>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</si>
  <si>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</si>
  <si>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</si>
  <si>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</si>
  <si>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</si>
  <si>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</si>
  <si>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</si>
  <si>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</si>
  <si>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</si>
  <si>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</si>
  <si>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</si>
  <si>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黄佳浩</t>
  </si>
  <si>
    <t>袁梅新</t>
  </si>
  <si>
    <t>白酒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</si>
  <si>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</si>
  <si>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</si>
  <si>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思柏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葡萄酒私人有限公司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</si>
  <si>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</si>
  <si>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查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</si>
  <si>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</si>
  <si>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国科文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展(深圳)有限公司</t>
    </r>
  </si>
  <si>
    <r>
      <t>四川杜甫酒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</si>
  <si>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黄小春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</si>
  <si>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</si>
  <si>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t>李国君</t>
  </si>
  <si>
    <r>
      <t>李文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</si>
  <si>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</si>
  <si>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佘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</si>
  <si>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</si>
  <si>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</si>
  <si>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</si>
  <si>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会根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</si>
  <si>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州未来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</si>
  <si>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</si>
  <si>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沈阳</t>
  </si>
  <si>
    <r>
      <t>三</t>
    </r>
    <r>
      <rPr>
        <sz val="11"/>
        <color theme="1"/>
        <rFont val="ＭＳ Ｐゴシック"/>
        <family val="3"/>
        <charset val="134"/>
        <scheme val="minor"/>
      </rPr>
      <t>维标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</si>
  <si>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安徽熙</t>
    </r>
    <r>
      <rPr>
        <sz val="11"/>
        <color theme="1"/>
        <rFont val="ＭＳ Ｐゴシック"/>
        <family val="3"/>
        <charset val="134"/>
        <scheme val="minor"/>
      </rPr>
      <t>顺贸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</si>
  <si>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梦雪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</si>
  <si>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市程</t>
    </r>
    <r>
      <rPr>
        <sz val="11"/>
        <color theme="1"/>
        <rFont val="ＭＳ Ｐゴシック"/>
        <family val="3"/>
        <charset val="134"/>
        <scheme val="minor"/>
      </rPr>
      <t>润陈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</si>
  <si>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心恩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</si>
  <si>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荷花酒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</si>
  <si>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</si>
  <si>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</si>
  <si>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闹乐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</si>
  <si>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</si>
  <si>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秦素珍</t>
  </si>
  <si>
    <t>神寿健康（海南）有限公司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</si>
  <si>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</si>
  <si>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耀光</t>
    </r>
  </si>
  <si>
    <r>
      <t>天津万象恒科技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</si>
  <si>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保定鑫世福商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</si>
  <si>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曹小芳</t>
  </si>
  <si>
    <r>
      <t>西藏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朱帕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林下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</si>
  <si>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t>金随元</t>
  </si>
  <si>
    <t>刘大阳</t>
  </si>
  <si>
    <r>
      <t>江西省羊大生物科技有限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</si>
  <si>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易延</t>
  </si>
  <si>
    <t>郭明磊</t>
  </si>
  <si>
    <t>冉慧</t>
  </si>
  <si>
    <r>
      <t>京都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寿堂品牌管理（石家庄）合伙企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</si>
  <si>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t>姜城******************</t>
  </si>
  <si>
    <r>
      <t>福建雲水酒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</si>
  <si>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普</t>
    </r>
  </si>
  <si>
    <r>
      <t>过</t>
    </r>
    <r>
      <rPr>
        <sz val="11"/>
        <color theme="1"/>
        <rFont val="ＭＳ Ｐゴシック"/>
        <family val="3"/>
        <charset val="128"/>
        <scheme val="minor"/>
      </rPr>
      <t>得好（山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</si>
  <si>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保林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</si>
  <si>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昌市魏都区柯蒂百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零售行（个体工商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</si>
  <si>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</si>
  <si>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河北邯</t>
    </r>
    <r>
      <rPr>
        <sz val="11"/>
        <color theme="1"/>
        <rFont val="ＭＳ Ｐゴシック"/>
        <family val="3"/>
        <charset val="134"/>
        <scheme val="minor"/>
      </rPr>
      <t>郸丛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</si>
  <si>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丁象恒</t>
  </si>
  <si>
    <r>
      <t>海南三丫河投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</si>
  <si>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武夷山奥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</si>
  <si>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璞甄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</si>
  <si>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立</t>
    </r>
  </si>
  <si>
    <r>
      <t>广州玄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</si>
  <si>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宗金</t>
    </r>
  </si>
  <si>
    <t>廖文学</t>
  </si>
  <si>
    <r>
      <t>陈劲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</si>
  <si>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球佳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</si>
  <si>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蒋恩</t>
  </si>
  <si>
    <r>
      <t>广州双</t>
    </r>
    <r>
      <rPr>
        <sz val="11"/>
        <color theme="1"/>
        <rFont val="ＭＳ Ｐゴシック"/>
        <family val="3"/>
        <charset val="134"/>
        <scheme val="minor"/>
      </rPr>
      <t>银钢</t>
    </r>
    <r>
      <rPr>
        <sz val="11"/>
        <color theme="1"/>
        <rFont val="ＭＳ Ｐゴシック"/>
        <family val="3"/>
        <charset val="128"/>
        <scheme val="minor"/>
      </rPr>
      <t>琴有限公司</t>
    </r>
  </si>
  <si>
    <r>
      <t>北京十方界酒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</si>
  <si>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北京佳德和</t>
    </r>
    <r>
      <rPr>
        <sz val="11"/>
        <color theme="1"/>
        <rFont val="ＭＳ Ｐゴシック"/>
        <family val="3"/>
        <charset val="134"/>
        <scheme val="minor"/>
      </rPr>
      <t>仓储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</si>
  <si>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李世保</t>
  </si>
  <si>
    <r>
      <t>四川国生金元投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</si>
  <si>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刘清明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</si>
  <si>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</si>
  <si>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河北欣志达健康科技有限公司</t>
  </si>
  <si>
    <r>
      <t>郭排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</si>
  <si>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苏汤</t>
    </r>
    <r>
      <rPr>
        <sz val="11"/>
        <color theme="1"/>
        <rFont val="ＭＳ Ｐゴシック"/>
        <family val="3"/>
        <charset val="128"/>
        <scheme val="minor"/>
      </rPr>
      <t>沟两相和酒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</si>
  <si>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河南三</t>
    </r>
    <r>
      <rPr>
        <sz val="11"/>
        <color theme="1"/>
        <rFont val="ＭＳ Ｐゴシック"/>
        <family val="3"/>
        <charset val="134"/>
        <scheme val="minor"/>
      </rPr>
      <t>扬实业发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</si>
  <si>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荷花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</si>
  <si>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蒸煮提取物（利口酒和烈酒）</t>
    </r>
  </si>
  <si>
    <t>理想小酒</t>
  </si>
  <si>
    <t>何荣兵</t>
  </si>
  <si>
    <r>
      <t>馫</t>
    </r>
    <r>
      <rPr>
        <sz val="11"/>
        <color theme="1"/>
        <rFont val="ＭＳ Ｐゴシック"/>
        <family val="3"/>
        <charset val="128"/>
        <scheme val="minor"/>
      </rPr>
      <t>香原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</si>
  <si>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宜昌三峡稻花香文化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</si>
  <si>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</si>
  <si>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北京金溪流商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</si>
  <si>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</si>
  <si>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散</t>
    </r>
    <r>
      <rPr>
        <sz val="11"/>
        <color theme="1"/>
        <rFont val="ＭＳ Ｐゴシック"/>
        <family val="3"/>
        <charset val="134"/>
        <scheme val="minor"/>
      </rPr>
      <t>马场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</si>
  <si>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欣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</si>
  <si>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</si>
  <si>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敬</t>
    </r>
    <r>
      <rPr>
        <sz val="11"/>
        <color theme="1"/>
        <rFont val="ＭＳ Ｐゴシック"/>
        <family val="3"/>
        <charset val="134"/>
        <scheme val="minor"/>
      </rPr>
      <t>马场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</si>
  <si>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</t>
    </r>
  </si>
  <si>
    <r>
      <t>毓</t>
    </r>
    <r>
      <rPr>
        <sz val="11"/>
        <color theme="1"/>
        <rFont val="ＭＳ Ｐゴシック"/>
        <family val="3"/>
        <charset val="134"/>
        <scheme val="minor"/>
      </rPr>
      <t>马场</t>
    </r>
  </si>
  <si>
    <r>
      <t>白干酒（中国白酒）;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</si>
  <si>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富</t>
    </r>
  </si>
  <si>
    <t>李花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</si>
  <si>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</si>
  <si>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嫁 酒 年真喜</t>
  </si>
  <si>
    <r>
      <t>黄酒; 食用酒精; 白酒;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</si>
  <si>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漳州子昇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</si>
  <si>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</si>
  <si>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文心一言 ERNIE BOT</t>
  </si>
  <si>
    <r>
      <t>百度在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</si>
  <si>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黄酒</t>
    </r>
  </si>
  <si>
    <t>李子园</t>
  </si>
  <si>
    <t>浙江李子园食品股份有限公司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</si>
  <si>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</si>
  <si>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越帝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</si>
  <si>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石窟河畔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寿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</si>
  <si>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白酒; 葡萄酒; 蜂蜜酒;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</si>
  <si>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情人</t>
    </r>
    <r>
      <rPr>
        <sz val="11"/>
        <color theme="1"/>
        <rFont val="ＭＳ Ｐゴシック"/>
        <family val="3"/>
        <charset val="134"/>
        <scheme val="minor"/>
      </rPr>
      <t>结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</si>
  <si>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情人</t>
    </r>
    <r>
      <rPr>
        <sz val="11"/>
        <color theme="1"/>
        <rFont val="ＭＳ Ｐゴシック"/>
        <family val="3"/>
        <charset val="134"/>
        <scheme val="minor"/>
      </rPr>
      <t>结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</si>
  <si>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白酒; 葡萄酒; 白干酒（中国白酒）; 果酒（含酒精）;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</si>
  <si>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</si>
  <si>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梨酒;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开胃酒</t>
    </r>
  </si>
  <si>
    <t>令典</t>
  </si>
  <si>
    <r>
      <t>许为</t>
    </r>
    <r>
      <rPr>
        <sz val="11"/>
        <color theme="1"/>
        <rFont val="ＭＳ Ｐゴシック"/>
        <family val="3"/>
        <charset val="128"/>
        <scheme val="minor"/>
      </rPr>
      <t>芹</t>
    </r>
  </si>
  <si>
    <r>
      <t>果酒; 白酒(清香型); 白酒; 白酒(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香型);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清香型白酒; 米酒; 葡萄酒; 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香型白酒</t>
    </r>
  </si>
  <si>
    <t>BROWN BREATH</t>
  </si>
  <si>
    <t>当当株式会社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</si>
  <si>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汽酒; 葡萄酒; 清酒（日本米酒）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</si>
  <si>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</si>
  <si>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英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沃柯迪雅</t>
    </r>
  </si>
  <si>
    <r>
      <t>忠厚世家精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</si>
  <si>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洋湾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</si>
  <si>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开胃酒;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</si>
  <si>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</si>
  <si>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骆驼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</si>
  <si>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</si>
  <si>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百运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</si>
  <si>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</si>
  <si>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葡萄酒;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</si>
  <si>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华仪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</si>
  <si>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华仪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</si>
  <si>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</si>
  <si>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</t>
    </r>
  </si>
  <si>
    <r>
      <t>泉州市永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</si>
  <si>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黄酒;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</si>
  <si>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堂小客</t>
  </si>
  <si>
    <r>
      <t>深圳尚品生活投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</si>
  <si>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果酒; 威士忌</t>
    </r>
  </si>
  <si>
    <t>宝</t>
  </si>
  <si>
    <t>宝控股有限公司</t>
  </si>
  <si>
    <r>
      <t>果酒（含酒精）; 利口酒;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日式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梅酒</t>
    </r>
  </si>
  <si>
    <t>宝真</t>
  </si>
  <si>
    <r>
      <t>北京德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宝真国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</si>
  <si>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</t>
    </r>
  </si>
  <si>
    <t>宝真酒行</t>
  </si>
  <si>
    <r>
      <t xml:space="preserve">威士忌;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</si>
  <si>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</t>
    </r>
  </si>
  <si>
    <t>瓦吉瓦</t>
  </si>
  <si>
    <r>
      <t>四川茶来敬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</si>
  <si>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混合威士忌酒;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</si>
  <si>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可喜可悦</t>
  </si>
  <si>
    <r>
      <t>广州市喜悦集投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</si>
  <si>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</t>
    </r>
  </si>
  <si>
    <t>天九添福</t>
  </si>
  <si>
    <r>
      <t>王广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</si>
  <si>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</si>
  <si>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领鲜</t>
    </r>
    <r>
      <rPr>
        <sz val="11"/>
        <color theme="1"/>
        <rFont val="ＭＳ Ｐゴシック"/>
        <family val="3"/>
        <charset val="128"/>
        <scheme val="minor"/>
      </rPr>
      <t>超人 LING XIAN SUPERMAN</t>
    </r>
  </si>
  <si>
    <t>中奥通（福建）工程机械有限公司</t>
  </si>
  <si>
    <r>
      <t>伏特加酒; 葡萄酒; 汽酒;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食用酒精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</si>
  <si>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旗圣</t>
    </r>
  </si>
  <si>
    <t>崔苗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</si>
  <si>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</si>
  <si>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同宗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</si>
  <si>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春林</t>
    </r>
  </si>
  <si>
    <r>
      <t>薄荷酒; 松叶酒;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苹果酒; 青稞酒; 苦艾酒;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梅酒; 杜松子酒</t>
    </r>
  </si>
  <si>
    <t>王爵古堡</t>
  </si>
  <si>
    <r>
      <t>武夷山市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广茶叶商行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</si>
  <si>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</si>
  <si>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t>海豹</t>
  </si>
  <si>
    <t>武夷山市坤来茶叶商行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</si>
  <si>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</si>
  <si>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广州春隆控股集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</si>
  <si>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</si>
  <si>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知北好物</t>
  </si>
  <si>
    <r>
      <t>梅河口市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航旅游管理有限公司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</si>
  <si>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威士忌; 朗姆酒; 米酒; 白酒; 葡萄酒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</si>
  <si>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品人生</t>
    </r>
  </si>
  <si>
    <r>
      <t>胡兆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</si>
  <si>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白酒;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水果汽酒; 葡萄酒</t>
    </r>
  </si>
  <si>
    <t>侯爵至尊</t>
  </si>
  <si>
    <r>
      <t>膳焱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</si>
  <si>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</si>
  <si>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七香雅集</t>
  </si>
  <si>
    <r>
      <t>上海七宝古</t>
    </r>
    <r>
      <rPr>
        <sz val="11"/>
        <color theme="1"/>
        <rFont val="ＭＳ Ｐゴシック"/>
        <family val="3"/>
        <charset val="134"/>
        <scheme val="minor"/>
      </rPr>
      <t>镇实业发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</si>
  <si>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薄荷酒;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</si>
  <si>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奥邦酒庄</t>
  </si>
  <si>
    <r>
      <t>奥邦酒庄有限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</si>
  <si>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葡萄酒;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清酒;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</t>
    </r>
  </si>
  <si>
    <t>KINGS INCH</t>
  </si>
  <si>
    <t>勇烈有限公司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</si>
  <si>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</si>
  <si>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疆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</si>
  <si>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(海南)有限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</si>
  <si>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清酒（日本米酒）; 伏特加酒; 葡萄酒; 黄酒; 米酒</t>
    </r>
  </si>
  <si>
    <t>王者匠台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</si>
  <si>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</si>
  <si>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</si>
  <si>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t>壹宴</t>
  </si>
  <si>
    <r>
      <t>天津</t>
    </r>
    <r>
      <rPr>
        <sz val="11"/>
        <color theme="1"/>
        <rFont val="ＭＳ Ｐゴシック"/>
        <family val="3"/>
        <charset val="134"/>
        <scheme val="minor"/>
      </rPr>
      <t>韩</t>
    </r>
    <r>
      <rPr>
        <sz val="11"/>
        <color theme="1"/>
        <rFont val="ＭＳ Ｐゴシック"/>
        <family val="3"/>
        <charset val="128"/>
        <scheme val="minor"/>
      </rPr>
      <t>盛餐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</si>
  <si>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苹果酒;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</si>
  <si>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圣鑫</t>
  </si>
  <si>
    <r>
      <t>吉林圣鑫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展有限公司圣鑫葡萄酒庄</t>
    </r>
  </si>
  <si>
    <r>
      <t>开胃酒;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蜂蜜酒; 米酒</t>
    </r>
  </si>
  <si>
    <t>野寨湾漂</t>
  </si>
  <si>
    <t>彭瑛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</si>
  <si>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酸酒（低等葡萄酒）;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食用酒精</t>
    </r>
  </si>
  <si>
    <t>QC</t>
  </si>
  <si>
    <r>
      <t>广州市卡雷洛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</si>
  <si>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利口酒;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</si>
  <si>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华总</t>
    </r>
    <r>
      <rPr>
        <sz val="11"/>
        <color theme="1"/>
        <rFont val="ＭＳ Ｐゴシック"/>
        <family val="3"/>
        <charset val="128"/>
        <scheme val="minor"/>
      </rPr>
      <t>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</si>
  <si>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州奢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</si>
  <si>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开胃酒;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</si>
  <si>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裕清</t>
  </si>
  <si>
    <r>
      <t>山西大展商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</si>
  <si>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薄荷酒; 果酒（含酒精）; 威士忌</t>
    </r>
  </si>
  <si>
    <t>鬯之呼</t>
  </si>
  <si>
    <r>
      <t>满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（赤峰市）有限公司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</si>
  <si>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蜂蜜酒; 露酒; 开胃酒</t>
    </r>
  </si>
  <si>
    <r>
      <t>新易</t>
    </r>
    <r>
      <rPr>
        <sz val="11"/>
        <color theme="1"/>
        <rFont val="ＭＳ Ｐゴシック"/>
        <family val="3"/>
        <charset val="134"/>
        <scheme val="minor"/>
      </rPr>
      <t>腾</t>
    </r>
  </si>
  <si>
    <t>上海吾界信息科技有限公司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</si>
  <si>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清酒（日本米酒）; 威士忌;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</si>
  <si>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汉盏</t>
  </si>
  <si>
    <r>
      <t>顾卫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</si>
  <si>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</si>
  <si>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封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</si>
  <si>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</si>
  <si>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滇尚</t>
  </si>
  <si>
    <t>泰州中正才聚信息科技有限公司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</si>
  <si>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</si>
  <si>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台部落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</si>
  <si>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戴宗坊酒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</si>
  <si>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黄酒; 开胃酒; 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</t>
    </r>
  </si>
  <si>
    <r>
      <t>星群酒</t>
    </r>
    <r>
      <rPr>
        <sz val="11"/>
        <color theme="1"/>
        <rFont val="ＭＳ Ｐゴシック"/>
        <family val="3"/>
        <charset val="134"/>
        <scheme val="minor"/>
      </rPr>
      <t>业</t>
    </r>
  </si>
  <si>
    <t>星群品牌有限公司</t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</si>
  <si>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</si>
  <si>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喜酒道</t>
    </r>
  </si>
  <si>
    <r>
      <t>北京星五文化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</si>
  <si>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</si>
  <si>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斟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</si>
  <si>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金奎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</si>
  <si>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</si>
  <si>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SIBERIAN SPIRIT FROSTY FRESH</t>
  </si>
  <si>
    <r>
      <t>西伯利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伏特加酒有限公司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</si>
  <si>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伏特加酒; 杜松子酒; 苦味酒; 白酒</t>
    </r>
  </si>
  <si>
    <t>愿景</t>
  </si>
  <si>
    <r>
      <t xml:space="preserve">茴芹酒（利口酒）;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苦味酒; 白干酒（中国白酒）; 食用酒精; 白酒; 果酒（含酒精）; 黄酒; 米酒</t>
    </r>
  </si>
  <si>
    <t>财</t>
  </si>
  <si>
    <r>
      <t>财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</si>
  <si>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白酒; 食用酒精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</si>
  <si>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</si>
  <si>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食用酒精;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</si>
  <si>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斌</t>
    </r>
  </si>
  <si>
    <t>王平</t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</si>
  <si>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</si>
  <si>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方真</t>
    </r>
  </si>
  <si>
    <r>
      <t xml:space="preserve">开胃酒;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蜂蜜酒; 果酒（含酒精）; 葡萄酒; 利口酒; 白酒</t>
    </r>
  </si>
  <si>
    <t>梦中仙</t>
  </si>
  <si>
    <r>
      <t>浙江聚美文化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</si>
  <si>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烈酒; 黄酒; 开胃酒</t>
    </r>
  </si>
  <si>
    <t>CESTLAVIE</t>
  </si>
  <si>
    <r>
      <t>福建吉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</si>
  <si>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伏特加酒</t>
    </r>
  </si>
  <si>
    <r>
      <t>北京歌</t>
    </r>
    <r>
      <rPr>
        <sz val="11"/>
        <color theme="1"/>
        <rFont val="ＭＳ Ｐゴシック"/>
        <family val="3"/>
        <charset val="134"/>
        <scheme val="minor"/>
      </rPr>
      <t>华设计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</si>
  <si>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</si>
  <si>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悟稻</t>
  </si>
  <si>
    <r>
      <t>吴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</si>
  <si>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米酒; 黄酒;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</si>
  <si>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RADIAN VINEYARD</t>
  </si>
  <si>
    <r>
      <t>剑</t>
    </r>
    <r>
      <rPr>
        <sz val="11"/>
        <color theme="1"/>
        <rFont val="ＭＳ Ｐゴシック"/>
        <family val="3"/>
        <charset val="128"/>
        <scheme val="minor"/>
      </rPr>
      <t>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</si>
  <si>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贡</t>
    </r>
  </si>
  <si>
    <t>刘秀芹</t>
  </si>
  <si>
    <r>
      <t xml:space="preserve">黄酒; 甜酒; 白酒;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白干酒（中国白酒）; 烈性干酒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</si>
  <si>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方之花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</si>
  <si>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顺张</t>
    </r>
    <r>
      <rPr>
        <sz val="11"/>
        <color theme="1"/>
        <rFont val="ＭＳ Ｐゴシック"/>
        <family val="3"/>
        <charset val="128"/>
        <scheme val="minor"/>
      </rPr>
      <t>老七食品有限公司</t>
    </r>
  </si>
  <si>
    <r>
      <t xml:space="preserve">青稞酒; 甜果酒;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果酒; 食用酒精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</si>
  <si>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</si>
  <si>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深圳有限公司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</si>
  <si>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青稞酒;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</si>
  <si>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</si>
  <si>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</si>
  <si>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>葡萄酒; 果酒（含酒精）; 清酒;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</si>
  <si>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叶兵（*****************X）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</si>
  <si>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</si>
  <si>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洪 成裕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珍藏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</si>
  <si>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酒源酒厂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</si>
  <si>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</si>
  <si>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瑞丰洋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</si>
  <si>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州瑞丰酒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</si>
  <si>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蒸煮提取物（利口酒和烈酒）; 米酒; 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</si>
  <si>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及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</si>
  <si>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</si>
  <si>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 xml:space="preserve">清酒（日本米酒）; 米酒; 葡萄酒;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</si>
  <si>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酒哥哥</t>
  </si>
  <si>
    <r>
      <t>巴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久哥哥酒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</si>
  <si>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露酒</t>
  </si>
  <si>
    <r>
      <t>勋</t>
    </r>
    <r>
      <rPr>
        <sz val="11"/>
        <color theme="1"/>
        <rFont val="ＭＳ Ｐゴシック"/>
        <family val="3"/>
        <charset val="128"/>
        <scheme val="minor"/>
      </rPr>
      <t>酒年藏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</si>
  <si>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昆山市玉山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森客来食品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</si>
  <si>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葡萄酒; 果酒（含酒精）;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</si>
  <si>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玉藏春</t>
  </si>
  <si>
    <r>
      <t>丽</t>
    </r>
    <r>
      <rPr>
        <sz val="11"/>
        <color theme="1"/>
        <rFont val="ＭＳ Ｐゴシック"/>
        <family val="3"/>
        <charset val="128"/>
        <scheme val="minor"/>
      </rPr>
      <t>江翰林文化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</si>
  <si>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果酒（含酒精）; 薄荷酒</t>
    </r>
  </si>
  <si>
    <r>
      <t>酉</t>
    </r>
    <r>
      <rPr>
        <sz val="11"/>
        <color theme="1"/>
        <rFont val="ＭＳ Ｐゴシック"/>
        <family val="3"/>
        <charset val="134"/>
        <scheme val="minor"/>
      </rPr>
      <t>约</t>
    </r>
  </si>
  <si>
    <t>尚道先生（北京）科技有限公司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</si>
  <si>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</si>
  <si>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奇瑞</t>
  </si>
  <si>
    <r>
      <t>王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</si>
  <si>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</si>
  <si>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t>年藏歖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</si>
  <si>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葡萄酒</t>
    </r>
  </si>
  <si>
    <t>梅芳露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</si>
  <si>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昀科技有限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</si>
  <si>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果酒（含酒精）; 白酒; 米酒; 青稞酒;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</si>
  <si>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香惜遇</t>
    </r>
  </si>
  <si>
    <t>朱如理</t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</si>
  <si>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</si>
  <si>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迏</t>
    </r>
  </si>
  <si>
    <t>何北</t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</si>
  <si>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</si>
  <si>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周到古坊</t>
  </si>
  <si>
    <t>王恒献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</si>
  <si>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</si>
  <si>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成裕美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</si>
  <si>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州言台科技有限公司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</si>
  <si>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</si>
  <si>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CROIX DE BEAUCAILLOU</t>
  </si>
  <si>
    <r>
      <t>杜高巴加酒庄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</si>
  <si>
    <t>奋发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</si>
  <si>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研科技有限公司</t>
    </r>
  </si>
  <si>
    <r>
      <t xml:space="preserve">开胃酒;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</si>
  <si>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太行生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</si>
  <si>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辉县</t>
    </r>
    <r>
      <rPr>
        <sz val="11"/>
        <color theme="1"/>
        <rFont val="ＭＳ Ｐゴシック"/>
        <family val="3"/>
        <charset val="128"/>
        <scheme val="minor"/>
      </rPr>
      <t>市南熙融媒文化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展中心有限公司</t>
    </r>
  </si>
  <si>
    <r>
      <t xml:space="preserve">白酒; 苦味酒;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</si>
  <si>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歌朗河 GE LANG RIVER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</si>
  <si>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歌朗河旅游开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</si>
  <si>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青稞酒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</si>
  <si>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</si>
  <si>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</si>
  <si>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餐后酒（利口酒和烈酒）; 葡萄酒; 露酒; 白酒; 米酒;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</si>
  <si>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裕千禧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</si>
  <si>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州裕千禧酒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</si>
  <si>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米酒;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</si>
  <si>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小莞同学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</si>
  <si>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客食品有限公司</t>
    </r>
  </si>
  <si>
    <r>
      <t xml:space="preserve">米酒;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</t>
    </r>
  </si>
  <si>
    <t>敕勒歌</t>
  </si>
  <si>
    <r>
      <t>内蒙古敕勒歌酒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</si>
  <si>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</si>
  <si>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璞甄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</si>
  <si>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烈酒;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开胃酒; 高粱酒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</si>
  <si>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真天下</t>
    </r>
  </si>
  <si>
    <r>
      <t>胡小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</si>
  <si>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果酒（含酒精）;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清酒;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</si>
  <si>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朗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</si>
  <si>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朗投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</si>
  <si>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白酒</t>
    </r>
  </si>
  <si>
    <t>情景 酒</t>
  </si>
  <si>
    <r>
      <t xml:space="preserve">白酒; 米酒; 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</si>
  <si>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女儿香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</si>
  <si>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</si>
  <si>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</si>
  <si>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金峰塔</t>
  </si>
  <si>
    <r>
      <t>杭州云彩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</si>
  <si>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甜果酒; 梅酒; 汽酒; 白酒;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草莓酒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</si>
  <si>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宇天源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</si>
  <si>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城市天源酒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</si>
  <si>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食用酒精; 黄酒;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</si>
  <si>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丝</t>
    </r>
  </si>
  <si>
    <r>
      <t>苏联</t>
    </r>
    <r>
      <rPr>
        <sz val="11"/>
        <color theme="1"/>
        <rFont val="ＭＳ Ｐゴシック"/>
        <family val="3"/>
        <charset val="128"/>
        <scheme val="minor"/>
      </rPr>
      <t>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</si>
  <si>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利口酒;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</si>
  <si>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国峰酒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</si>
  <si>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</si>
  <si>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西湖</t>
    </r>
  </si>
  <si>
    <t>杭州万谷食品有限公司</t>
  </si>
  <si>
    <r>
      <t xml:space="preserve">黄酒; 白酒; 汽酒; 开胃酒;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五加皮酒（中国混合烈酒）;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</si>
  <si>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余地</t>
  </si>
  <si>
    <r>
      <t>广州零公里停</t>
    </r>
    <r>
      <rPr>
        <sz val="11"/>
        <color theme="1"/>
        <rFont val="ＭＳ Ｐゴシック"/>
        <family val="3"/>
        <charset val="134"/>
        <scheme val="minor"/>
      </rPr>
      <t>车场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</si>
  <si>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</si>
  <si>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高唐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聊高酒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</si>
  <si>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</si>
  <si>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酒小井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</si>
  <si>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市忱</t>
    </r>
    <r>
      <rPr>
        <sz val="11"/>
        <color theme="1"/>
        <rFont val="ＭＳ Ｐゴシック"/>
        <family val="3"/>
        <charset val="134"/>
        <scheme val="minor"/>
      </rPr>
      <t>阅电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</si>
  <si>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葡萄酒;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</si>
  <si>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</si>
  <si>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鑫常泰房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</si>
  <si>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开胃酒; 果酒（含酒精）; 苹果酒;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</si>
  <si>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于酒</t>
    </r>
  </si>
  <si>
    <r>
      <t>周文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</si>
  <si>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</si>
  <si>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BUUNELUN CHATEAU 波</t>
    </r>
    <r>
      <rPr>
        <sz val="11"/>
        <color theme="1"/>
        <rFont val="ＭＳ Ｐゴシック"/>
        <family val="3"/>
        <charset val="134"/>
        <scheme val="minor"/>
      </rPr>
      <t>罗伦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</si>
  <si>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波</t>
    </r>
    <r>
      <rPr>
        <sz val="11"/>
        <color theme="1"/>
        <rFont val="ＭＳ Ｐゴシック"/>
        <family val="3"/>
        <charset val="134"/>
        <scheme val="minor"/>
      </rPr>
      <t>罗伦</t>
    </r>
    <r>
      <rPr>
        <sz val="11"/>
        <color theme="1"/>
        <rFont val="ＭＳ Ｐゴシック"/>
        <family val="3"/>
        <charset val="128"/>
        <scheme val="minor"/>
      </rPr>
      <t>(广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</si>
  <si>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</si>
  <si>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谷小酒 S80</t>
  </si>
  <si>
    <r>
      <t>成都米小酒酒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</si>
  <si>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威士忌; 含酒精的气泡水; 白酒</t>
    </r>
  </si>
  <si>
    <t>谷小酒 S60</t>
  </si>
  <si>
    <r>
      <t xml:space="preserve">烈酒;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白酒</t>
    </r>
  </si>
  <si>
    <t>谷小酒 S90</t>
  </si>
  <si>
    <r>
      <t>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高粱酒; 含酒精的气泡水;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</si>
  <si>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礼牌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</si>
  <si>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</si>
  <si>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</si>
  <si>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唐太医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</si>
  <si>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威生物科技有限公司</t>
    </r>
  </si>
  <si>
    <r>
      <t>米酒; 威士忌; 白干酒（中国白酒）;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</si>
  <si>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生活大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</si>
  <si>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莞市大</t>
    </r>
    <r>
      <rPr>
        <sz val="11"/>
        <color theme="1"/>
        <rFont val="ＭＳ Ｐゴシック"/>
        <family val="3"/>
        <charset val="134"/>
        <scheme val="minor"/>
      </rPr>
      <t>师荟</t>
    </r>
    <r>
      <rPr>
        <sz val="11"/>
        <color theme="1"/>
        <rFont val="ＭＳ Ｐゴシック"/>
        <family val="3"/>
        <charset val="128"/>
        <scheme val="minor"/>
      </rPr>
      <t>家居有限公司</t>
    </r>
  </si>
  <si>
    <r>
      <t>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</si>
  <si>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歌梦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</si>
  <si>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</si>
  <si>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威士忌; 葡萄酒; 白酒;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</si>
  <si>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太皇九尊</t>
  </si>
  <si>
    <t>田路姐</t>
  </si>
  <si>
    <r>
      <t xml:space="preserve">果酒（含酒精）; 米酒; 黄酒;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</si>
  <si>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睿樽</t>
  </si>
  <si>
    <t>英国皇嘉食品有限公司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</si>
  <si>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利口酒; 葡萄酒; 清酒（日本米酒）; 果酒（含酒精）</t>
    </r>
  </si>
  <si>
    <t>赤子城</t>
  </si>
  <si>
    <r>
      <t>赤子城网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</si>
  <si>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</t>
    </r>
  </si>
  <si>
    <r>
      <t>农垦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</si>
  <si>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福生物科技有限公司</t>
    </r>
  </si>
  <si>
    <r>
      <t xml:space="preserve">黄酒; 果酒; 清酒;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</si>
  <si>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世台</t>
    </r>
  </si>
  <si>
    <r>
      <t>世台科技集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</si>
  <si>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葡萄酒;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</si>
  <si>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湘品福</t>
  </si>
  <si>
    <r>
      <t>谢</t>
    </r>
    <r>
      <rPr>
        <sz val="11"/>
        <color theme="1"/>
        <rFont val="ＭＳ Ｐゴシック"/>
        <family val="3"/>
        <charset val="128"/>
        <scheme val="minor"/>
      </rPr>
      <t>四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</si>
  <si>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威士忌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</si>
  <si>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</si>
  <si>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</si>
  <si>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米酒; 黄酒; 茴香酒; 蜂蜜酒; 酸酒（低等葡萄酒）; 青稞酒; 苹果酒</t>
    </r>
  </si>
  <si>
    <t>河你有源</t>
  </si>
  <si>
    <r>
      <t>河源市河合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</si>
  <si>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</si>
  <si>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蜀塘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</si>
  <si>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竹川窖酒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</si>
  <si>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</si>
  <si>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t>老友会</t>
  </si>
  <si>
    <r>
      <t>朱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</si>
  <si>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</si>
  <si>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若</t>
    </r>
    <r>
      <rPr>
        <sz val="11"/>
        <color theme="1"/>
        <rFont val="ＭＳ Ｐゴシック"/>
        <family val="3"/>
        <charset val="134"/>
        <scheme val="minor"/>
      </rPr>
      <t>扬</t>
    </r>
  </si>
  <si>
    <t>杨铭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</si>
  <si>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食用酒精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</si>
  <si>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</si>
  <si>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赢赛</t>
    </r>
    <r>
      <rPr>
        <sz val="11"/>
        <color theme="1"/>
        <rFont val="ＭＳ Ｐゴシック"/>
        <family val="3"/>
        <charset val="128"/>
        <scheme val="minor"/>
      </rPr>
      <t>事运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</si>
  <si>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</si>
  <si>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r>
      <t>准噶</t>
    </r>
    <r>
      <rPr>
        <sz val="11"/>
        <color theme="1"/>
        <rFont val="ＭＳ Ｐゴシック"/>
        <family val="3"/>
        <charset val="134"/>
        <scheme val="minor"/>
      </rPr>
      <t>尔</t>
    </r>
  </si>
  <si>
    <t>白生兵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</si>
  <si>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</si>
  <si>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楼台月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</si>
  <si>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鑫海高分子材料科技有限公司</t>
    </r>
  </si>
  <si>
    <r>
      <t xml:space="preserve">葡萄酒; 白酒; 高粱酒;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黄酒; 食用酒精</t>
    </r>
  </si>
  <si>
    <t>毛客</t>
  </si>
  <si>
    <r>
      <t>深圳市茅</t>
    </r>
    <r>
      <rPr>
        <sz val="11"/>
        <color theme="1"/>
        <rFont val="ＭＳ Ｐゴシック"/>
        <family val="3"/>
        <charset val="134"/>
        <scheme val="minor"/>
      </rPr>
      <t>电实业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</si>
  <si>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蜂蜜酒; 白酒;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</si>
  <si>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t>霖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</si>
  <si>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米酒</t>
    </r>
  </si>
  <si>
    <t>吉特森</t>
  </si>
  <si>
    <r>
      <t>吉林省吉投供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</si>
  <si>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</si>
  <si>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成渝之星</t>
  </si>
  <si>
    <t>刘玉梅</t>
  </si>
  <si>
    <r>
      <t xml:space="preserve">利口酒; 米酒; 烈酒;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清酒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</si>
  <si>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</si>
  <si>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市王大丫酒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</si>
  <si>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开胃酒; 梨酒;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白酒; 青稞酒; 利口酒; 米酒</t>
    </r>
  </si>
  <si>
    <t>九天泰</t>
  </si>
  <si>
    <r>
      <t>上海九天泰国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</si>
  <si>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果酒（含酒精）;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</si>
  <si>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COLOR CONCH 七彩海螺</t>
  </si>
  <si>
    <r>
      <t>惠州市天浩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</si>
  <si>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</si>
  <si>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村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</si>
  <si>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阳小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</si>
  <si>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</si>
  <si>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乌龙</t>
  </si>
  <si>
    <r>
      <t>河南五谷春酒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</si>
  <si>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</si>
  <si>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黔露春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</si>
  <si>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州黔露春茶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</si>
  <si>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白酒; 高粱酒</t>
    </r>
  </si>
  <si>
    <t>金赤桑乾廊</t>
  </si>
  <si>
    <r>
      <t>久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旦增（******************）</t>
    </r>
  </si>
  <si>
    <r>
      <t>米酒; 果酒（含酒精）; 青稞酒; 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</si>
  <si>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王勇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</si>
  <si>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</si>
  <si>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卓一</t>
  </si>
  <si>
    <r>
      <t>王永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</si>
  <si>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</si>
  <si>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北京市平谷区</t>
    </r>
    <r>
      <rPr>
        <sz val="11"/>
        <color theme="1"/>
        <rFont val="ＭＳ Ｐゴシック"/>
        <family val="3"/>
        <charset val="134"/>
        <scheme val="minor"/>
      </rPr>
      <t>镇罗营镇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创农业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</si>
  <si>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</si>
  <si>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维亚</t>
    </r>
  </si>
  <si>
    <r>
      <t>米酒; 青稞酒; 伏特加酒;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</si>
  <si>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浅事小酒</t>
  </si>
  <si>
    <r>
      <t>浅加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市（广州）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</si>
  <si>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白酒</t>
    </r>
  </si>
  <si>
    <t>康乾天禄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</si>
  <si>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泽阔</t>
    </r>
    <r>
      <rPr>
        <sz val="11"/>
        <color theme="1"/>
        <rFont val="ＭＳ Ｐゴシック"/>
        <family val="3"/>
        <charset val="128"/>
        <scheme val="minor"/>
      </rPr>
      <t>升韵商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</si>
  <si>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餐...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</si>
  <si>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佳合网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</si>
  <si>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</si>
  <si>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相如酒肆 蜀</t>
  </si>
  <si>
    <r>
      <t>四川美信投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</si>
  <si>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朗姆酒; 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</t>
    </r>
  </si>
  <si>
    <t>食者道</t>
  </si>
  <si>
    <t>宋婷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</si>
  <si>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威士忌</t>
    </r>
  </si>
  <si>
    <r>
      <t>三色</t>
    </r>
    <r>
      <rPr>
        <sz val="11"/>
        <color theme="1"/>
        <rFont val="ＭＳ Ｐゴシック"/>
        <family val="3"/>
        <charset val="134"/>
        <scheme val="minor"/>
      </rPr>
      <t>鸽</t>
    </r>
  </si>
  <si>
    <r>
      <t>南阳三色</t>
    </r>
    <r>
      <rPr>
        <sz val="11"/>
        <color theme="1"/>
        <rFont val="ＭＳ Ｐゴシック"/>
        <family val="3"/>
        <charset val="134"/>
        <scheme val="minor"/>
      </rPr>
      <t>鸽农业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</si>
  <si>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伏特加酒;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</si>
  <si>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一</t>
    </r>
  </si>
  <si>
    <r>
      <t>梦名著（北京）文化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</si>
  <si>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果酒（含酒精）; 烈酒</t>
    </r>
  </si>
  <si>
    <t>宁小莓</t>
  </si>
  <si>
    <r>
      <t>青海晟</t>
    </r>
    <r>
      <rPr>
        <sz val="11"/>
        <color theme="1"/>
        <rFont val="ＭＳ Ｐゴシック"/>
        <family val="3"/>
        <charset val="134"/>
        <scheme val="minor"/>
      </rPr>
      <t>锦农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</si>
  <si>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草莓酒;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</si>
  <si>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窖天下</t>
    </r>
  </si>
  <si>
    <t>林坤生</t>
  </si>
  <si>
    <r>
      <t xml:space="preserve">清酒; 黄酒; 高粱酒;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白干酒（中国白酒）; 米酒</t>
    </r>
  </si>
  <si>
    <r>
      <t>锦绣</t>
    </r>
    <r>
      <rPr>
        <sz val="11"/>
        <color theme="1"/>
        <rFont val="ＭＳ Ｐゴシック"/>
        <family val="3"/>
        <charset val="128"/>
        <scheme val="minor"/>
      </rPr>
      <t>万疆</t>
    </r>
  </si>
  <si>
    <r>
      <t>焦作市明仁天然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物有限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</si>
  <si>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果酒; 汽酒</t>
    </r>
  </si>
  <si>
    <t>CHAGEE</t>
  </si>
  <si>
    <r>
      <t>北京茶</t>
    </r>
    <r>
      <rPr>
        <sz val="11"/>
        <color theme="1"/>
        <rFont val="ＭＳ Ｐゴシック"/>
        <family val="3"/>
        <charset val="129"/>
        <scheme val="minor"/>
      </rPr>
      <t>姬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</si>
  <si>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</si>
  <si>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醉</t>
    </r>
    <r>
      <rPr>
        <sz val="11"/>
        <color theme="1"/>
        <rFont val="ＭＳ Ｐゴシック"/>
        <family val="3"/>
        <charset val="129"/>
        <scheme val="minor"/>
      </rPr>
      <t>叼</t>
    </r>
    <r>
      <rPr>
        <sz val="11"/>
        <color theme="1"/>
        <rFont val="ＭＳ Ｐゴシック"/>
        <family val="3"/>
        <charset val="134"/>
        <scheme val="minor"/>
      </rPr>
      <t>馋</t>
    </r>
  </si>
  <si>
    <r>
      <t>金牛区百寿路醉</t>
    </r>
    <r>
      <rPr>
        <sz val="11"/>
        <color theme="1"/>
        <rFont val="ＭＳ Ｐゴシック"/>
        <family val="3"/>
        <charset val="129"/>
        <scheme val="minor"/>
      </rPr>
      <t>叼</t>
    </r>
    <r>
      <rPr>
        <sz val="11"/>
        <color theme="1"/>
        <rFont val="ＭＳ Ｐゴシック"/>
        <family val="3"/>
        <charset val="134"/>
        <scheme val="minor"/>
      </rPr>
      <t>馋</t>
    </r>
    <r>
      <rPr>
        <sz val="11"/>
        <color theme="1"/>
        <rFont val="ＭＳ Ｐゴシック"/>
        <family val="3"/>
        <charset val="128"/>
        <scheme val="minor"/>
      </rPr>
      <t>小吃店</t>
    </r>
  </si>
  <si>
    <r>
      <t>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酸酒（低等葡萄酒）;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蒸煮提取物（利口酒和烈酒）;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</si>
  <si>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云数主珏</t>
  </si>
  <si>
    <t>深圳威富云数科技有限公司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</si>
  <si>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</si>
  <si>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治庭兄弟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</si>
  <si>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西治庭酒店有限公司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</si>
  <si>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米酒; 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</si>
  <si>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陈贵酿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</si>
  <si>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</si>
  <si>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烈酒;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</si>
  <si>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</si>
  <si>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白干酒（中国白酒）; 葡萄酒; 黄酒; 露酒;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</si>
  <si>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清韵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</si>
  <si>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露酒; 果酒; 白干酒（中国白酒）; 葡萄酒; 高粱酒;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</si>
  <si>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厚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</si>
  <si>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白酒; 烈酒; 露酒;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白干酒（中国白酒）; 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</si>
  <si>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</si>
  <si>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高粱酒; 黄酒; 白酒; 烈酒;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</si>
  <si>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葡萄酒; 烈酒;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露酒</t>
    </r>
  </si>
  <si>
    <t>BOTARE</t>
  </si>
  <si>
    <r>
      <t>福州植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</si>
  <si>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米酒; 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</si>
  <si>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酒利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</si>
  <si>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酒利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</si>
  <si>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</t>
    </r>
  </si>
  <si>
    <t>廷誉</t>
  </si>
  <si>
    <t>王家斌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</si>
  <si>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青稞酒</t>
    </r>
  </si>
  <si>
    <t>叶春香</t>
  </si>
  <si>
    <r>
      <t>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蜂蜜酒; 梨酒; 米酒;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</si>
  <si>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t>八邑堂</t>
  </si>
  <si>
    <r>
      <t>一休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</si>
  <si>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</si>
  <si>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八方酒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</si>
  <si>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清酒</t>
    </r>
  </si>
  <si>
    <t>帝吞 KINGEAT</t>
  </si>
  <si>
    <r>
      <t>郭子</t>
    </r>
    <r>
      <rPr>
        <sz val="11"/>
        <color theme="1"/>
        <rFont val="ＭＳ Ｐゴシック"/>
        <family val="3"/>
        <charset val="134"/>
        <scheme val="minor"/>
      </rPr>
      <t>烁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</si>
  <si>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果酒; 清酒; 含酒精的气泡水; 朗姆酒; 白酒; 烈酒;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</si>
  <si>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GALLERY DEPT.</t>
  </si>
  <si>
    <r>
      <t>画廊部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</si>
  <si>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</si>
  <si>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摇滚</t>
    </r>
    <r>
      <rPr>
        <sz val="11"/>
        <color theme="1"/>
        <rFont val="ＭＳ Ｐゴシック"/>
        <family val="3"/>
        <charset val="128"/>
        <scheme val="minor"/>
      </rPr>
      <t>之城制造</t>
    </r>
  </si>
  <si>
    <r>
      <t>石家庄旅投集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文化体育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任公司演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分公司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</si>
  <si>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</si>
  <si>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兮兮御宴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</si>
  <si>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市私坊酒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</si>
  <si>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</si>
  <si>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四川古</t>
    </r>
    <r>
      <rPr>
        <sz val="11"/>
        <color theme="1"/>
        <rFont val="ＭＳ Ｐゴシック"/>
        <family val="3"/>
        <charset val="134"/>
        <scheme val="minor"/>
      </rPr>
      <t>蔺贡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</si>
  <si>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米酒; 露酒</t>
    </r>
  </si>
  <si>
    <t>清圣尊</t>
  </si>
  <si>
    <r>
      <t>李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</si>
  <si>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朗姆酒;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</si>
  <si>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NIU 你有</t>
  </si>
  <si>
    <r>
      <t>杨</t>
    </r>
    <r>
      <rPr>
        <sz val="11"/>
        <color theme="1"/>
        <rFont val="ＭＳ Ｐゴシック"/>
        <family val="3"/>
        <charset val="128"/>
        <scheme val="minor"/>
      </rPr>
      <t>凌利尚有酒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</si>
  <si>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桑果酒（酒精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猕</t>
    </r>
    <r>
      <rPr>
        <sz val="11"/>
        <color theme="1"/>
        <rFont val="ＭＳ Ｐゴシック"/>
        <family val="3"/>
        <charset val="128"/>
        <scheme val="minor"/>
      </rPr>
      <t>猴桃酒（酒精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</si>
  <si>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宇合一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</si>
  <si>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宇合一国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</si>
  <si>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米酒; 黄酒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</si>
  <si>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有品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</si>
  <si>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春市聚</t>
    </r>
    <r>
      <rPr>
        <sz val="11"/>
        <color theme="1"/>
        <rFont val="ＭＳ Ｐゴシック"/>
        <family val="3"/>
        <charset val="134"/>
        <scheme val="minor"/>
      </rPr>
      <t>发财电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</si>
  <si>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青稞酒; 蜂蜜酒; 果酒</t>
    </r>
  </si>
  <si>
    <t>北京捌加壹原酒品牌管理有限公司</t>
  </si>
  <si>
    <r>
      <t xml:space="preserve">葡萄酒; 米酒; 白酒; 梅酒;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</si>
  <si>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功</t>
    </r>
    <r>
      <rPr>
        <sz val="11"/>
        <color theme="1"/>
        <rFont val="ＭＳ Ｐゴシック"/>
        <family val="3"/>
        <charset val="134"/>
        <scheme val="minor"/>
      </rPr>
      <t>绩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</si>
  <si>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露酒; 果酒（含酒精）; 葡萄酒; 米酒; 烈酒;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</si>
  <si>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NUT STORY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</si>
  <si>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英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健健康食品有限公司</t>
    </r>
  </si>
  <si>
    <r>
      <t>果酒（含酒精）; 葡萄酒; 朗姆酒;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白酒</t>
    </r>
  </si>
  <si>
    <t>PRUNE CLEAR DRINK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</si>
  <si>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威士忌</t>
    </r>
  </si>
  <si>
    <r>
      <t>纳图</t>
    </r>
    <r>
      <rPr>
        <sz val="11"/>
        <color theme="1"/>
        <rFont val="ＭＳ Ｐゴシック"/>
        <family val="3"/>
        <charset val="128"/>
        <scheme val="minor"/>
      </rPr>
      <t>堡</t>
    </r>
  </si>
  <si>
    <t>张许贤</t>
  </si>
  <si>
    <r>
      <t xml:space="preserve">葡萄酒;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清酒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</si>
  <si>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粮谷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</si>
  <si>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</si>
  <si>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苦味酒;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</si>
  <si>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苦味酒</t>
    </r>
  </si>
  <si>
    <t>RR</t>
  </si>
  <si>
    <r>
      <t>湘阴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朱默百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</si>
  <si>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黄酒;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</si>
  <si>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t>I 主珏</t>
  </si>
  <si>
    <r>
      <t xml:space="preserve">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</si>
  <si>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APEX</t>
  </si>
  <si>
    <r>
      <t>维</t>
    </r>
    <r>
      <rPr>
        <sz val="11"/>
        <color theme="1"/>
        <rFont val="ＭＳ Ｐゴシック"/>
        <family val="3"/>
        <charset val="128"/>
        <scheme val="minor"/>
      </rPr>
      <t>沃移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通信有限公司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</si>
  <si>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</si>
  <si>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合御福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</si>
  <si>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州合御福酒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</si>
  <si>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餐后酒（利口酒和烈酒）;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白干酒（中国白酒）</t>
    </r>
  </si>
  <si>
    <t>共州</t>
  </si>
  <si>
    <r>
      <t>张东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</si>
  <si>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</si>
  <si>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PURRFECT TOAST</t>
  </si>
  <si>
    <r>
      <t>沈阳醺葡</t>
    </r>
    <r>
      <rPr>
        <sz val="11"/>
        <color theme="1"/>
        <rFont val="ＭＳ Ｐゴシック"/>
        <family val="3"/>
        <charset val="129"/>
        <scheme val="minor"/>
      </rPr>
      <t>醄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</si>
  <si>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果酒（含酒精）; 米酒; 青稞酒; 葡萄酒</t>
    </r>
  </si>
  <si>
    <r>
      <t>伊加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 1+2</t>
    </r>
  </si>
  <si>
    <r>
      <t>哈密市天域小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</si>
  <si>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果酒（含酒精）; 开胃酒; 白酒</t>
    </r>
  </si>
  <si>
    <r>
      <t>抱</t>
    </r>
    <r>
      <rPr>
        <sz val="11"/>
        <color theme="1"/>
        <rFont val="ＭＳ Ｐゴシック"/>
        <family val="3"/>
        <charset val="134"/>
        <scheme val="minor"/>
      </rPr>
      <t>财归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</si>
  <si>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永磊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</si>
  <si>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果酒; 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烈性干酒; 葡萄酒; 梅酒</t>
    </r>
  </si>
  <si>
    <t>缘义</t>
  </si>
  <si>
    <r>
      <t xml:space="preserve">梅酒; 白酒; 黄酒; 果酒; 高粱酒; 米酒;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</si>
  <si>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财临</t>
  </si>
  <si>
    <r>
      <t>许</t>
    </r>
    <r>
      <rPr>
        <sz val="11"/>
        <color theme="1"/>
        <rFont val="ＭＳ Ｐゴシック"/>
        <family val="3"/>
        <charset val="128"/>
        <scheme val="minor"/>
      </rPr>
      <t>文涛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</si>
  <si>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葡萄酒; 高粱酒; 米酒; 白酒;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</t>
    </r>
  </si>
  <si>
    <t>蒙山万寿露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</si>
  <si>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沂蒙山菲沙酒庄有限公司</t>
    </r>
  </si>
  <si>
    <r>
      <t xml:space="preserve">米酒;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</si>
  <si>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上海胖可丁服装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</si>
  <si>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</si>
  <si>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西域小子</t>
  </si>
  <si>
    <t>姜佩佩</t>
  </si>
  <si>
    <r>
      <t>清酒（日本米酒）;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</si>
  <si>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清御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</si>
  <si>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山西汾力特酒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</si>
  <si>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露酒</t>
    </r>
  </si>
  <si>
    <t>溢新养</t>
  </si>
  <si>
    <r>
      <t>香港富</t>
    </r>
    <r>
      <rPr>
        <sz val="11"/>
        <color theme="1"/>
        <rFont val="ＭＳ Ｐゴシック"/>
        <family val="3"/>
        <charset val="134"/>
        <scheme val="minor"/>
      </rPr>
      <t>饶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</si>
  <si>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食用酒精; 白酒; 利口酒; 果酒（含酒精）</t>
    </r>
  </si>
  <si>
    <r>
      <t>清玉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</si>
  <si>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葡萄酒; 米酒; 果酒（含酒精）;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</si>
  <si>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</si>
  <si>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州三炬网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</si>
  <si>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</si>
  <si>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易思汀</t>
  </si>
  <si>
    <r>
      <t>中国石化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售股份有限公司重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易捷分公司</t>
    </r>
  </si>
  <si>
    <r>
      <t>黄酒;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</si>
  <si>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汽酒; 黄酒; 葡萄酒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</si>
  <si>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</si>
  <si>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</si>
  <si>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果酒（含酒精）; 清酒;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</si>
  <si>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</si>
  <si>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苗洲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</si>
  <si>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州苗洲生物科技有限公司</t>
    </r>
  </si>
  <si>
    <r>
      <t>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</t>
    </r>
  </si>
  <si>
    <r>
      <t>麦香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</si>
  <si>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王秀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</si>
  <si>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果酒; 白酒</t>
    </r>
  </si>
  <si>
    <r>
      <t>海大白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</si>
  <si>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海口植之素生物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源研究所有限公司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</si>
  <si>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苦味酒; 开胃酒; 黄酒; 威士忌</t>
    </r>
  </si>
  <si>
    <t>YANXIAOHU</t>
  </si>
  <si>
    <r>
      <t>湖北十堰</t>
    </r>
    <r>
      <rPr>
        <sz val="11"/>
        <color theme="1"/>
        <rFont val="ＭＳ Ｐゴシック"/>
        <family val="3"/>
        <charset val="134"/>
        <scheme val="minor"/>
      </rPr>
      <t>兴颖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</si>
  <si>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白酒; 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</si>
  <si>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神之水滴</t>
  </si>
  <si>
    <r>
      <t>李</t>
    </r>
    <r>
      <rPr>
        <sz val="11"/>
        <color theme="1"/>
        <rFont val="ＭＳ Ｐゴシック"/>
        <family val="3"/>
        <charset val="134"/>
        <scheme val="minor"/>
      </rPr>
      <t>继兰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</si>
  <si>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</si>
  <si>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养芯</t>
    </r>
  </si>
  <si>
    <r>
      <t>莆田吴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养心健康管理有限公司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</si>
  <si>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</si>
  <si>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徽派志哥</t>
  </si>
  <si>
    <r>
      <t>亳州市志哥聊酒商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</si>
  <si>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甜酒; 葡萄酒; 米酒; 汽酒</t>
    </r>
  </si>
  <si>
    <r>
      <t>酒画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篇</t>
    </r>
  </si>
  <si>
    <r>
      <t>四川道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</si>
  <si>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</si>
  <si>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蒙宗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</si>
  <si>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内蒙古白氏餐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</si>
  <si>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米酒;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葡萄酒</t>
    </r>
  </si>
  <si>
    <r>
      <t>山西源来酒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</si>
  <si>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</si>
  <si>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宜春乾翊企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</si>
  <si>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</si>
  <si>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誉如金</t>
  </si>
  <si>
    <r>
      <t>洪江市谷柯百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</si>
  <si>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蜂蜜酒</t>
    </r>
  </si>
  <si>
    <r>
      <t>朋</t>
    </r>
    <r>
      <rPr>
        <sz val="11"/>
        <color theme="1"/>
        <rFont val="ＭＳ Ｐゴシック"/>
        <family val="3"/>
        <charset val="134"/>
        <scheme val="minor"/>
      </rPr>
      <t>辈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</si>
  <si>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白酒; 蜂蜜酒</t>
    </r>
  </si>
  <si>
    <t>彩陶坊陶陶</t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</si>
  <si>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</si>
  <si>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杜牧雅致</t>
  </si>
  <si>
    <t>山西省汾阳市杜牧酒庄有限公司</t>
  </si>
  <si>
    <r>
      <t>果酒（含酒精）; 苹果酒; 青稞酒;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</si>
  <si>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食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乾坤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</si>
  <si>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鑫科技有限公司</t>
    </r>
  </si>
  <si>
    <r>
      <t>开胃酒; 白酒; 威士忌; 黄酒; 白干酒(中国白酒);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</si>
  <si>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州苗</t>
    </r>
    <r>
      <rPr>
        <sz val="11"/>
        <color theme="1"/>
        <rFont val="ＭＳ Ｐゴシック"/>
        <family val="3"/>
        <charset val="134"/>
        <scheme val="minor"/>
      </rPr>
      <t>药药业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</si>
  <si>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</si>
  <si>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雄医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</si>
  <si>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西咸新区空港新城名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</si>
  <si>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威士忌;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清酒（日本米酒）</t>
    </r>
  </si>
  <si>
    <r>
      <t>皇坑</t>
    </r>
    <r>
      <rPr>
        <sz val="11"/>
        <color theme="1"/>
        <rFont val="ＭＳ Ｐゴシック"/>
        <family val="3"/>
        <charset val="134"/>
        <scheme val="minor"/>
      </rPr>
      <t>烧锅</t>
    </r>
  </si>
  <si>
    <r>
      <t>安徽省太平郎坊酒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</si>
  <si>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青稞酒; 黄酒; 露酒;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</si>
  <si>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皇坑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</si>
  <si>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青稞酒; 露酒;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</si>
  <si>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海啤坊</t>
  </si>
  <si>
    <r>
      <t>上海仕辛投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</si>
  <si>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</si>
  <si>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渁</t>
    </r>
    <r>
      <rPr>
        <sz val="11"/>
        <color theme="1"/>
        <rFont val="ＭＳ Ｐゴシック"/>
        <family val="3"/>
        <charset val="128"/>
        <scheme val="minor"/>
      </rPr>
      <t>赤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</si>
  <si>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</si>
  <si>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酒盛岩</t>
  </si>
  <si>
    <r>
      <t>台州市黄岩酒盛酒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</si>
  <si>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</si>
  <si>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武隆区黄泥</t>
    </r>
    <r>
      <rPr>
        <sz val="11"/>
        <color theme="1"/>
        <rFont val="ＭＳ Ｐゴシック"/>
        <family val="3"/>
        <charset val="134"/>
        <scheme val="minor"/>
      </rPr>
      <t>凼</t>
    </r>
    <r>
      <rPr>
        <sz val="11"/>
        <color theme="1"/>
        <rFont val="ＭＳ Ｐゴシック"/>
        <family val="3"/>
        <charset val="128"/>
        <scheme val="minor"/>
      </rPr>
      <t>白酒加工厂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</si>
  <si>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</si>
  <si>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</si>
  <si>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掼</t>
    </r>
    <r>
      <rPr>
        <sz val="11"/>
        <color theme="1"/>
        <rFont val="ＭＳ Ｐゴシック"/>
        <family val="3"/>
        <charset val="128"/>
        <scheme val="minor"/>
      </rPr>
      <t>蛋文化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</si>
  <si>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米酒; 甜果酒; 青稞酒; 酸酒（低等葡萄酒）; 朗姆酒;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黄酒</t>
    </r>
  </si>
  <si>
    <r>
      <t>德道（重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</si>
  <si>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</t>
    </r>
  </si>
  <si>
    <t>蒸禾煮液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</si>
  <si>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</si>
  <si>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</si>
  <si>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梨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</si>
  <si>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州融新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</si>
  <si>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烈酒; 米酒; 黄酒; 白酒</t>
    </r>
  </si>
  <si>
    <r>
      <t>清花</t>
    </r>
    <r>
      <rPr>
        <sz val="11"/>
        <color theme="1"/>
        <rFont val="ＭＳ Ｐゴシック"/>
        <family val="3"/>
        <charset val="134"/>
        <scheme val="minor"/>
      </rPr>
      <t>绝</t>
    </r>
    <r>
      <rPr>
        <sz val="11"/>
        <color theme="1"/>
        <rFont val="ＭＳ Ｐゴシック"/>
        <family val="3"/>
        <charset val="128"/>
        <scheme val="minor"/>
      </rPr>
      <t>唱</t>
    </r>
  </si>
  <si>
    <r>
      <t>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</si>
  <si>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大美</t>
    </r>
    <r>
      <rPr>
        <sz val="11"/>
        <color theme="1"/>
        <rFont val="ＭＳ Ｐゴシック"/>
        <family val="3"/>
        <charset val="134"/>
        <scheme val="minor"/>
      </rPr>
      <t>别丽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</si>
  <si>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河南灵山酒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</si>
  <si>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露酒;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</si>
  <si>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回生塔</t>
  </si>
  <si>
    <t>王占昌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</si>
  <si>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黄酒; 葡萄酒</t>
    </r>
  </si>
  <si>
    <r>
      <t>蒙戈拉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</si>
  <si>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河南琨元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</si>
  <si>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</t>
    </r>
  </si>
  <si>
    <t>甘养元</t>
  </si>
  <si>
    <r>
      <t>梧州嘉立旺商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</si>
  <si>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</si>
  <si>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</si>
  <si>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三厘田 芽</t>
    </r>
    <r>
      <rPr>
        <sz val="11"/>
        <color theme="1"/>
        <rFont val="ＭＳ Ｐゴシック"/>
        <family val="3"/>
        <charset val="134"/>
        <scheme val="minor"/>
      </rPr>
      <t>势</t>
    </r>
    <r>
      <rPr>
        <sz val="11"/>
        <color theme="1"/>
        <rFont val="ＭＳ Ｐゴシック"/>
        <family val="3"/>
        <charset val="128"/>
        <scheme val="minor"/>
      </rPr>
      <t xml:space="preserve"> 88</t>
    </r>
  </si>
  <si>
    <t>王雪梅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</si>
  <si>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青稞酒; 清酒;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</t>
    </r>
  </si>
  <si>
    <t>宝源广通</t>
  </si>
  <si>
    <r>
      <t>宝源广通（北京）科技集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</si>
  <si>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</si>
  <si>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t>蒙毓</t>
  </si>
  <si>
    <r>
      <t>北京也趣国</t>
    </r>
    <r>
      <rPr>
        <sz val="11"/>
        <color theme="1"/>
        <rFont val="ＭＳ Ｐゴシック"/>
        <family val="3"/>
        <charset val="134"/>
        <scheme val="minor"/>
      </rPr>
      <t>际传</t>
    </r>
    <r>
      <rPr>
        <sz val="11"/>
        <color theme="1"/>
        <rFont val="ＭＳ Ｐゴシック"/>
        <family val="3"/>
        <charset val="128"/>
        <scheme val="minor"/>
      </rPr>
      <t>媒广告有限公司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</si>
  <si>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开胃酒; 白酒; 黄酒</t>
    </r>
  </si>
  <si>
    <r>
      <t>淳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</si>
  <si>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山西淳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坊酒厂股份有限公司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</si>
  <si>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白干酒（中国白酒）; 果酒（含酒精）;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</si>
  <si>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</t>
    </r>
  </si>
  <si>
    <t>同山本</t>
  </si>
  <si>
    <r>
      <t>绍兴岁</t>
    </r>
    <r>
      <rPr>
        <sz val="11"/>
        <color theme="1"/>
        <rFont val="ＭＳ Ｐゴシック"/>
        <family val="3"/>
        <charset val="128"/>
        <scheme val="minor"/>
      </rPr>
      <t>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</si>
  <si>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</si>
  <si>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炮打柏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</si>
  <si>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建馨</t>
    </r>
  </si>
  <si>
    <r>
      <t>青稞酒;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苦味酒; 白干酒（中国白酒）;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</si>
  <si>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三商五帮</t>
  </si>
  <si>
    <r>
      <t>山西盛淼商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</si>
  <si>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清酒（日本米酒）; 白酒; 食用酒精</t>
    </r>
  </si>
  <si>
    <r>
      <t>多多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港</t>
    </r>
  </si>
  <si>
    <r>
      <t>温州云天楼多多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港餐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</si>
  <si>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</si>
  <si>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云和雨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</si>
  <si>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沙君健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</si>
  <si>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</si>
  <si>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登（泉州）厨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</si>
  <si>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朗姆酒; 蜂蜜酒; 苹果酒; 杜松子酒; 开胃酒</t>
    </r>
  </si>
  <si>
    <t>黔遵赤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</si>
  <si>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州知民酒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</si>
  <si>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米酒;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</t>
    </r>
  </si>
  <si>
    <t>云吒</t>
  </si>
  <si>
    <r>
      <t>台州市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台仙啤酒有限公司</t>
    </r>
  </si>
  <si>
    <r>
      <t>白酒;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</si>
  <si>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夏日</t>
    </r>
    <r>
      <rPr>
        <sz val="11"/>
        <color theme="1"/>
        <rFont val="ＭＳ Ｐゴシック"/>
        <family val="3"/>
        <charset val="134"/>
        <scheme val="minor"/>
      </rPr>
      <t>长</t>
    </r>
  </si>
  <si>
    <t>北京三快科技有限公司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</si>
  <si>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白酒; 米酒; 黄酒</t>
    </r>
  </si>
  <si>
    <t>冰川酒庄冰之源</t>
  </si>
  <si>
    <r>
      <t>唐源国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</si>
  <si>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白酒; 蜂蜜酒;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</si>
  <si>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t>君超·一号</t>
  </si>
  <si>
    <r>
      <t>广州君超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</si>
  <si>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</si>
  <si>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君超·壹元广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 xml:space="preserve"> GRAND INTERNATIONAL AVENUE</t>
    </r>
  </si>
  <si>
    <r>
      <t xml:space="preserve">汽酒;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</si>
  <si>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GRANTRAL ONE</t>
  </si>
  <si>
    <r>
      <t>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</si>
  <si>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镇龙</t>
    </r>
    <r>
      <rPr>
        <sz val="11"/>
        <color theme="1"/>
        <rFont val="ＭＳ Ｐゴシック"/>
        <family val="3"/>
        <charset val="128"/>
        <scheme val="minor"/>
      </rPr>
      <t>黄家米二</t>
    </r>
  </si>
  <si>
    <t>黄家上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</si>
  <si>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</si>
  <si>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云禾雨</t>
  </si>
  <si>
    <r>
      <t>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</si>
  <si>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生物科技（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</si>
  <si>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苹果酒; 白酒; 烈酒; 露酒; 梅酒;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</si>
  <si>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ZTO SMART SELECTION</t>
  </si>
  <si>
    <r>
      <t>中通快</t>
    </r>
    <r>
      <rPr>
        <sz val="11"/>
        <color theme="1"/>
        <rFont val="ＭＳ Ｐゴシック"/>
        <family val="3"/>
        <charset val="134"/>
        <scheme val="minor"/>
      </rPr>
      <t>递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</si>
  <si>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果酒（含酒精）; 黄酒; 白酒;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</si>
  <si>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佰草皖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</si>
  <si>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安徽草本香酒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</si>
  <si>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甜酒; 米酒; 食用酒精; 葡萄酒; 草本型利口酒;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</si>
  <si>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礼尚有梅</t>
  </si>
  <si>
    <r>
      <t>峨眉山市峨眉仙酒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</si>
  <si>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梅酒; 烈酒;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清酒; 米酒; 青梅酒; 果酒（含酒精）; 水果汽酒</t>
    </r>
  </si>
  <si>
    <r>
      <t>洞魂</t>
    </r>
    <r>
      <rPr>
        <sz val="11"/>
        <color theme="1"/>
        <rFont val="ＭＳ Ｐゴシック"/>
        <family val="3"/>
        <charset val="134"/>
        <scheme val="minor"/>
      </rPr>
      <t>龙</t>
    </r>
  </si>
  <si>
    <t>任田田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</si>
  <si>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甘蔗制烈酒</t>
    </r>
  </si>
  <si>
    <r>
      <t>中媳</t>
    </r>
    <r>
      <rPr>
        <sz val="11"/>
        <color theme="1"/>
        <rFont val="ＭＳ Ｐゴシック"/>
        <family val="3"/>
        <charset val="134"/>
        <scheme val="minor"/>
      </rPr>
      <t>妇</t>
    </r>
  </si>
  <si>
    <r>
      <t>刘志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</si>
  <si>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</si>
  <si>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ZUIWANG</t>
  </si>
  <si>
    <t>令狐禹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</si>
  <si>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开胃酒; 米酒;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</si>
  <si>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金禧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</si>
  <si>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果酒（含酒精）; 葡萄酒; 黄酒</t>
    </r>
  </si>
  <si>
    <r>
      <t>鹿家良品</t>
    </r>
    <r>
      <rPr>
        <sz val="11"/>
        <color theme="1"/>
        <rFont val="ＭＳ Ｐゴシック"/>
        <family val="3"/>
        <charset val="134"/>
        <scheme val="minor"/>
      </rPr>
      <t>严选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</si>
  <si>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沙野鹿网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</si>
  <si>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威士忌; 开胃酒;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</t>
    </r>
  </si>
  <si>
    <r>
      <t>泥</t>
    </r>
    <r>
      <rPr>
        <sz val="11"/>
        <color theme="1"/>
        <rFont val="ＭＳ Ｐゴシック"/>
        <family val="3"/>
        <charset val="134"/>
        <scheme val="minor"/>
      </rPr>
      <t>门</t>
    </r>
  </si>
  <si>
    <t>王鑫垚</t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</si>
  <si>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米酒; 黄酒; 白酒</t>
    </r>
  </si>
  <si>
    <t>DONG XING DAO</t>
  </si>
  <si>
    <r>
      <t>黄</t>
    </r>
    <r>
      <rPr>
        <sz val="11"/>
        <color theme="1"/>
        <rFont val="ＭＳ Ｐゴシック"/>
        <family val="3"/>
        <charset val="134"/>
        <scheme val="minor"/>
      </rPr>
      <t>凤坚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</si>
  <si>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白干酒（中国白酒）; 烈酒;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</t>
    </r>
  </si>
  <si>
    <t>帝藏好韵</t>
  </si>
  <si>
    <r>
      <t xml:space="preserve">甘蔗制烈酒;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</si>
  <si>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明哲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</si>
  <si>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</si>
  <si>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杜甫名家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</si>
  <si>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果酒（含酒精）; 威士忌; 黄酒</t>
    </r>
  </si>
  <si>
    <r>
      <t>安石坊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商天下</t>
    </r>
  </si>
  <si>
    <r>
      <t>江西安石坊酒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</si>
  <si>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黄酒; 开胃酒; 食用酒精;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</si>
  <si>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四川不老潭企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</si>
  <si>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青梅酒; 露酒; 高粱酒; 烈酒; 果酒（含酒精）; 果酒; 梅酒</t>
    </r>
  </si>
  <si>
    <t>杜甫名曲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</si>
  <si>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薄荷酒; 果酒（含酒精）</t>
    </r>
  </si>
  <si>
    <r>
      <t>南小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友小宁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</si>
  <si>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工投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</si>
  <si>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薄荷酒; 刺五加酒; 甜酒; 梨酒; 草莓酒; 米酒; 苹果酒; 汽酒; 葡萄酒; 开胃酒</t>
  </si>
  <si>
    <t>XRXR</t>
  </si>
  <si>
    <t>王理想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</si>
  <si>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蒸煮提取物（利口酒和烈酒）; 食用酒精; 葡萄汽酒;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</si>
  <si>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晋厂</t>
    </r>
    <r>
      <rPr>
        <sz val="11"/>
        <color theme="1"/>
        <rFont val="ＭＳ Ｐゴシック"/>
        <family val="3"/>
        <charset val="134"/>
        <scheme val="minor"/>
      </rPr>
      <t>长</t>
    </r>
  </si>
  <si>
    <t>李浩浩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</si>
  <si>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</si>
  <si>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X13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</si>
  <si>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州赤兔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输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</si>
  <si>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斛宝康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</si>
  <si>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其商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</si>
  <si>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</si>
  <si>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留余造化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</si>
  <si>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州向日魁酒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</si>
  <si>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高粱酒; 果酒; 葡萄酒; 白酒; 米酒;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</si>
  <si>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ADORKABLE BABY</t>
  </si>
  <si>
    <r>
      <t>吉林省盛泰酒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</si>
  <si>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苹果酒; 白酒; 利口酒; 米酒; 果酒（含酒精）; 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</si>
  <si>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黑珍珠餐</t>
    </r>
    <r>
      <rPr>
        <sz val="11"/>
        <color theme="1"/>
        <rFont val="ＭＳ Ｐゴシック"/>
        <family val="3"/>
        <charset val="134"/>
        <scheme val="minor"/>
      </rPr>
      <t>厅</t>
    </r>
    <r>
      <rPr>
        <sz val="11"/>
        <color theme="1"/>
        <rFont val="ＭＳ Ｐゴシック"/>
        <family val="3"/>
        <charset val="128"/>
        <scheme val="minor"/>
      </rPr>
      <t>指南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</si>
  <si>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</si>
  <si>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澳拉拜富</t>
  </si>
  <si>
    <r>
      <t>亿</t>
    </r>
    <r>
      <rPr>
        <sz val="11"/>
        <color theme="1"/>
        <rFont val="ＭＳ Ｐゴシック"/>
        <family val="3"/>
        <charset val="128"/>
        <scheme val="minor"/>
      </rPr>
      <t>晟烈酒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（香港）有限公司</t>
    </r>
  </si>
  <si>
    <r>
      <t>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朗姆酒;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</si>
  <si>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及方式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</si>
  <si>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清酒; 汽酒; 葡萄酒; 蜂蜜酒; 白酒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</si>
  <si>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力量</t>
    </r>
  </si>
  <si>
    <t>陈艳</t>
  </si>
  <si>
    <r>
      <t>白酒; 果酒（含酒精）; 餐后酒（利口酒和烈酒）;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</si>
  <si>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西施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</si>
  <si>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浙江品位</t>
    </r>
    <r>
      <rPr>
        <sz val="11"/>
        <color theme="1"/>
        <rFont val="ＭＳ Ｐゴシック"/>
        <family val="3"/>
        <charset val="134"/>
        <scheme val="minor"/>
      </rPr>
      <t>门业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</si>
  <si>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清酒（日本米酒）; 威士忌;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</si>
  <si>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潭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酿红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</si>
  <si>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家口）有限公司</t>
    </r>
  </si>
  <si>
    <r>
      <t xml:space="preserve">苦味酒;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葡萄酒; 蜂蜜酒</t>
    </r>
  </si>
  <si>
    <t>极草金重九</t>
  </si>
  <si>
    <t>米健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</si>
  <si>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</si>
  <si>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匿名的好友 ANONYMOUS FRIEND</t>
  </si>
  <si>
    <t>孙龙</t>
  </si>
  <si>
    <r>
      <t xml:space="preserve">汽酒;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黄酒; 果酒（含酒精）; 薄荷酒</t>
    </r>
  </si>
  <si>
    <r>
      <t>顽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庐</t>
    </r>
  </si>
  <si>
    <r>
      <t>西泠醉白酒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(上海)有限公司</t>
    </r>
  </si>
  <si>
    <r>
      <t xml:space="preserve">果酒（含酒精）; 梅酒; 白酒; 食用酒精;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</si>
  <si>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r>
      <t>澳瑞金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</si>
  <si>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果酒（含酒精）; 黄酒; 朗姆酒; 高粱酒;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</si>
  <si>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虔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</si>
  <si>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</si>
  <si>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</si>
  <si>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t>胤禄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</si>
  <si>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马设备</t>
    </r>
    <r>
      <rPr>
        <sz val="11"/>
        <color theme="1"/>
        <rFont val="ＭＳ Ｐゴシック"/>
        <family val="3"/>
        <charset val="128"/>
        <scheme val="minor"/>
      </rPr>
      <t>租</t>
    </r>
    <r>
      <rPr>
        <sz val="11"/>
        <color theme="1"/>
        <rFont val="ＭＳ Ｐゴシック"/>
        <family val="3"/>
        <charset val="134"/>
        <scheme val="minor"/>
      </rPr>
      <t>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</si>
  <si>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高粱酒; 白酒; 清酒; 果酒;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</si>
  <si>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宋仙翁</t>
  </si>
  <si>
    <r>
      <t>苏</t>
    </r>
    <r>
      <rPr>
        <sz val="11"/>
        <color theme="1"/>
        <rFont val="ＭＳ Ｐゴシック"/>
        <family val="3"/>
        <charset val="128"/>
        <scheme val="minor"/>
      </rPr>
      <t>叶芳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</si>
  <si>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</si>
  <si>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城金泉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</si>
  <si>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满坛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</si>
  <si>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薄荷酒;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青稞酒; 食用酒精; 白酒; 开胃酒; 茴香酒（利口酒）</t>
    </r>
  </si>
  <si>
    <r>
      <t>BROG SBRA CHEN 罩扎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</si>
  <si>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沁罩扎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私</t>
    </r>
    <r>
      <rPr>
        <sz val="11"/>
        <color theme="1"/>
        <rFont val="ＭＳ Ｐゴシック"/>
        <family val="3"/>
        <charset val="134"/>
        <scheme val="minor"/>
      </rPr>
      <t>营农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惠民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</si>
  <si>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白干酒（中国白酒）; 利口酒; 米酒; 葡萄酒; 梨酒; 白酒; 蜂蜜酒; 苹果酒</t>
    </r>
  </si>
  <si>
    <t>GERLOOGS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</si>
  <si>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蓝图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</si>
  <si>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伏特加酒; 朗姆酒; 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</si>
  <si>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翯台</t>
  </si>
  <si>
    <r>
      <t>欧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</si>
  <si>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 xml:space="preserve">白酒;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</si>
  <si>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上核首高</t>
  </si>
  <si>
    <r>
      <t>上核良工</t>
    </r>
    <r>
      <rPr>
        <sz val="11"/>
        <color theme="1"/>
        <rFont val="ＭＳ Ｐゴシック"/>
        <family val="3"/>
        <charset val="134"/>
        <scheme val="minor"/>
      </rPr>
      <t>阀门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</si>
  <si>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威士忌; 黄酒</t>
    </r>
  </si>
  <si>
    <t>渝生如是</t>
  </si>
  <si>
    <r>
      <t>渝生如是（重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</si>
  <si>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苹果酒; 利口酒;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</si>
  <si>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梵古香山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</si>
  <si>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梵古香山旅游开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</si>
  <si>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</si>
  <si>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泉世界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</si>
  <si>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泉酒庄有限公司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</si>
  <si>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高粱酒; 白干酒（中国白酒）;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</t>
    </r>
  </si>
  <si>
    <r>
      <t>洒露</t>
    </r>
    <r>
      <rPr>
        <sz val="11"/>
        <color theme="1"/>
        <rFont val="ＭＳ Ｐゴシック"/>
        <family val="3"/>
        <charset val="134"/>
        <scheme val="minor"/>
      </rPr>
      <t>闻浆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</si>
  <si>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羽投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</si>
  <si>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</si>
  <si>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</si>
  <si>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毦台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</si>
  <si>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</si>
  <si>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黄酒; 白酒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</si>
  <si>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</si>
  <si>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皖酒小口粮</t>
  </si>
  <si>
    <r>
      <t>安徽皖酒制造集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</si>
  <si>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露酒; 餐后酒（利口酒和烈酒）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</si>
  <si>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</si>
  <si>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</si>
  <si>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</si>
  <si>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三月美</t>
  </si>
  <si>
    <r>
      <t>赵</t>
    </r>
    <r>
      <rPr>
        <sz val="11"/>
        <color theme="1"/>
        <rFont val="ＭＳ Ｐゴシック"/>
        <family val="3"/>
        <charset val="128"/>
        <scheme val="minor"/>
      </rPr>
      <t>禹</t>
    </r>
  </si>
  <si>
    <r>
      <t>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</si>
  <si>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SAMATA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</si>
  <si>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均晟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</si>
  <si>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</si>
  <si>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帝月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</si>
  <si>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</si>
  <si>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玺东</t>
    </r>
    <r>
      <rPr>
        <sz val="11"/>
        <color theme="1"/>
        <rFont val="ＭＳ Ｐゴシック"/>
        <family val="3"/>
        <charset val="128"/>
        <scheme val="minor"/>
      </rPr>
      <t>方韵</t>
    </r>
  </si>
  <si>
    <r>
      <t>白酒; 葡萄酒; 果酒（含酒精）; 米酒;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</si>
  <si>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私坊壹号</t>
  </si>
  <si>
    <r>
      <t>凉山州喜酒酒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</si>
  <si>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白酒; 威士忌; 薄荷酒;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</si>
  <si>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</t>
    </r>
  </si>
  <si>
    <r>
      <t>湖北古月坊品牌运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</si>
  <si>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薄荷酒; 果酒（含酒精）; 威士忌</t>
    </r>
  </si>
  <si>
    <t>万斛生香</t>
  </si>
  <si>
    <r>
      <t>霍山竭力人力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</si>
  <si>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高粱酒; 食用酒精; 利口酒; 苦艾酒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</si>
  <si>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</si>
  <si>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威士忌;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</si>
  <si>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府城</t>
    </r>
    <r>
      <rPr>
        <sz val="11"/>
        <color theme="1"/>
        <rFont val="ＭＳ Ｐゴシック"/>
        <family val="3"/>
        <charset val="134"/>
        <scheme val="minor"/>
      </rPr>
      <t>单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</si>
  <si>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台州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海市</t>
    </r>
    <r>
      <rPr>
        <sz val="11"/>
        <color theme="1"/>
        <rFont val="ＭＳ Ｐゴシック"/>
        <family val="3"/>
        <charset val="134"/>
        <scheme val="minor"/>
      </rPr>
      <t>单记</t>
    </r>
    <r>
      <rPr>
        <sz val="11"/>
        <color theme="1"/>
        <rFont val="ＭＳ Ｐゴシック"/>
        <family val="3"/>
        <charset val="128"/>
        <scheme val="minor"/>
      </rPr>
      <t>酒坊有限公司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</si>
  <si>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白酒; 青稞酒; 含酒精的气泡水</t>
    </r>
  </si>
  <si>
    <t>PIEMAGGIO</t>
  </si>
  <si>
    <r>
      <t>皮也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久</t>
    </r>
    <r>
      <rPr>
        <sz val="11"/>
        <color theme="1"/>
        <rFont val="ＭＳ Ｐゴシック"/>
        <family val="3"/>
        <charset val="134"/>
        <scheme val="minor"/>
      </rPr>
      <t>农务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</si>
  <si>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威士忌; 清酒（日本米酒）;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黄酒</t>
    </r>
  </si>
  <si>
    <t>数今朝</t>
  </si>
  <si>
    <t>朱小英</t>
  </si>
  <si>
    <r>
      <t>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伏特加酒;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</si>
  <si>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哦</t>
    </r>
    <r>
      <rPr>
        <sz val="11"/>
        <color theme="1"/>
        <rFont val="ＭＳ Ｐゴシック"/>
        <family val="3"/>
        <charset val="134"/>
        <scheme val="minor"/>
      </rPr>
      <t>吖吖</t>
    </r>
  </si>
  <si>
    <r>
      <t>程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</si>
  <si>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果酒（含酒精）; 黄酒; 米酒</t>
    </r>
  </si>
  <si>
    <t>君勿念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</si>
  <si>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</si>
  <si>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r>
      <t>龙岁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</si>
  <si>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 xml:space="preserve">开胃酒; 果酒（含酒精）; 黄酒;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</si>
  <si>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密室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</si>
  <si>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山区密家膏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</si>
  <si>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米酒; 汽酒;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</si>
  <si>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龗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</si>
  <si>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州蜀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</si>
  <si>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大全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</si>
  <si>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</t>
    </r>
  </si>
  <si>
    <t>LOULANHONG RAFI</t>
  </si>
  <si>
    <r>
      <t>深圳市楼</t>
    </r>
    <r>
      <rPr>
        <sz val="11"/>
        <color theme="1"/>
        <rFont val="ＭＳ Ｐゴシック"/>
        <family val="3"/>
        <charset val="134"/>
        <scheme val="minor"/>
      </rPr>
      <t>兰红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</si>
  <si>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果酒（含酒精）; 开胃酒; 白酒; 青稞酒; 食用酒精;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</si>
  <si>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邈</t>
    </r>
    <r>
      <rPr>
        <sz val="11"/>
        <color theme="1"/>
        <rFont val="ＭＳ Ｐゴシック"/>
        <family val="3"/>
        <charset val="134"/>
        <scheme val="minor"/>
      </rPr>
      <t>说汉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</si>
  <si>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中山市宣林网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</si>
  <si>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黄酒</t>
    </r>
  </si>
  <si>
    <r>
      <t>禧宗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</si>
  <si>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志永</t>
    </r>
  </si>
  <si>
    <r>
      <t>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</si>
  <si>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复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戏</t>
    </r>
  </si>
  <si>
    <r>
      <t>复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（上海）文化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</si>
  <si>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利口酒; 白酒; 葡萄酒</t>
    </r>
  </si>
  <si>
    <r>
      <t>万果园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</si>
  <si>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河南万果园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</si>
  <si>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</t>
    </r>
  </si>
  <si>
    <r>
      <t>梨园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</si>
  <si>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亳州市彩曲工坊酒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</si>
  <si>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</si>
  <si>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杜甫名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</si>
  <si>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葡萄酒;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</si>
  <si>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瑞杰沙 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</si>
  <si>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</si>
  <si>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</t>
    </r>
  </si>
  <si>
    <t>杜甫手造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</si>
  <si>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薄荷酒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</si>
  <si>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凡</t>
    </r>
    <r>
      <rPr>
        <sz val="11"/>
        <color theme="1"/>
        <rFont val="ＭＳ Ｐゴシック"/>
        <family val="3"/>
        <charset val="134"/>
        <scheme val="minor"/>
      </rPr>
      <t>尘</t>
    </r>
  </si>
  <si>
    <r>
      <t>河南酌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知真商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</si>
  <si>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</t>
    </r>
  </si>
  <si>
    <r>
      <t>酒坊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</si>
  <si>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金妹</t>
    </r>
  </si>
  <si>
    <r>
      <t xml:space="preserve">果酒（含酒精）; 葡萄酒; 米酒; 开胃酒; 白酒; 利口酒;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</si>
  <si>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9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</si>
  <si>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>深圳市玖伍至尊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</si>
  <si>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黄酒; 葡萄酒; 白酒; 果酒; 米酒</t>
    </r>
  </si>
  <si>
    <t>黄草印象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</si>
  <si>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州搜</t>
    </r>
    <r>
      <rPr>
        <sz val="11"/>
        <color theme="1"/>
        <rFont val="ＭＳ Ｐゴシック"/>
        <family val="3"/>
        <charset val="134"/>
        <scheme val="minor"/>
      </rPr>
      <t>农记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</si>
  <si>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葡萄酒; 蜂蜜酒; 米酒; 苹果酒</t>
    </r>
  </si>
  <si>
    <r>
      <t>横世</t>
    </r>
    <r>
      <rPr>
        <sz val="11"/>
        <color theme="1"/>
        <rFont val="ＭＳ Ｐゴシック"/>
        <family val="3"/>
        <charset val="134"/>
        <scheme val="minor"/>
      </rPr>
      <t>创举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</si>
  <si>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州横世</t>
    </r>
    <r>
      <rPr>
        <sz val="11"/>
        <color theme="1"/>
        <rFont val="ＭＳ Ｐゴシック"/>
        <family val="3"/>
        <charset val="134"/>
        <scheme val="minor"/>
      </rPr>
      <t>创举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</si>
  <si>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甘蔗制烈酒;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果酒（含酒精）</t>
    </r>
  </si>
  <si>
    <t>至永玖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</si>
  <si>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州永玖酒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</si>
  <si>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葡萄酒;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高粱酒</t>
    </r>
  </si>
  <si>
    <r>
      <t>悦凡</t>
    </r>
    <r>
      <rPr>
        <sz val="11"/>
        <color theme="1"/>
        <rFont val="ＭＳ Ｐゴシック"/>
        <family val="3"/>
        <charset val="134"/>
        <scheme val="minor"/>
      </rPr>
      <t>尘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</si>
  <si>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果酒; 清酒</t>
    </r>
  </si>
  <si>
    <t>GEWENO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</si>
  <si>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韦诺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</si>
  <si>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</si>
  <si>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万果园甄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</si>
  <si>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</si>
  <si>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浙江万河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</si>
  <si>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薄荷酒; 米酒; 蒸煮提取物（利口酒和烈酒）;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</t>
    </r>
  </si>
  <si>
    <t>BAILING KNIGHT</t>
  </si>
  <si>
    <r>
      <t>成都智澳博洛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</si>
  <si>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</si>
  <si>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杜甫佳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</si>
  <si>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薄荷酒; 葡萄酒; 白酒; 果酒（含酒精）; 黄酒</t>
    </r>
  </si>
  <si>
    <t>京商韵</t>
  </si>
  <si>
    <r>
      <t>西安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景弘昇景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</si>
  <si>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果酒</t>
    </r>
  </si>
  <si>
    <t>福神助</t>
  </si>
  <si>
    <t>银锋</t>
  </si>
  <si>
    <r>
      <t xml:space="preserve">食用酒精; 苹果酒; 白酒; 柑香酒;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</si>
  <si>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EASYTASTE</t>
  </si>
  <si>
    <r>
      <t>福州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采供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</si>
  <si>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</si>
  <si>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 xml:space="preserve">TASTE PRACTITIONERS 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 xml:space="preserve">味香 </t>
    </r>
    <r>
      <rPr>
        <sz val="11"/>
        <color theme="1"/>
        <rFont val="ＭＳ Ｐゴシック"/>
        <family val="3"/>
        <charset val="134"/>
        <scheme val="minor"/>
      </rPr>
      <t>让</t>
    </r>
    <r>
      <rPr>
        <sz val="11"/>
        <color theme="1"/>
        <rFont val="ＭＳ Ｐゴシック"/>
        <family val="3"/>
        <charset val="128"/>
        <scheme val="minor"/>
      </rPr>
      <t>生活更美味</t>
    </r>
  </si>
  <si>
    <r>
      <t>渭南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味食品有限公司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</si>
  <si>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烈酒; 高粱酒;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</si>
  <si>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忠</t>
    </r>
    <r>
      <rPr>
        <sz val="11"/>
        <color theme="1"/>
        <rFont val="ＭＳ Ｐゴシック"/>
        <family val="3"/>
        <charset val="134"/>
        <scheme val="minor"/>
      </rPr>
      <t>殇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</si>
  <si>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汽酒; 果酒</t>
    </r>
  </si>
  <si>
    <t>甄曲韵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</si>
  <si>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</si>
  <si>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龙</t>
    </r>
    <r>
      <rPr>
        <sz val="11"/>
        <color theme="1"/>
        <rFont val="ＭＳ Ｐゴシック"/>
        <family val="3"/>
        <charset val="129"/>
        <scheme val="minor"/>
      </rPr>
      <t>霦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</si>
  <si>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仁伍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</si>
  <si>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烈性干酒;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白干酒（中国白酒）; 米酒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</si>
  <si>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殇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</si>
  <si>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</si>
  <si>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醉宗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一代宗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</si>
  <si>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翟</t>
    </r>
    <r>
      <rPr>
        <sz val="11"/>
        <color theme="1"/>
        <rFont val="ＭＳ Ｐゴシック"/>
        <family val="3"/>
        <charset val="134"/>
        <scheme val="minor"/>
      </rPr>
      <t>饶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</si>
  <si>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米酒; 果酒（含酒精）;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</si>
  <si>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和人</t>
    </r>
  </si>
  <si>
    <r>
      <t>安徽大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令生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</si>
  <si>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</t>
    </r>
  </si>
  <si>
    <t>江瀑</t>
  </si>
  <si>
    <r>
      <t>衡水万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减震器材科技有限公司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</si>
  <si>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果酒; 米酒; 黄酒; 露酒; 甜酒; 白酒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</si>
  <si>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太峰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</si>
  <si>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</si>
  <si>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原洞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</si>
  <si>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州百年原址酒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</si>
  <si>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果酒; 蒸煮提取物（利口酒和烈酒）; 清酒（日本米酒）; 米酒;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</si>
  <si>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塔牌宋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</si>
  <si>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浙江塔牌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</si>
  <si>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清酒（日本米酒）; 蜂蜜酒; 白酒;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</si>
  <si>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月牙谷</t>
  </si>
  <si>
    <t>谢辉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</si>
  <si>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威士忌; 果酒（含酒精）;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</si>
  <si>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君如夕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</si>
  <si>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烈酒; 葡萄酒; 清酒（日本米酒）; 果酒（含酒精）; 黄酒</t>
    </r>
  </si>
  <si>
    <r>
      <t>香久</t>
    </r>
    <r>
      <rPr>
        <sz val="11"/>
        <color theme="1"/>
        <rFont val="ＭＳ Ｐゴシック"/>
        <family val="3"/>
        <charset val="134"/>
        <scheme val="minor"/>
      </rPr>
      <t>临</t>
    </r>
  </si>
  <si>
    <t>詹利平</t>
  </si>
  <si>
    <r>
      <t>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</si>
  <si>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梦万溪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</si>
  <si>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</si>
  <si>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EK</t>
  </si>
  <si>
    <r>
      <t>常熟市莫城街道薇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</si>
  <si>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利口酒;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</si>
  <si>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果孜</t>
    </r>
    <r>
      <rPr>
        <sz val="11"/>
        <color theme="1"/>
        <rFont val="ＭＳ Ｐゴシック"/>
        <family val="3"/>
        <charset val="134"/>
        <scheme val="minor"/>
      </rPr>
      <t>热</t>
    </r>
  </si>
  <si>
    <r>
      <t>白朗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斗牛文化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</si>
  <si>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威士忌; 葡萄酒; 果酒（含酒精）</t>
    </r>
  </si>
  <si>
    <t>醉万清</t>
  </si>
  <si>
    <r>
      <t xml:space="preserve">葡萄酒; 开胃酒;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黄酒</t>
    </r>
  </si>
  <si>
    <r>
      <t>暴</t>
    </r>
    <r>
      <rPr>
        <sz val="11"/>
        <color theme="1"/>
        <rFont val="ＭＳ Ｐゴシック"/>
        <family val="3"/>
        <charset val="134"/>
        <scheme val="minor"/>
      </rPr>
      <t>总</t>
    </r>
  </si>
  <si>
    <r>
      <t>第七印象文化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媒（深圳）有限公司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</si>
  <si>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伏特加酒; 梅酒</t>
    </r>
  </si>
  <si>
    <r>
      <t>高新区晏氏子</t>
    </r>
    <r>
      <rPr>
        <sz val="11"/>
        <color theme="1"/>
        <rFont val="ＭＳ Ｐゴシック"/>
        <family val="3"/>
        <charset val="134"/>
        <scheme val="minor"/>
      </rPr>
      <t>萧</t>
    </r>
    <r>
      <rPr>
        <sz val="11"/>
        <color theme="1"/>
        <rFont val="ＭＳ Ｐゴシック"/>
        <family val="3"/>
        <charset val="128"/>
        <scheme val="minor"/>
      </rPr>
      <t>广告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</si>
  <si>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开胃酒; 朗姆酒; 伏特加酒;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</si>
  <si>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君莫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</si>
  <si>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白酒</t>
    </r>
  </si>
  <si>
    <r>
      <t>乾代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</si>
  <si>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世界酒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</si>
  <si>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清酒; 白酒</t>
    </r>
  </si>
  <si>
    <r>
      <t>礼玉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</si>
  <si>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金窖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酒科技（北京）有限公司</t>
    </r>
  </si>
  <si>
    <r>
      <t xml:space="preserve">白酒; 黄酒;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梨酒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</si>
  <si>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梦重温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</si>
  <si>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</si>
  <si>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食用酒精; 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</si>
  <si>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DIEYIDIE 叠宜叠收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</si>
  <si>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育教育科技有限公司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</si>
  <si>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伏特加酒; 果酒（含酒精）; 葡萄酒; 利口酒</t>
    </r>
  </si>
  <si>
    <r>
      <t>中首百酒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</si>
  <si>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</si>
  <si>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</si>
  <si>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叶天士叶家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</si>
  <si>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国医康科技集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</si>
  <si>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白酒;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</si>
  <si>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听悠</t>
  </si>
  <si>
    <r>
      <t>南昌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浮生物科技有限公司</t>
    </r>
  </si>
  <si>
    <t>梅酒; 葡萄酒; 日本梅子酒; 威士忌; 佐餐酒; 白酒; 果酒（含酒精）; 米酒; 黄酒; 清酒（日本米酒）</t>
  </si>
  <si>
    <t>REPOESQUISITO</t>
  </si>
  <si>
    <r>
      <t>埃斯奎斯通有限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</si>
  <si>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烈性干酒;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</si>
  <si>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凰篆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</si>
  <si>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</si>
  <si>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t>墨客基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</si>
  <si>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市墨客酒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</si>
  <si>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食用酒精;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</si>
  <si>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人生雅集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</si>
  <si>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伏特加酒;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</t>
    </r>
  </si>
  <si>
    <r>
      <t>溡</t>
    </r>
    <r>
      <rPr>
        <sz val="11"/>
        <color theme="1"/>
        <rFont val="ＭＳ Ｐゴシック"/>
        <family val="3"/>
        <charset val="128"/>
        <scheme val="minor"/>
      </rPr>
      <t>泉汸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</si>
  <si>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秋明</t>
    </r>
  </si>
  <si>
    <r>
      <t>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</si>
  <si>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LA PETITE CHOUETTE 拉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舒</t>
    </r>
  </si>
  <si>
    <r>
      <t>湖北万米思特国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</si>
  <si>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甜果酒; 开胃酒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</si>
  <si>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关月明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</si>
  <si>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</t>
    </r>
  </si>
  <si>
    <t>富鑫通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</si>
  <si>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富鑫通市政工程有限公司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</si>
  <si>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烈酒; 黄酒; 米酒</t>
    </r>
  </si>
  <si>
    <t>廊房郡</t>
  </si>
  <si>
    <r>
      <t>三河市奥里盖酒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</si>
  <si>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</si>
  <si>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冠王·百脉至尊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</si>
  <si>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南酒佰嘉商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</si>
  <si>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白酒</t>
    </r>
  </si>
  <si>
    <t>荷悦君</t>
  </si>
  <si>
    <t>唐玲平</t>
  </si>
  <si>
    <r>
      <t xml:space="preserve">烈酒;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苦味酒;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清酒; 高粱酒;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</si>
  <si>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抱</t>
    </r>
    <r>
      <rPr>
        <sz val="11"/>
        <color theme="1"/>
        <rFont val="ＭＳ Ｐゴシック"/>
        <family val="3"/>
        <charset val="134"/>
        <scheme val="minor"/>
      </rPr>
      <t>鲤</t>
    </r>
  </si>
  <si>
    <r>
      <t>宁夏非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</si>
  <si>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</si>
  <si>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珠峰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</si>
  <si>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白酒;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甜果酒</t>
    </r>
  </si>
  <si>
    <r>
      <t>山</t>
    </r>
    <r>
      <rPr>
        <sz val="11"/>
        <color theme="1"/>
        <rFont val="ＭＳ Ｐゴシック"/>
        <family val="3"/>
        <charset val="129"/>
        <scheme val="minor"/>
      </rPr>
      <t>崳</t>
    </r>
  </si>
  <si>
    <r>
      <t>烟台吉斯波</t>
    </r>
    <r>
      <rPr>
        <sz val="11"/>
        <color theme="1"/>
        <rFont val="ＭＳ Ｐゴシック"/>
        <family val="3"/>
        <charset val="134"/>
        <scheme val="minor"/>
      </rPr>
      <t>尔酿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</si>
  <si>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杜松子酒; 黄酒; 清酒; 果酒; 伏特加酒; 米酒; 汽酒; 葡萄酒; 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</si>
  <si>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</si>
  <si>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北京市丰台区新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工商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</si>
  <si>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伏特加酒; 青稞酒; 威士忌</t>
    </r>
  </si>
  <si>
    <t>古都朝歌</t>
  </si>
  <si>
    <r>
      <t>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</si>
  <si>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</si>
  <si>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帆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誉</t>
    </r>
  </si>
  <si>
    <r>
      <t>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</si>
  <si>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CAMNO</t>
  </si>
  <si>
    <t>阳江市御工坊家居用品有限公司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</si>
  <si>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清酒; 果酒（含酒精）; 白酒; 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</si>
  <si>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冠美好品</t>
  </si>
  <si>
    <r>
      <t>焦吉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</si>
  <si>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 xml:space="preserve">青梅酒;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高粱酒; 葡萄酒;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露酒;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白酒; 利口酒; 杜松子酒</t>
    </r>
  </si>
  <si>
    <t>鸭隐</t>
  </si>
  <si>
    <r>
      <t>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</si>
  <si>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清酒（日本米酒）;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青稞酒; 葡萄酒; 清酒;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</si>
  <si>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 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</si>
  <si>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</si>
  <si>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开胃酒; 烈酒; 食用酒精; 蒸煮提取物（利口酒和烈酒）; 清酒; 米酒</t>
    </r>
  </si>
  <si>
    <t>THREERIVERSAU</t>
  </si>
  <si>
    <r>
      <t>湖南澳美尚品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</si>
  <si>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果酒(含酒精);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白酒; 伏特加酒; 威士忌; 清酒(日本米酒);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</si>
  <si>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星月池忠</t>
  </si>
  <si>
    <r>
      <t>董田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</si>
  <si>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白酒; 食用酒精; 威士忌; 米酒; 果酒（含酒精）; 黄酒</t>
    </r>
  </si>
  <si>
    <t>新谷酒造株式会社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</si>
  <si>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威士忌; 日式甜米酒; 黄酒; 清酒（日本米酒）; 日本梅子酒;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</si>
  <si>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图蓝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拉 TULANDORA</t>
    </r>
  </si>
  <si>
    <r>
      <t>四川美立达酒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</si>
  <si>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米酒;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</si>
  <si>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故园秋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</si>
  <si>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食用酒精</t>
    </r>
  </si>
  <si>
    <r>
      <t>香港医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品有限公司 HONG KONG PHARMACEUTICAL LIMITED</t>
    </r>
  </si>
  <si>
    <r>
      <t>香港医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</si>
  <si>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利口酒;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</si>
  <si>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泉独白</t>
  </si>
  <si>
    <t>沈宁立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</si>
  <si>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</si>
  <si>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辉师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</si>
  <si>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联辉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用品有限公司</t>
    </r>
  </si>
  <si>
    <r>
      <t>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白干酒（中国白酒）; 米酒</t>
    </r>
  </si>
  <si>
    <t>文化名酒杜甫酒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</si>
  <si>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薄荷酒; 果酒（含酒精）;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</si>
  <si>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御府</t>
    </r>
    <r>
      <rPr>
        <sz val="11"/>
        <color theme="1"/>
        <rFont val="ＭＳ Ｐゴシック"/>
        <family val="3"/>
        <charset val="134"/>
        <scheme val="minor"/>
      </rPr>
      <t>龙坛</t>
    </r>
    <r>
      <rPr>
        <sz val="11"/>
        <color theme="1"/>
        <rFont val="ＭＳ Ｐゴシック"/>
        <family val="3"/>
        <charset val="128"/>
        <scheme val="minor"/>
      </rPr>
      <t>十五</t>
    </r>
  </si>
  <si>
    <r>
      <t>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黄酒; 开胃酒; 清酒（日本米酒）; 米酒; 果酒（含酒精）</t>
    </r>
  </si>
  <si>
    <t>天命 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</si>
  <si>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盏酱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</si>
  <si>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</si>
  <si>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阿姆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</si>
  <si>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</si>
  <si>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清酒（日本米酒）</t>
    </r>
  </si>
  <si>
    <t>ALL LUCK</t>
  </si>
  <si>
    <t>全道一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</si>
  <si>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</si>
  <si>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荟</t>
    </r>
    <r>
      <rPr>
        <sz val="11"/>
        <color theme="1"/>
        <rFont val="ＭＳ Ｐゴシック"/>
        <family val="3"/>
        <charset val="128"/>
        <scheme val="minor"/>
      </rPr>
      <t>君子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</si>
  <si>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君子酒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</si>
  <si>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黄酒; 汽酒; 开胃酒;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</si>
  <si>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嘛蒲</t>
  </si>
  <si>
    <r>
      <t>合肥嘛蒲餐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</si>
  <si>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果酒; 白葡萄酒; 露酒; 青梅酒; 草莓酒; 烈酒; 松叶酒; 白酒; 高粱酒; 水果汽酒</t>
  </si>
  <si>
    <r>
      <t>乾隆明珠皇家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</si>
  <si>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苹果酒; 蜂蜜酒;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白酒; 果酒（含酒精）</t>
    </r>
  </si>
  <si>
    <t>天命 胡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</si>
  <si>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</si>
  <si>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俄才甄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</si>
  <si>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四川俄才人仁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</si>
  <si>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食用酒精;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</si>
  <si>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桃李园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</si>
  <si>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</si>
  <si>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</si>
  <si>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锥</t>
    </r>
  </si>
  <si>
    <r>
      <t>云南真</t>
    </r>
    <r>
      <rPr>
        <sz val="11"/>
        <color theme="1"/>
        <rFont val="ＭＳ Ｐゴシック"/>
        <family val="3"/>
        <charset val="134"/>
        <scheme val="minor"/>
      </rPr>
      <t>谛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</si>
  <si>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白酒;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</si>
  <si>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猎</t>
    </r>
    <r>
      <rPr>
        <sz val="11"/>
        <color theme="1"/>
        <rFont val="ＭＳ Ｐゴシック"/>
        <family val="3"/>
        <charset val="128"/>
        <scheme val="minor"/>
      </rPr>
      <t>德清和里 QINHEE ART LIFE</t>
    </r>
  </si>
  <si>
    <r>
      <t>广州与亨文化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</si>
  <si>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黄酒; 米酒;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</si>
  <si>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驭</t>
    </r>
    <r>
      <rPr>
        <sz val="11"/>
        <color theme="1"/>
        <rFont val="ＭＳ Ｐゴシック"/>
        <family val="3"/>
        <charset val="128"/>
        <scheme val="minor"/>
      </rPr>
      <t>魁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</si>
  <si>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永</t>
    </r>
  </si>
  <si>
    <r>
      <t>白酒; 黄酒; 开胃酒; 甜酒; 露酒;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</si>
  <si>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</si>
  <si>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李秋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</si>
  <si>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青稞酒;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</si>
  <si>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新黄金葉春</t>
  </si>
  <si>
    <r>
      <t>河南天叶酒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</si>
  <si>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</si>
  <si>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世利</t>
    </r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</si>
  <si>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果酒（含酒精）; 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</si>
  <si>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醉狂</t>
    </r>
  </si>
  <si>
    <t>崔春霞</t>
  </si>
  <si>
    <r>
      <t>黄酒; 苦味酒; 苹果酒;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</si>
  <si>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世基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</si>
  <si>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步周酒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</si>
  <si>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</si>
  <si>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古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</si>
  <si>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福州晴明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</si>
  <si>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白葡萄酒; 黄酒; 清酒（日本米酒）;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</t>
    </r>
  </si>
  <si>
    <t>州客台</t>
  </si>
  <si>
    <r>
      <t>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</si>
  <si>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 xml:space="preserve">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</si>
  <si>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首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我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</si>
  <si>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北京麦苗香酒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</si>
  <si>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白酒; 酸酒（低等葡萄酒）; 朗姆酒;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</si>
  <si>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渡本</t>
  </si>
  <si>
    <r>
      <t>叶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</si>
  <si>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葡萄酒; 佐餐酒; 米酒</t>
    </r>
  </si>
  <si>
    <r>
      <t>花奇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</si>
  <si>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玫迪玫林（山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</si>
  <si>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清酒（日本米酒）</t>
    </r>
  </si>
  <si>
    <t>收天下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</si>
  <si>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山浙商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</si>
  <si>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开胃酒; 米酒; 葡萄酒; 高粱酒;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</si>
  <si>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LE BRUT DU FOUDRE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</si>
  <si>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</si>
  <si>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果酒（含酒精）; 汽酒; 威士忌; 含酒精的气泡水;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</si>
  <si>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东铭</t>
    </r>
    <r>
      <rPr>
        <sz val="11"/>
        <color theme="1"/>
        <rFont val="ＭＳ Ｐゴシック"/>
        <family val="3"/>
        <charset val="128"/>
        <scheme val="minor"/>
      </rPr>
      <t>威葡萄酒有限公司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</si>
  <si>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利口酒; 果酒; 烈酒;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</si>
  <si>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</si>
  <si>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蒸煮提取物(利口酒和烈酒);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葡萄酒; 开胃酒; 清酒; 米酒; 果酒; 黄酒</t>
    </r>
  </si>
  <si>
    <r>
      <t>妈妈</t>
    </r>
    <r>
      <rPr>
        <sz val="11"/>
        <color theme="1"/>
        <rFont val="ＭＳ Ｐゴシック"/>
        <family val="3"/>
        <charset val="128"/>
        <scheme val="minor"/>
      </rPr>
      <t>好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</si>
  <si>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奇世界（北京）国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</si>
  <si>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白酒;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葡萄酒; 果酒（含酒精）; 清酒（日本米酒）; 甜酒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</si>
  <si>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龙戏</t>
    </r>
    <r>
      <rPr>
        <sz val="11"/>
        <color theme="1"/>
        <rFont val="ＭＳ Ｐゴシック"/>
        <family val="3"/>
        <charset val="128"/>
        <scheme val="minor"/>
      </rPr>
      <t>珠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游天下</t>
    </r>
  </si>
  <si>
    <r>
      <t>福建双</t>
    </r>
    <r>
      <rPr>
        <sz val="11"/>
        <color theme="1"/>
        <rFont val="ＭＳ Ｐゴシック"/>
        <family val="3"/>
        <charset val="134"/>
        <scheme val="minor"/>
      </rPr>
      <t>龙戏</t>
    </r>
    <r>
      <rPr>
        <sz val="11"/>
        <color theme="1"/>
        <rFont val="ＭＳ Ｐゴシック"/>
        <family val="3"/>
        <charset val="128"/>
        <scheme val="minor"/>
      </rPr>
      <t>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</si>
  <si>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甜酒; 高粱酒; 果酒;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</si>
  <si>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王醉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装梦</t>
    </r>
  </si>
  <si>
    <r>
      <t>凡事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</si>
  <si>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果酒（含酒精）; 利口酒;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</t>
    </r>
  </si>
  <si>
    <t>帝一炎黄</t>
  </si>
  <si>
    <t>朱振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</si>
  <si>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葡萄酒;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</si>
  <si>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如</t>
    </r>
  </si>
  <si>
    <r>
      <t>上海麦杯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</si>
  <si>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果酒（含酒精）; 葡萄汽酒;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</si>
  <si>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黔林百果野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</si>
  <si>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津供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</si>
  <si>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青稞酒;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白干酒（中国白酒）;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黑覆盆子酒;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</si>
  <si>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青商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</si>
  <si>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镇酱</t>
    </r>
    <r>
      <rPr>
        <sz val="11"/>
        <color theme="1"/>
        <rFont val="ＭＳ Ｐゴシック"/>
        <family val="3"/>
        <charset val="128"/>
        <scheme val="minor"/>
      </rPr>
      <t>酒盟酒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</si>
  <si>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高粱酒;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甜酒; 米酒; 食用酒精; 果酒（含酒精）</t>
    </r>
  </si>
  <si>
    <r>
      <t>塑</t>
    </r>
    <r>
      <rPr>
        <sz val="11"/>
        <color theme="1"/>
        <rFont val="ＭＳ Ｐゴシック"/>
        <family val="3"/>
        <charset val="134"/>
        <scheme val="minor"/>
      </rPr>
      <t>脸</t>
    </r>
    <r>
      <rPr>
        <sz val="11"/>
        <color theme="1"/>
        <rFont val="ＭＳ Ｐゴシック"/>
        <family val="3"/>
        <charset val="128"/>
        <scheme val="minor"/>
      </rPr>
      <t>猫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</si>
  <si>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</si>
  <si>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清酒（日本米酒）; 伏特加酒; 朗姆酒; 青稞酒; 白酒; 葡萄酒;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</si>
  <si>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FTOP</t>
  </si>
  <si>
    <r>
      <t>张</t>
    </r>
    <r>
      <rPr>
        <sz val="11"/>
        <color theme="1"/>
        <rFont val="ＭＳ Ｐゴシック"/>
        <family val="3"/>
        <charset val="128"/>
        <scheme val="minor"/>
      </rPr>
      <t>斌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</si>
  <si>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</si>
  <si>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吉昌管理有限公司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</si>
  <si>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白酒;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</si>
  <si>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CASTLE HIPPODROME</t>
  </si>
  <si>
    <r>
      <t>赛玛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（杭州）有限公司</t>
    </r>
  </si>
  <si>
    <r>
      <t xml:space="preserve">清酒（日本米酒）; 葡萄酒;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</si>
  <si>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醉翁吟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</si>
  <si>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州千家同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</si>
  <si>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白干酒（中国白酒）; 露酒; 烈酒; 葡萄酒; 黄酒; 高粱酒; 白酒</t>
    </r>
  </si>
  <si>
    <t>暹友会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</si>
  <si>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</si>
  <si>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苹果酒;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</si>
  <si>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r>
      <t>便超</t>
    </r>
    <r>
      <rPr>
        <sz val="11"/>
        <color theme="1"/>
        <rFont val="ＭＳ Ｐゴシック"/>
        <family val="3"/>
        <charset val="134"/>
        <scheme val="minor"/>
      </rPr>
      <t>购</t>
    </r>
  </si>
  <si>
    <r>
      <t>益象（厦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</si>
  <si>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葡萄酒; 高粱酒; 烈酒; 甜果酒;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蝮蛇酒; 白葡萄酒; 开胃酒</t>
    </r>
  </si>
  <si>
    <r>
      <t>汲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漠幺</t>
    </r>
  </si>
  <si>
    <r>
      <t>宿松浦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</si>
  <si>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开胃酒; 白酒; 食用酒精;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</si>
  <si>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故人</t>
    </r>
  </si>
  <si>
    <t>肖毅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</si>
  <si>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白酒; 米酒; 葡萄酒</t>
    </r>
  </si>
  <si>
    <r>
      <t>致台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</si>
  <si>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州致台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</si>
  <si>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果酒; 高粱酒;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</si>
  <si>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BOCCACCI&amp;LAURA</t>
  </si>
  <si>
    <r>
      <t>劳</t>
    </r>
    <r>
      <rPr>
        <sz val="11"/>
        <color theme="1"/>
        <rFont val="ＭＳ Ｐゴシック"/>
        <family val="3"/>
        <charset val="129"/>
        <scheme val="minor"/>
      </rPr>
      <t>菈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</si>
  <si>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蜂蜜酒; 茴香酒（利口酒）; 餐后酒（利口酒和烈酒）;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威士忌; 葡萄酒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</si>
  <si>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军图</t>
    </r>
  </si>
  <si>
    <r>
      <t>北京呵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管理中心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</si>
  <si>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高梁酒; 白酒; 青稞酒</t>
    </r>
  </si>
  <si>
    <t>正特</t>
  </si>
  <si>
    <t>王利祥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</si>
  <si>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白酒</t>
    </r>
  </si>
  <si>
    <t>宾选</t>
  </si>
  <si>
    <r>
      <t>马庆</t>
    </r>
    <r>
      <rPr>
        <sz val="11"/>
        <color theme="1"/>
        <rFont val="ＭＳ Ｐゴシック"/>
        <family val="3"/>
        <charset val="128"/>
        <scheme val="minor"/>
      </rPr>
      <t>奥</t>
    </r>
  </si>
  <si>
    <r>
      <t>米酒; 葡萄酒; 甜酒; 白酒; 烈酒;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</t>
    </r>
  </si>
  <si>
    <r>
      <t>露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威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 LUSIAWILL</t>
    </r>
  </si>
  <si>
    <r>
      <t>上海艾美隆酒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</si>
  <si>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汽酒; 朗姆酒; 伏特加酒</t>
    </r>
  </si>
  <si>
    <t>醉召德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</si>
  <si>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荣生堂生物科技有限公司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</si>
  <si>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露酒;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</t>
    </r>
  </si>
  <si>
    <r>
      <t>固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沙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</si>
  <si>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</si>
  <si>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果酒;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白酒; 威士忌; 葡萄酒; 开胃酒</t>
    </r>
  </si>
  <si>
    <r>
      <t>楼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庭院</t>
    </r>
  </si>
  <si>
    <r>
      <t>果酒（含酒精）; 米酒;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</si>
  <si>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双百村</t>
  </si>
  <si>
    <r>
      <t>自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市文江酒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</si>
  <si>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露酒; 白酒; 清酒; 汽酒; 黄酒; 甜酒; 梅酒; 草莓酒; 日式甜米酒;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五加皮酒（中国混合烈酒）; 葡萄酒</t>
    </r>
  </si>
  <si>
    <r>
      <t>窝</t>
    </r>
    <r>
      <rPr>
        <sz val="11"/>
        <color theme="1"/>
        <rFont val="ＭＳ Ｐゴシック"/>
        <family val="3"/>
        <charset val="128"/>
        <scheme val="minor"/>
      </rPr>
      <t>壳</t>
    </r>
  </si>
  <si>
    <r>
      <t>半藏文化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展（安徽）有限公司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</si>
  <si>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果酒（含酒精）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</si>
  <si>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王</t>
    </r>
  </si>
  <si>
    <t>李息明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</si>
  <si>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</si>
  <si>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r>
      <t xml:space="preserve">西浦沱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</si>
  <si>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美心（集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</si>
  <si>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</si>
  <si>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御泉湖</t>
  </si>
  <si>
    <r>
      <t>陈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</si>
  <si>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</si>
  <si>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酒兄醋妹</t>
  </si>
  <si>
    <r>
      <t>海南晋商公</t>
    </r>
    <r>
      <rPr>
        <sz val="11"/>
        <color theme="1"/>
        <rFont val="ＭＳ Ｐゴシック"/>
        <family val="3"/>
        <charset val="134"/>
        <scheme val="minor"/>
      </rPr>
      <t>馆实业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</si>
  <si>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</si>
  <si>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</si>
  <si>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贤艺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</si>
  <si>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</si>
  <si>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日庄园乾和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</si>
  <si>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苏红</t>
    </r>
    <r>
      <rPr>
        <sz val="11"/>
        <color theme="1"/>
        <rFont val="ＭＳ Ｐゴシック"/>
        <family val="3"/>
        <charset val="128"/>
        <scheme val="minor"/>
      </rPr>
      <t>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</si>
  <si>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</si>
  <si>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苏腾</t>
    </r>
    <r>
      <rPr>
        <sz val="11"/>
        <color theme="1"/>
        <rFont val="ＭＳ Ｐゴシック"/>
        <family val="3"/>
        <charset val="128"/>
        <scheme val="minor"/>
      </rPr>
      <t>系礼 ETIQUETTE OF SUTENG SERIES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</si>
  <si>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苏苏腾资产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</si>
  <si>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含酒精的气泡水;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</si>
  <si>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市名谷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</si>
  <si>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伏特加酒; 威士忌;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</si>
  <si>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奉宣</t>
    </r>
    <r>
      <rPr>
        <sz val="11"/>
        <color theme="1"/>
        <rFont val="ＭＳ Ｐゴシック"/>
        <family val="3"/>
        <charset val="134"/>
        <scheme val="minor"/>
      </rPr>
      <t>诏</t>
    </r>
    <r>
      <rPr>
        <sz val="11"/>
        <color theme="1"/>
        <rFont val="ＭＳ Ｐゴシック"/>
        <family val="3"/>
        <charset val="128"/>
        <scheme val="minor"/>
      </rPr>
      <t>恩</t>
    </r>
  </si>
  <si>
    <r>
      <t>五峰后山生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</si>
  <si>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米酒; 甜酒; 柑香酒; 果酒; 白酒; 清酒（日本米酒）; 果酒（含酒精）; 清酒; 露酒; 黄酒</t>
  </si>
  <si>
    <t>村耕大地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</si>
  <si>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云港谷粒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</si>
  <si>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汽酒; 清酒（日本米酒）;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</si>
  <si>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畱畊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</si>
  <si>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州黔黄金酒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</si>
  <si>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蒸煮提取物（利口酒和烈酒）;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</si>
  <si>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炎陶</t>
  </si>
  <si>
    <r>
      <t>北京四九城酒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</si>
  <si>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薄荷酒;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</si>
  <si>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今朝立夫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</si>
  <si>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粮食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</si>
  <si>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食用酒精;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</si>
  <si>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小舟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</si>
  <si>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典健康科技有限公司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</si>
  <si>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</si>
  <si>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r>
      <t>塔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莎 TAVISHA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</si>
  <si>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果酒; 葡萄酒; 伏特加酒; 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</si>
  <si>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MACOVILLA</t>
  </si>
  <si>
    <r>
      <t>法国高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名酒公司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</si>
  <si>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葡萄酒; 蒸煮提取物（利口酒和烈酒）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</si>
  <si>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世荷</t>
    </r>
  </si>
  <si>
    <r>
      <t>河北井百凉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</si>
  <si>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</si>
  <si>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t>福中旺</t>
  </si>
  <si>
    <t>白会芹</t>
  </si>
  <si>
    <r>
      <t>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</si>
  <si>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蜂印香竄</t>
  </si>
  <si>
    <r>
      <t>郑</t>
    </r>
    <r>
      <rPr>
        <sz val="11"/>
        <color theme="1"/>
        <rFont val="ＭＳ Ｐゴシック"/>
        <family val="3"/>
        <charset val="128"/>
        <scheme val="minor"/>
      </rPr>
      <t>睿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</si>
  <si>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果酒（含酒精）; 开胃酒;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</si>
  <si>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百露世</t>
  </si>
  <si>
    <t>百露世（天津）智能家居有限公司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</si>
  <si>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白酒; 苹果酒;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</t>
    </r>
  </si>
  <si>
    <t>林加加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</si>
  <si>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市台海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酒作坊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</si>
  <si>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</si>
  <si>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好阿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</si>
  <si>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宁波好阿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</si>
  <si>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汽酒;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米酒; 果酒（含酒精）</t>
    </r>
  </si>
  <si>
    <t>潜夫梦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</si>
  <si>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尚行文化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</si>
  <si>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白酒;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甜酒; 果酒（含酒精）</t>
    </r>
  </si>
  <si>
    <t>唐朝良品</t>
  </si>
  <si>
    <r>
      <t>四川唐朝老窖（集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</si>
  <si>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米酒; 青稞酒;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甜酒; 高粱酒; 白酒; 葡萄酒; 蒸煮提取物（利口酒和烈酒）</t>
    </r>
  </si>
  <si>
    <t>泉迹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</si>
  <si>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</si>
  <si>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 xml:space="preserve">西普沱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</si>
  <si>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</si>
  <si>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特能唐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</si>
  <si>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蜂蜜酒</t>
    </r>
  </si>
  <si>
    <r>
      <t>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僾</t>
    </r>
    <r>
      <rPr>
        <sz val="11"/>
        <color theme="1"/>
        <rFont val="ＭＳ Ｐゴシック"/>
        <family val="3"/>
        <charset val="134"/>
        <scheme val="minor"/>
      </rPr>
      <t>伲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</si>
  <si>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傣益堂生物科技有限公司</t>
    </r>
  </si>
  <si>
    <r>
      <t>白酒; 食用酒精; 苦味酒;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茴香酒（利口酒）; 果酒（含酒精）</t>
    </r>
  </si>
  <si>
    <r>
      <t>邦</t>
    </r>
    <r>
      <rPr>
        <sz val="11"/>
        <color theme="1"/>
        <rFont val="ＭＳ Ｐゴシック"/>
        <family val="3"/>
        <charset val="134"/>
        <scheme val="minor"/>
      </rPr>
      <t>绅</t>
    </r>
  </si>
  <si>
    <t>丁邦圣******************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</si>
  <si>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白干酒（中国白酒）</t>
    </r>
  </si>
  <si>
    <r>
      <t>固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</si>
  <si>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威士忌;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米酒;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</si>
  <si>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黔世方草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</si>
  <si>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州黔世茶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</si>
  <si>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</si>
  <si>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撸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</si>
  <si>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州恒力源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</si>
  <si>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</si>
  <si>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格庄园</t>
    </r>
  </si>
  <si>
    <r>
      <t>上海馥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</si>
  <si>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</si>
  <si>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溪</t>
    </r>
    <r>
      <rPr>
        <sz val="11"/>
        <color theme="1"/>
        <rFont val="ＭＳ Ｐゴシック"/>
        <family val="3"/>
        <charset val="134"/>
        <scheme val="minor"/>
      </rPr>
      <t>间烧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</si>
  <si>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蒸煮提取物（利口酒和烈酒）; 米酒;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</si>
  <si>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</si>
  <si>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</si>
  <si>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</si>
  <si>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</si>
  <si>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李玫（北京）文化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</si>
  <si>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白酒;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米酒</t>
    </r>
  </si>
  <si>
    <t>台醉海玉液</t>
  </si>
  <si>
    <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</si>
  <si>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香裕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 xml:space="preserve"> XYN</t>
    </r>
  </si>
  <si>
    <t>平邑御茗庄食品有限公司</t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</si>
  <si>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</si>
  <si>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醉戎</t>
  </si>
  <si>
    <t>胡雪燕</t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</si>
  <si>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</si>
  <si>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事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</si>
  <si>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</si>
  <si>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慧辨</t>
  </si>
  <si>
    <r>
      <t>许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</si>
  <si>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果酒（含酒精）; 黄酒; 葡萄酒</t>
    </r>
  </si>
  <si>
    <t>版筑开源</t>
  </si>
  <si>
    <r>
      <t>赖丽</t>
    </r>
    <r>
      <rPr>
        <sz val="11"/>
        <color theme="1"/>
        <rFont val="ＭＳ Ｐゴシック"/>
        <family val="3"/>
        <charset val="128"/>
        <scheme val="minor"/>
      </rPr>
      <t>萍******************</t>
    </r>
  </si>
  <si>
    <r>
      <t>果酒;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</t>
    </r>
  </si>
  <si>
    <t>威力比</t>
  </si>
  <si>
    <r>
      <t>白山市</t>
    </r>
    <r>
      <rPr>
        <sz val="11"/>
        <color theme="1"/>
        <rFont val="ＭＳ Ｐゴシック"/>
        <family val="3"/>
        <charset val="134"/>
        <scheme val="minor"/>
      </rPr>
      <t>亿亿</t>
    </r>
    <r>
      <rPr>
        <sz val="11"/>
        <color theme="1"/>
        <rFont val="ＭＳ Ｐゴシック"/>
        <family val="3"/>
        <charset val="128"/>
        <scheme val="minor"/>
      </rPr>
      <t>源科技有限公司</t>
    </r>
  </si>
  <si>
    <r>
      <t xml:space="preserve">白酒; 烈酒; 果酒（含酒精）; 葡萄酒; 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</si>
  <si>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王的醉河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</si>
  <si>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举</t>
    </r>
    <r>
      <rPr>
        <sz val="11"/>
        <color theme="1"/>
        <rFont val="ＭＳ Ｐゴシック"/>
        <family val="3"/>
        <charset val="128"/>
        <scheme val="minor"/>
      </rPr>
      <t>父智能科技有限公司</t>
    </r>
  </si>
  <si>
    <r>
      <t>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</si>
  <si>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聚多源</t>
  </si>
  <si>
    <r>
      <t>上海海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</si>
  <si>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</si>
  <si>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王杖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</si>
  <si>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食用酒精;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</si>
  <si>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BOSENRANO 波士</t>
    </r>
    <r>
      <rPr>
        <sz val="11"/>
        <color theme="1"/>
        <rFont val="ＭＳ Ｐゴシック"/>
        <family val="3"/>
        <charset val="134"/>
        <scheme val="minor"/>
      </rPr>
      <t>兰诺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</si>
  <si>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议</t>
    </r>
    <r>
      <rPr>
        <sz val="11"/>
        <color theme="1"/>
        <rFont val="ＭＳ Ｐゴシック"/>
        <family val="3"/>
        <charset val="128"/>
        <scheme val="minor"/>
      </rPr>
      <t>戈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</si>
  <si>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果酒（含酒精）; 食用酒精; 汽酒</t>
    </r>
  </si>
  <si>
    <t>圣酩人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</si>
  <si>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</si>
  <si>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海峡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</si>
  <si>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草莓酒;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</si>
  <si>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孟塞</t>
  </si>
  <si>
    <r>
      <t>孟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</si>
  <si>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碧臣</t>
  </si>
  <si>
    <r>
      <t xml:space="preserve">黄酒; 米酒;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</si>
  <si>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泗方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</si>
  <si>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白酒;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清酒（日本米酒）;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</si>
  <si>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路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 COLOANE COMPANHIA DE VINHO COLOANE LDA. COLOANE WINE COMPANY LIMITED.</t>
    </r>
  </si>
  <si>
    <r>
      <t>路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</si>
  <si>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</si>
  <si>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韭台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</si>
  <si>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白干酒（中国白酒）; 烈酒;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</si>
  <si>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朴养延</t>
  </si>
  <si>
    <r>
      <t>邓庆</t>
    </r>
    <r>
      <rPr>
        <sz val="11"/>
        <color theme="1"/>
        <rFont val="ＭＳ Ｐゴシック"/>
        <family val="3"/>
        <charset val="128"/>
        <scheme val="minor"/>
      </rPr>
      <t>添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</si>
  <si>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</si>
  <si>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半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夫子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</si>
  <si>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</si>
  <si>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</si>
  <si>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观阙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</si>
  <si>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清酒（日本米酒）; 汽酒; 米酒</t>
    </r>
  </si>
  <si>
    <t>禾种</t>
  </si>
  <si>
    <r>
      <t>杨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</si>
  <si>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</t>
    </r>
  </si>
  <si>
    <t>滁香</t>
  </si>
  <si>
    <t>石威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</si>
  <si>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果酒（含酒精）; 苹果酒;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</si>
  <si>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古藏今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</si>
  <si>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清酒;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食用酒精; 白酒</t>
    </r>
  </si>
  <si>
    <r>
      <t>叙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</si>
  <si>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米酒; 伏特加酒; 果酒（含酒精）; 白酒</t>
    </r>
  </si>
  <si>
    <t>WINE KNOT</t>
  </si>
  <si>
    <r>
      <t>上海复星外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</si>
  <si>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TIANCHAOJIU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</si>
  <si>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州茅香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</si>
  <si>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食用酒精; 白酒;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</si>
  <si>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KYSSLOVELIFE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</si>
  <si>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岛凯</t>
    </r>
    <r>
      <rPr>
        <sz val="11"/>
        <color theme="1"/>
        <rFont val="ＭＳ Ｐゴシック"/>
        <family val="3"/>
        <charset val="128"/>
        <scheme val="minor"/>
      </rPr>
      <t>伊曼商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</si>
  <si>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</si>
  <si>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邹庆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</si>
  <si>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高粱酒;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米酒; 白干酒（中国白酒）</t>
    </r>
  </si>
  <si>
    <r>
      <t>MTGXS 清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</si>
  <si>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</si>
  <si>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</si>
  <si>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净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</si>
  <si>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上海旌宥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</si>
  <si>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</si>
  <si>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r>
      <t>净</t>
    </r>
    <r>
      <rPr>
        <sz val="11"/>
        <color theme="1"/>
        <rFont val="ＭＳ Ｐゴシック"/>
        <family val="3"/>
        <charset val="128"/>
        <scheme val="minor"/>
      </rPr>
      <t>全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</si>
  <si>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白干酒（中国白酒）;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</si>
  <si>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雷霆幺子分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</si>
  <si>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人名园装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</si>
  <si>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米酒; 高粱酒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</si>
  <si>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古邦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</si>
  <si>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侧</t>
    </r>
    <r>
      <rPr>
        <sz val="11"/>
        <color theme="1"/>
        <rFont val="ＭＳ Ｐゴシック"/>
        <family val="3"/>
        <charset val="128"/>
        <scheme val="minor"/>
      </rPr>
      <t>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易（深圳）有限公司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</si>
  <si>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果酒（含酒精）; 苦味酒; 利口酒; 烈酒;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</si>
  <si>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京天品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</si>
  <si>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</si>
  <si>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好食源</t>
  </si>
  <si>
    <r>
      <t>西安好食源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</si>
  <si>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青梅酒; 青稞酒;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甜酒; 果酒</t>
    </r>
  </si>
  <si>
    <t>安兆坊</t>
  </si>
  <si>
    <r>
      <t>青海互助天泰青稞酒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</si>
  <si>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白酒</t>
    </r>
  </si>
  <si>
    <t>州世台</t>
  </si>
  <si>
    <r>
      <t>未来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代（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宁）文化科技有限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</si>
  <si>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食用酒精; 果酒; 葡萄酒; 黄酒</t>
    </r>
  </si>
  <si>
    <t>COLOANE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</si>
  <si>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含酒精的气泡水</t>
    </r>
  </si>
  <si>
    <t>TRIBAL THREE TIGERS</t>
  </si>
  <si>
    <r>
      <t>日夜耕耘（广州）酒</t>
    </r>
    <r>
      <rPr>
        <sz val="11"/>
        <color theme="1"/>
        <rFont val="ＭＳ Ｐゴシック"/>
        <family val="3"/>
        <charset val="134"/>
        <scheme val="minor"/>
      </rPr>
      <t>类贸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</si>
  <si>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天然汽酒; 餐后酒（利口酒和烈酒）; 果酒（含酒精）; 麦芽威士忌; 日本梅子酒;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佐餐酒</t>
    </r>
  </si>
  <si>
    <r>
      <t xml:space="preserve">MTGXS </t>
    </r>
    <r>
      <rPr>
        <sz val="11"/>
        <color theme="1"/>
        <rFont val="ＭＳ Ｐゴシック"/>
        <family val="3"/>
        <charset val="134"/>
        <scheme val="minor"/>
      </rPr>
      <t>绿为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</si>
  <si>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米酒; 黄酒;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</si>
  <si>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兴赣</t>
    </r>
    <r>
      <rPr>
        <sz val="11"/>
        <color theme="1"/>
        <rFont val="ＭＳ Ｐゴシック"/>
        <family val="3"/>
        <charset val="128"/>
        <scheme val="minor"/>
      </rPr>
      <t>南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</si>
  <si>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兴赣</t>
    </r>
    <r>
      <rPr>
        <sz val="11"/>
        <color theme="1"/>
        <rFont val="ＭＳ Ｐゴシック"/>
        <family val="3"/>
        <charset val="128"/>
        <scheme val="minor"/>
      </rPr>
      <t>南食品有限公司</t>
    </r>
  </si>
  <si>
    <r>
      <t>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</si>
  <si>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古藏今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</si>
  <si>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</si>
  <si>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r>
      <t>通</t>
    </r>
    <r>
      <rPr>
        <sz val="11"/>
        <color theme="1"/>
        <rFont val="ＭＳ Ｐゴシック"/>
        <family val="3"/>
        <charset val="134"/>
        <scheme val="minor"/>
      </rPr>
      <t>应</t>
    </r>
  </si>
  <si>
    <r>
      <t>何建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</si>
  <si>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黄酒; 白酒; 烈酒; 露酒; 高粱酒;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</si>
  <si>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砚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</si>
  <si>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先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</si>
  <si>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 xml:space="preserve">薄荷酒;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</si>
  <si>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光年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</t>
    </r>
  </si>
  <si>
    <t>光年生物科技有限公司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</si>
  <si>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</si>
  <si>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邺</t>
    </r>
  </si>
  <si>
    <r>
      <t>艾斯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特美容有限公司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</si>
  <si>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果酒（含酒精）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</si>
  <si>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</si>
  <si>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丰德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</si>
  <si>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</si>
  <si>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三丫河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</si>
  <si>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青稞酒</t>
    </r>
  </si>
  <si>
    <t>LESHE</t>
  </si>
  <si>
    <r>
      <t>韩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</si>
  <si>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</si>
  <si>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求凰供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</si>
  <si>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米酒; 黄酒; 清酒; 果酒（含酒精）; 高粱酒;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白酒</t>
    </r>
  </si>
  <si>
    <t>SHENZHOU CHUANFU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</si>
  <si>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东传</t>
    </r>
    <r>
      <rPr>
        <sz val="11"/>
        <color theme="1"/>
        <rFont val="ＭＳ Ｐゴシック"/>
        <family val="3"/>
        <charset val="128"/>
        <scheme val="minor"/>
      </rPr>
      <t>福控股有限公司</t>
    </r>
  </si>
  <si>
    <r>
      <t xml:space="preserve">伏特加酒; 白酒;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</si>
  <si>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丞鹿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</si>
  <si>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春市馨鹿堂鹿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</si>
  <si>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利口酒;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</si>
  <si>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t>柿柿代代</t>
  </si>
  <si>
    <r>
      <t>赵</t>
    </r>
    <r>
      <rPr>
        <sz val="11"/>
        <color theme="1"/>
        <rFont val="ＭＳ Ｐゴシック"/>
        <family val="3"/>
        <charset val="128"/>
        <scheme val="minor"/>
      </rPr>
      <t>成波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</si>
  <si>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</si>
  <si>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黔酩士</t>
  </si>
  <si>
    <r>
      <t>李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</si>
  <si>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利口酒; 葡萄酒;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</si>
  <si>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悟空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</si>
  <si>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创库</t>
    </r>
    <r>
      <rPr>
        <sz val="11"/>
        <color theme="1"/>
        <rFont val="ＭＳ Ｐゴシック"/>
        <family val="3"/>
        <charset val="128"/>
        <scheme val="minor"/>
      </rPr>
      <t>（深圳）供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</si>
  <si>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利口酒; 葡萄酒</t>
    </r>
  </si>
  <si>
    <t>芥园春</t>
  </si>
  <si>
    <r>
      <t>芥子园集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</si>
  <si>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白酒;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清酒（日本米酒）; 黄酒; 葡萄酒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</si>
  <si>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粉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</si>
  <si>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水浙邦网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</si>
  <si>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</si>
  <si>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功夫瓷</t>
  </si>
  <si>
    <r>
      <t>王运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</si>
  <si>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苦味酒; 葡萄酒; 青稞酒; 露酒; 白酒; 米酒</t>
    </r>
  </si>
  <si>
    <t>泸叹</t>
  </si>
  <si>
    <r>
      <t>范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</si>
  <si>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白酒;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</t>
    </r>
  </si>
  <si>
    <t>阿蔡的菜</t>
  </si>
  <si>
    <t>蔡盛坤******************</t>
  </si>
  <si>
    <r>
      <t>白酒; 果酒; 伏特加酒;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</si>
  <si>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誉秦坊</t>
  </si>
  <si>
    <t>高山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</si>
  <si>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青稞酒; 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</si>
  <si>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薏小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</si>
  <si>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州古智文化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</si>
  <si>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烈酒;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</si>
  <si>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舒小可</t>
  </si>
  <si>
    <r>
      <t>中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柔</t>
    </r>
    <r>
      <rPr>
        <sz val="11"/>
        <color theme="1"/>
        <rFont val="ＭＳ Ｐゴシック"/>
        <family val="3"/>
        <charset val="134"/>
        <scheme val="minor"/>
      </rPr>
      <t>纸业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</si>
  <si>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蜂蜜酒; 葡萄酒;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</si>
  <si>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r>
      <t>上海溢香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</si>
  <si>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</si>
  <si>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西游八戒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</si>
  <si>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弈百年茶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</si>
  <si>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</t>
    </r>
  </si>
  <si>
    <t>口夫子 OKOUFUZI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</si>
  <si>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州文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</si>
  <si>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</t>
    </r>
  </si>
  <si>
    <r>
      <t>忘返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</si>
  <si>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</si>
  <si>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汽酒; 白酒;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</si>
  <si>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丞之尊</t>
    </r>
  </si>
  <si>
    <t>王超群******************</t>
  </si>
  <si>
    <r>
      <t>果酒（含酒精）; 利口酒; 白酒;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</si>
  <si>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北洞天</t>
  </si>
  <si>
    <r>
      <t>许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</si>
  <si>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果酒;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利口酒; 食用酒精; 烈酒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</si>
  <si>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满欢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</si>
  <si>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</si>
  <si>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道大运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</si>
  <si>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</si>
  <si>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</si>
  <si>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众臣</t>
  </si>
  <si>
    <r>
      <t>郑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</si>
  <si>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伏特加酒; 威士忌;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白酒; 清酒; 日本梅子酒</t>
    </r>
  </si>
  <si>
    <r>
      <t>迷人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</si>
  <si>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青稞酒;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果酒; 苦味酒; 葡萄酒</t>
    </r>
  </si>
  <si>
    <t>川听花泉</t>
  </si>
  <si>
    <r>
      <t>梓潼</t>
    </r>
    <r>
      <rPr>
        <sz val="11"/>
        <color theme="1"/>
        <rFont val="ＭＳ Ｐゴシック"/>
        <family val="3"/>
        <charset val="134"/>
        <scheme val="minor"/>
      </rPr>
      <t>县农</t>
    </r>
    <r>
      <rPr>
        <sz val="11"/>
        <color theme="1"/>
        <rFont val="ＭＳ Ｐゴシック"/>
        <family val="3"/>
        <charset val="128"/>
        <scheme val="minor"/>
      </rPr>
      <t>井山食品有限公司</t>
    </r>
  </si>
  <si>
    <r>
      <t>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柑香酒; 葡萄酒; 威士忌</t>
    </r>
  </si>
  <si>
    <t>酒承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</si>
  <si>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镇酱</t>
    </r>
    <r>
      <rPr>
        <sz val="11"/>
        <color theme="1"/>
        <rFont val="ＭＳ Ｐゴシック"/>
        <family val="3"/>
        <charset val="128"/>
        <scheme val="minor"/>
      </rPr>
      <t>香河酒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</si>
  <si>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</si>
  <si>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千年孤</t>
    </r>
    <r>
      <rPr>
        <sz val="11"/>
        <color theme="1"/>
        <rFont val="ＭＳ Ｐゴシック"/>
        <family val="3"/>
        <charset val="134"/>
        <scheme val="minor"/>
      </rPr>
      <t>屿</t>
    </r>
  </si>
  <si>
    <r>
      <t>程建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</si>
  <si>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餐后酒（利口酒和烈酒）; 伏特加酒;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</si>
  <si>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卡士豪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</si>
  <si>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白酒; 米酒; 威士忌; 伏特加酒; 清酒; 果酒（含酒精）; 葡萄酒; 梅酒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</si>
  <si>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坨窖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</si>
  <si>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市璟玟酒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包材店(个体工商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</si>
  <si>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食用酒精;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</si>
  <si>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格林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巴赫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</si>
  <si>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</si>
  <si>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蒸煮提取物（利口酒和烈酒）;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</t>
    </r>
  </si>
  <si>
    <r>
      <t>挚</t>
    </r>
    <r>
      <rPr>
        <sz val="11"/>
        <color theme="1"/>
        <rFont val="ＭＳ Ｐゴシック"/>
        <family val="3"/>
        <charset val="128"/>
        <scheme val="minor"/>
      </rPr>
      <t>邀</t>
    </r>
  </si>
  <si>
    <r>
      <t>米酒; 伏特加酒;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</si>
  <si>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福源</t>
    </r>
  </si>
  <si>
    <r>
      <t xml:space="preserve">开胃酒;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</si>
  <si>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曲星</t>
    </r>
  </si>
  <si>
    <r>
      <t xml:space="preserve">白酒;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</si>
  <si>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t>SOHTAP</t>
  </si>
  <si>
    <r>
      <t>上海木可末服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</si>
  <si>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日式甜米酒; 不起泡葡萄酒;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日本梅子酒; 含酒精的气泡水</t>
    </r>
  </si>
  <si>
    <t>佰丰棘</t>
  </si>
  <si>
    <r>
      <t>白</t>
    </r>
    <r>
      <rPr>
        <sz val="11"/>
        <color theme="1"/>
        <rFont val="ＭＳ Ｐゴシック"/>
        <family val="3"/>
        <charset val="134"/>
        <scheme val="minor"/>
      </rPr>
      <t>艳锋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</si>
  <si>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汽酒</t>
    </r>
  </si>
  <si>
    <r>
      <t>陉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</si>
  <si>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河北楷里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壹生物科技有限公司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</si>
  <si>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葡萄酒;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</si>
  <si>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陉设</t>
    </r>
    <r>
      <rPr>
        <sz val="11"/>
        <color theme="1"/>
        <rFont val="ＭＳ Ｐゴシック"/>
        <family val="3"/>
        <charset val="128"/>
        <scheme val="minor"/>
      </rPr>
      <t>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</si>
  <si>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</si>
  <si>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芒田</t>
  </si>
  <si>
    <t>郭延峰</t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</si>
  <si>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汽酒; 黄酒; 果酒; 清酒（日本米酒）</t>
    </r>
  </si>
  <si>
    <t>香如</t>
  </si>
  <si>
    <r>
      <t xml:space="preserve">果酒（含酒精）; 白酒; 食用酒精;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</t>
    </r>
  </si>
  <si>
    <r>
      <t>缨</t>
    </r>
    <r>
      <rPr>
        <sz val="11"/>
        <color theme="1"/>
        <rFont val="ＭＳ Ｐゴシック"/>
        <family val="3"/>
        <charset val="128"/>
        <scheme val="minor"/>
      </rPr>
      <t>溪谷</t>
    </r>
  </si>
  <si>
    <r>
      <t>碎茅酒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</si>
  <si>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</si>
  <si>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本月少女</t>
  </si>
  <si>
    <t>深圳市本来就好科技有限公司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</si>
  <si>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汽酒; 果酒; 黄酒</t>
    </r>
  </si>
  <si>
    <r>
      <t>飏</t>
    </r>
    <r>
      <rPr>
        <sz val="11"/>
        <color theme="1"/>
        <rFont val="ＭＳ Ｐゴシック"/>
        <family val="3"/>
        <charset val="128"/>
        <scheme val="minor"/>
      </rPr>
      <t>帆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</si>
  <si>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夏菲堡酒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</si>
  <si>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伏特加酒;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杜松子酒; 威士忌</t>
    </r>
  </si>
  <si>
    <t>爆喜花</t>
  </si>
  <si>
    <r>
      <t>尚</t>
    </r>
    <r>
      <rPr>
        <sz val="11"/>
        <color theme="1"/>
        <rFont val="ＭＳ Ｐゴシック"/>
        <family val="3"/>
        <charset val="134"/>
        <scheme val="minor"/>
      </rPr>
      <t>伟锋</t>
    </r>
  </si>
  <si>
    <r>
      <t>黄酒;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</si>
  <si>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亚岛</t>
    </r>
    <r>
      <rPr>
        <sz val="11"/>
        <color theme="1"/>
        <rFont val="ＭＳ Ｐゴシック"/>
        <family val="3"/>
        <charset val="128"/>
        <scheme val="minor"/>
      </rPr>
      <t>看花</t>
    </r>
  </si>
  <si>
    <r>
      <t>霸州市超勇商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</si>
  <si>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食用酒精</t>
    </r>
  </si>
  <si>
    <r>
      <t>竹叶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</si>
  <si>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葡萄酒; 苦味酒;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白酒; 果酒; 汽酒</t>
    </r>
  </si>
  <si>
    <t>平安瓷</t>
  </si>
  <si>
    <r>
      <t>青稞酒; 白酒;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露酒; 苦味酒;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</t>
    </r>
  </si>
  <si>
    <t>厨工·玉海楼</t>
  </si>
  <si>
    <r>
      <t>浙江厨工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</si>
  <si>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黄酒; 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白酒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</si>
  <si>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丽龙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</si>
  <si>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市雅号酒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</si>
  <si>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</si>
  <si>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浙江复燕堂国医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</si>
  <si>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果酒（含酒精）; 开胃酒; 葡萄酒; 利口酒;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</si>
  <si>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叙九霄</t>
  </si>
  <si>
    <r>
      <t>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黄酒</t>
    </r>
  </si>
  <si>
    <t>辞今朝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</si>
  <si>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</si>
  <si>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楼花月夜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</si>
  <si>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茴香酒（利口酒）;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茴芹酒（利口酒）; 白酒</t>
    </r>
  </si>
  <si>
    <r>
      <t>娇</t>
    </r>
    <r>
      <rPr>
        <sz val="11"/>
        <color theme="1"/>
        <rFont val="ＭＳ Ｐゴシック"/>
        <family val="3"/>
        <charset val="128"/>
        <scheme val="minor"/>
      </rPr>
      <t>宴</t>
    </r>
  </si>
  <si>
    <t>李月恒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</si>
  <si>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青稞酒; 高粱酒; 露酒; 果酒（含酒精）; 米酒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</si>
  <si>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日子</t>
    </r>
  </si>
  <si>
    <r>
      <t>袁</t>
    </r>
    <r>
      <rPr>
        <sz val="11"/>
        <color theme="1"/>
        <rFont val="ＭＳ Ｐゴシック"/>
        <family val="3"/>
        <charset val="134"/>
        <scheme val="minor"/>
      </rPr>
      <t>凤连</t>
    </r>
  </si>
  <si>
    <r>
      <t xml:space="preserve">米酒;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</si>
  <si>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而喜</t>
    </r>
  </si>
  <si>
    <r>
      <t>翻糖帝江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</si>
  <si>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</t>
    </r>
  </si>
  <si>
    <t>江氏福</t>
  </si>
  <si>
    <r>
      <t>揭阳市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浍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</si>
  <si>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</si>
  <si>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JO'S CHA</t>
  </si>
  <si>
    <r>
      <t>广州茶百分百餐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</si>
  <si>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白酒; 清酒（日本米酒）</t>
    </r>
  </si>
  <si>
    <r>
      <t>岩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良品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</si>
  <si>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市岩</t>
    </r>
    <r>
      <rPr>
        <sz val="11"/>
        <color theme="1"/>
        <rFont val="ＭＳ Ｐゴシック"/>
        <family val="3"/>
        <charset val="134"/>
        <scheme val="minor"/>
      </rPr>
      <t>贝贸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</si>
  <si>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</si>
  <si>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农飨</t>
    </r>
    <r>
      <rPr>
        <sz val="11"/>
        <color theme="1"/>
        <rFont val="ＭＳ Ｐゴシック"/>
        <family val="3"/>
        <charset val="128"/>
        <scheme val="minor"/>
      </rPr>
      <t>味堂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</si>
  <si>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控股上海有限公司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</si>
  <si>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白酒; 黄酒; 威士忌; 果酒（含酒精）</t>
    </r>
  </si>
  <si>
    <t>周禀恒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</si>
  <si>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州周茅酒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</si>
  <si>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葡萄酒; 食用酒精;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</si>
  <si>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棾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</si>
  <si>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莞市大岭山又双叒叕商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</si>
  <si>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</si>
  <si>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五固河</t>
  </si>
  <si>
    <r>
      <t>谢</t>
    </r>
    <r>
      <rPr>
        <sz val="11"/>
        <color theme="1"/>
        <rFont val="ＭＳ Ｐゴシック"/>
        <family val="3"/>
        <charset val="128"/>
        <scheme val="minor"/>
      </rPr>
      <t>化德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</si>
  <si>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威士忌; 果酒（含酒精）; 食用酒精;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</si>
  <si>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香奈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城堡</t>
    </r>
  </si>
  <si>
    <r>
      <t>中酒巡（深圳）国</t>
    </r>
    <r>
      <rPr>
        <sz val="11"/>
        <color theme="1"/>
        <rFont val="ＭＳ Ｐゴシック"/>
        <family val="3"/>
        <charset val="134"/>
        <scheme val="minor"/>
      </rPr>
      <t>际进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</si>
  <si>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汽酒;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食用酒精</t>
    </r>
  </si>
  <si>
    <t>萃朴堂</t>
  </si>
  <si>
    <t>惠超</t>
  </si>
  <si>
    <r>
      <t>米酒; 清酒（日本米酒）;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</t>
    </r>
  </si>
  <si>
    <t>容悦庭</t>
  </si>
  <si>
    <t>刘光容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</si>
  <si>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开胃酒;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</si>
  <si>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刚贵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</si>
  <si>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利口酒; 开胃酒; 米酒;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黄酒</t>
    </r>
  </si>
  <si>
    <t>私竹</t>
  </si>
  <si>
    <r>
      <t>苦味酒; 果酒; 汽酒;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露酒; 青稞酒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</si>
  <si>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州博物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 xml:space="preserve"> ZHENGZHOU MUSEUM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</si>
  <si>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州博物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</si>
  <si>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果酒（含酒精）</t>
    </r>
  </si>
  <si>
    <r>
      <t>约</t>
    </r>
    <r>
      <rPr>
        <sz val="11"/>
        <color theme="1"/>
        <rFont val="ＭＳ Ｐゴシック"/>
        <family val="3"/>
        <charset val="128"/>
        <scheme val="minor"/>
      </rPr>
      <t>翰康蒂</t>
    </r>
  </si>
  <si>
    <r>
      <t>郝喜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</si>
  <si>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蒸煮提取物（利口酒和烈酒）; 朗姆酒; 白酒; 黄酒;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</si>
  <si>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三秋田高原</t>
    </r>
    <r>
      <rPr>
        <sz val="11"/>
        <color theme="1"/>
        <rFont val="ＭＳ Ｐゴシック"/>
        <family val="3"/>
        <charset val="134"/>
        <scheme val="minor"/>
      </rPr>
      <t>农场</t>
    </r>
  </si>
  <si>
    <t>云南三秋田食品有限公司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</si>
  <si>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</si>
  <si>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圣酩春</t>
  </si>
  <si>
    <r>
      <t>开胃酒;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</si>
  <si>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梁宗保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</si>
  <si>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葡萄酒; 米酒; 利口酒; 开胃酒</t>
    </r>
  </si>
  <si>
    <t>森官</t>
  </si>
  <si>
    <r>
      <t>泉州大德庄酒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</si>
  <si>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黄酒; 威士忌;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</si>
  <si>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t>KINGMA</t>
  </si>
  <si>
    <r>
      <t>金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</si>
  <si>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</si>
  <si>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州台之味酒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</si>
  <si>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威士忌; 利口酒; 烈酒;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高粱酒; 黄酒</t>
    </r>
  </si>
  <si>
    <r>
      <t>昆明知三昧文化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</si>
  <si>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</si>
  <si>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</si>
  <si>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</si>
  <si>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高粱酒; 葡萄酒; 果酒;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</si>
  <si>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隆中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</si>
  <si>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湖北京梦源酒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</si>
  <si>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米酒; 果酒（含酒精）</t>
    </r>
  </si>
  <si>
    <t>星源泓</t>
  </si>
  <si>
    <r>
      <t>广西三杯酒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</si>
  <si>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</si>
  <si>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方山</t>
    </r>
  </si>
  <si>
    <t>彭芳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</si>
  <si>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白酒; 青稞酒; 露酒;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</si>
  <si>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真茹泠</t>
  </si>
  <si>
    <r>
      <t>白酒;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</t>
    </r>
  </si>
  <si>
    <r>
      <t>梧</t>
    </r>
    <r>
      <rPr>
        <sz val="11"/>
        <color theme="1"/>
        <rFont val="ＭＳ Ｐゴシック"/>
        <family val="3"/>
        <charset val="134"/>
        <scheme val="minor"/>
      </rPr>
      <t>闱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</si>
  <si>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白干酒（中国白酒）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</si>
  <si>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芮富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吉祥</t>
    </r>
  </si>
  <si>
    <r>
      <t>保定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芮科技有限公司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</si>
  <si>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</si>
  <si>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大古石</t>
    </r>
    <r>
      <rPr>
        <sz val="11"/>
        <color theme="1"/>
        <rFont val="ＭＳ Ｐゴシック"/>
        <family val="3"/>
        <charset val="134"/>
        <scheme val="minor"/>
      </rPr>
      <t>峁</t>
    </r>
  </si>
  <si>
    <r>
      <t>神木市怡仁商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</si>
  <si>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</si>
  <si>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福云雄礼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</si>
  <si>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亲</t>
    </r>
    <r>
      <rPr>
        <sz val="11"/>
        <color theme="1"/>
        <rFont val="ＭＳ Ｐゴシック"/>
        <family val="3"/>
        <charset val="128"/>
        <scheme val="minor"/>
      </rPr>
      <t>吻世界酒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</si>
  <si>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伏特加酒; 黄酒; 清酒</t>
    </r>
  </si>
  <si>
    <r>
      <t>娇凤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</si>
  <si>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北京厂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来了企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</si>
  <si>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</t>
    </r>
  </si>
  <si>
    <r>
      <t>舌</t>
    </r>
    <r>
      <rPr>
        <sz val="11"/>
        <color theme="1"/>
        <rFont val="ＭＳ Ｐゴシック"/>
        <family val="3"/>
        <charset val="134"/>
        <scheme val="minor"/>
      </rPr>
      <t>锦记</t>
    </r>
    <r>
      <rPr>
        <sz val="11"/>
        <color theme="1"/>
        <rFont val="ＭＳ Ｐゴシック"/>
        <family val="3"/>
        <charset val="128"/>
        <scheme val="minor"/>
      </rPr>
      <t xml:space="preserve"> 食</t>
    </r>
  </si>
  <si>
    <t>开封市零距离科技有限公司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</si>
  <si>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</si>
  <si>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君来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</si>
  <si>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容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清泉酒厂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</si>
  <si>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黄酒; 葡萄酒; 汽酒</t>
    </r>
  </si>
  <si>
    <t>禄禄通</t>
  </si>
  <si>
    <r>
      <t>深圳和光同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</si>
  <si>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伏特加酒; 葡萄酒; 黄酒</t>
    </r>
  </si>
  <si>
    <t>淼升</t>
  </si>
  <si>
    <r>
      <t>何</t>
    </r>
    <r>
      <rPr>
        <sz val="11"/>
        <color theme="1"/>
        <rFont val="ＭＳ Ｐゴシック"/>
        <family val="3"/>
        <charset val="134"/>
        <scheme val="minor"/>
      </rPr>
      <t>传勋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</si>
  <si>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开胃酒; 果酒（含酒精）</t>
    </r>
  </si>
  <si>
    <t>箐鼎</t>
  </si>
  <si>
    <t>合阳五粮丰酒坊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</si>
  <si>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</t>
    </r>
  </si>
  <si>
    <t>履信思源忠信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</si>
  <si>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履信思源防</t>
    </r>
    <r>
      <rPr>
        <sz val="11"/>
        <color theme="1"/>
        <rFont val="ＭＳ Ｐゴシック"/>
        <family val="3"/>
        <charset val="134"/>
        <scheme val="minor"/>
      </rPr>
      <t>伪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</si>
  <si>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</t>
    </r>
  </si>
  <si>
    <r>
      <t>妫</t>
    </r>
    <r>
      <rPr>
        <sz val="11"/>
        <color theme="1"/>
        <rFont val="ＭＳ Ｐゴシック"/>
        <family val="3"/>
        <charset val="128"/>
        <scheme val="minor"/>
      </rPr>
      <t>水印象</t>
    </r>
  </si>
  <si>
    <r>
      <t>北京夏都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祥糖酒商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</si>
  <si>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</si>
  <si>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NEUROOT</t>
  </si>
  <si>
    <t>智生花（上海）智能科技有限公司</t>
  </si>
  <si>
    <r>
      <t>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朗姆酒; 茴芹酒（利口酒）;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</si>
  <si>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t>粱阳王</t>
  </si>
  <si>
    <r>
      <t>霍牡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</si>
  <si>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白干酒（中国白酒）; 果酒（含酒精）;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</si>
  <si>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矿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</si>
  <si>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杭州木</t>
    </r>
    <r>
      <rPr>
        <sz val="11"/>
        <color theme="1"/>
        <rFont val="ＭＳ Ｐゴシック"/>
        <family val="3"/>
        <charset val="134"/>
        <scheme val="minor"/>
      </rPr>
      <t>鸽贸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</si>
  <si>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阿蒙蒂拉多白葡萄酒;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</si>
  <si>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</si>
  <si>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</si>
  <si>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黄酒; 白酒; 利口酒; 开胃酒</t>
    </r>
  </si>
  <si>
    <t>儒芬</t>
  </si>
  <si>
    <r>
      <t>深圳市儒芬商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</si>
  <si>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</si>
  <si>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泠阳王</t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</si>
  <si>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</si>
  <si>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君粮元</t>
  </si>
  <si>
    <r>
      <t>徐启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</si>
  <si>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烈酒; 黄酒; 开胃酒; 清酒（日本米酒）;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</si>
  <si>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熠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</si>
  <si>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高粱酒;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</si>
  <si>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椿肴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</si>
  <si>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灵椿味道食品开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</si>
  <si>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烈酒;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</t>
    </r>
  </si>
  <si>
    <t>OGEI</t>
  </si>
  <si>
    <r>
      <t>永康市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宇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</si>
  <si>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</si>
  <si>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媚影</t>
  </si>
  <si>
    <t>英才添翼教育科技（西安）有限公司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</si>
  <si>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葡萄酒; 果酒（含酒精）; 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草莓酒; 青梅酒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</si>
  <si>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</si>
  <si>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州君岳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</si>
  <si>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薄荷酒;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葡萄酒; 威士忌; 果酒（含酒精）</t>
    </r>
  </si>
  <si>
    <t>潞村街</t>
  </si>
  <si>
    <r>
      <t>尚</t>
    </r>
    <r>
      <rPr>
        <sz val="11"/>
        <color theme="1"/>
        <rFont val="ＭＳ Ｐゴシック"/>
        <family val="3"/>
        <charset val="134"/>
        <scheme val="minor"/>
      </rPr>
      <t>伟军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</si>
  <si>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</si>
  <si>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t>知烈</t>
  </si>
  <si>
    <t>崔磊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</si>
  <si>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威士忌; 黄酒; 葡萄酒</t>
    </r>
  </si>
  <si>
    <r>
      <t>沁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亮 QINWEILAING</t>
    </r>
  </si>
  <si>
    <r>
      <t>九江弘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</si>
  <si>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</t>
    </r>
  </si>
  <si>
    <t>俊盛</t>
  </si>
  <si>
    <r>
      <t>江西俊盛酒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</si>
  <si>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甘蔗制烈酒</t>
    </r>
  </si>
  <si>
    <t>POP PRIDE</t>
  </si>
  <si>
    <r>
      <t>沈阳正悦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</si>
  <si>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</si>
  <si>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哼哼吉吉</t>
  </si>
  <si>
    <r>
      <t>一</t>
    </r>
    <r>
      <rPr>
        <sz val="11"/>
        <color theme="1"/>
        <rFont val="ＭＳ Ｐゴシック"/>
        <family val="3"/>
        <charset val="129"/>
        <scheme val="minor"/>
      </rPr>
      <t>喵</t>
    </r>
    <r>
      <rPr>
        <sz val="11"/>
        <color theme="1"/>
        <rFont val="ＭＳ Ｐゴシック"/>
        <family val="3"/>
        <charset val="128"/>
        <scheme val="minor"/>
      </rPr>
      <t>一漾（北京）餐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</si>
  <si>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</si>
  <si>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广都 450</t>
  </si>
  <si>
    <r>
      <t>四川花月酒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</si>
  <si>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高粱酒; 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</si>
  <si>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程前方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</si>
  <si>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倍美安医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</si>
  <si>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威士忌; 白干酒（中国白酒）;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青稞酒</t>
    </r>
  </si>
  <si>
    <t>妙嘴</t>
  </si>
  <si>
    <r>
      <t>湖南能士商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</si>
  <si>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葡萄酒; 青稞酒;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汽酒; 黄酒</t>
    </r>
  </si>
  <si>
    <r>
      <t>聚仙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</si>
  <si>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</si>
  <si>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黄酒; 烈酒; 威士忌; 开胃酒; 果酒（含酒精）;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</si>
  <si>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竹誉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</si>
  <si>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山西清之都酒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</si>
  <si>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食用酒精;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</t>
    </r>
  </si>
  <si>
    <t>禄酩江</t>
  </si>
  <si>
    <t>王家宝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</si>
  <si>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汽酒; 清酒（日本米酒）</t>
    </r>
  </si>
  <si>
    <t>八拿拿</t>
  </si>
  <si>
    <r>
      <t>淮安市地球人酒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</si>
  <si>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</t>
    </r>
  </si>
  <si>
    <t>生相洽</t>
  </si>
  <si>
    <t>京港航空有限公司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</si>
  <si>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葡萄酒; 汽酒</t>
    </r>
  </si>
  <si>
    <t>千年之响</t>
  </si>
  <si>
    <r>
      <t>帝道烟草国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</si>
  <si>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青梅酒; 黄酒; 烈酒; 葡萄酒;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威士忌</t>
    </r>
  </si>
  <si>
    <t>君品匠台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</si>
  <si>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苹果酒;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</si>
  <si>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千年响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</si>
  <si>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汽酒; 烈酒;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葡萄酒; 青梅酒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</si>
  <si>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忠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</si>
  <si>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四川家家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</si>
  <si>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玉祥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</si>
  <si>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一台供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</si>
  <si>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杜松子酒;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</si>
  <si>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沙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什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</si>
  <si>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下无双酒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</si>
  <si>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起泡白葡萄酒;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佐餐酒;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</si>
  <si>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妹里客家</t>
  </si>
  <si>
    <r>
      <t>范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</si>
  <si>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</si>
  <si>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PENFOLDS BIN 395</t>
  </si>
  <si>
    <r>
      <t>南社布</t>
    </r>
    <r>
      <rPr>
        <sz val="11"/>
        <color theme="1"/>
        <rFont val="ＭＳ Ｐゴシック"/>
        <family val="3"/>
        <charset val="134"/>
        <scheme val="minor"/>
      </rPr>
      <t>兰兹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</si>
  <si>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葡萄汽酒; 起泡白葡萄酒;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</si>
  <si>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讳联辉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</si>
  <si>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州多彩</t>
    </r>
    <r>
      <rPr>
        <sz val="11"/>
        <color theme="1"/>
        <rFont val="ＭＳ Ｐゴシック"/>
        <family val="3"/>
        <charset val="134"/>
        <scheme val="minor"/>
      </rPr>
      <t>琼浆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</si>
  <si>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烈酒; 白酒;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</si>
  <si>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糯易坊</t>
  </si>
  <si>
    <r>
      <t>单</t>
    </r>
    <r>
      <rPr>
        <sz val="11"/>
        <color theme="1"/>
        <rFont val="ＭＳ Ｐゴシック"/>
        <family val="3"/>
        <charset val="128"/>
        <scheme val="minor"/>
      </rPr>
      <t>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</si>
  <si>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</si>
  <si>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</si>
  <si>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葡萄酒; 白酒; 烈酒; 威士忌</t>
    </r>
  </si>
  <si>
    <t>黔小民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</si>
  <si>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州黔小民商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</si>
  <si>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</si>
  <si>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SL</t>
  </si>
  <si>
    <r>
      <t>诺</t>
    </r>
    <r>
      <rPr>
        <sz val="11"/>
        <color theme="1"/>
        <rFont val="ＭＳ Ｐゴシック"/>
        <family val="3"/>
        <charset val="128"/>
        <scheme val="minor"/>
      </rPr>
      <t>柏食品有限公司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</si>
  <si>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</si>
  <si>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r>
      <t>云滇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彝魅</t>
    </r>
  </si>
  <si>
    <r>
      <t>昭通智得商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</si>
  <si>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苹果酒; 青梅酒</t>
    </r>
  </si>
  <si>
    <r>
      <t>紫色小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</si>
  <si>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四川古</t>
    </r>
    <r>
      <rPr>
        <sz val="11"/>
        <color theme="1"/>
        <rFont val="ＭＳ Ｐゴシック"/>
        <family val="3"/>
        <charset val="134"/>
        <scheme val="minor"/>
      </rPr>
      <t>蔺</t>
    </r>
    <r>
      <rPr>
        <sz val="11"/>
        <color theme="1"/>
        <rFont val="ＭＳ Ｐゴシック"/>
        <family val="3"/>
        <charset val="128"/>
        <scheme val="minor"/>
      </rPr>
      <t>仙潭酒厂有限公司</t>
    </r>
  </si>
  <si>
    <r>
      <t xml:space="preserve">威士忌; 烈酒;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</si>
  <si>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默公主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</si>
  <si>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嘉瑞供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</si>
  <si>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</si>
  <si>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京州霸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</si>
  <si>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家汶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</si>
  <si>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果酒（含酒精）; 汽酒</t>
    </r>
  </si>
  <si>
    <t>夏都印象</t>
  </si>
  <si>
    <r>
      <t xml:space="preserve">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</si>
  <si>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雷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火烈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</si>
  <si>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水博</t>
    </r>
    <r>
      <rPr>
        <sz val="11"/>
        <color theme="1"/>
        <rFont val="ＭＳ Ｐゴシック"/>
        <family val="3"/>
        <charset val="134"/>
        <scheme val="minor"/>
      </rPr>
      <t>缘贸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</si>
  <si>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果酒; 葡萄酒; 米酒</t>
    </r>
  </si>
  <si>
    <t>十八千李香</t>
  </si>
  <si>
    <r>
      <t>李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</si>
  <si>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青稞酒; 白酒; 高粱酒; 果酒;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</si>
  <si>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望江雪</t>
  </si>
  <si>
    <r>
      <t>食用酒精;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</t>
    </r>
  </si>
  <si>
    <t>著丹青</t>
  </si>
  <si>
    <r>
      <t>上海前院后院旅游服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</si>
  <si>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果酒（含酒精）; 汽酒; 清酒; 白酒</t>
    </r>
  </si>
  <si>
    <r>
      <t>容</t>
    </r>
    <r>
      <rPr>
        <sz val="11"/>
        <color theme="1"/>
        <rFont val="ＭＳ Ｐゴシック"/>
        <family val="3"/>
        <charset val="134"/>
        <scheme val="minor"/>
      </rPr>
      <t>峤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</si>
  <si>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果酒（含酒精）; 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</si>
  <si>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r>
      <t>识归</t>
    </r>
    <r>
      <rPr>
        <sz val="11"/>
        <color theme="1"/>
        <rFont val="ＭＳ Ｐゴシック"/>
        <family val="3"/>
        <charset val="128"/>
        <scheme val="minor"/>
      </rPr>
      <t>舟</t>
    </r>
  </si>
  <si>
    <r>
      <t>清酒; 利口酒; 露酒;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黑覆盆子酒</t>
    </r>
  </si>
  <si>
    <r>
      <t>梅者</t>
    </r>
    <r>
      <rPr>
        <sz val="11"/>
        <color theme="1"/>
        <rFont val="ＭＳ Ｐゴシック"/>
        <family val="3"/>
        <charset val="134"/>
        <scheme val="minor"/>
      </rPr>
      <t>严选</t>
    </r>
  </si>
  <si>
    <r>
      <t>杭州良食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</si>
  <si>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梅酒; 水果汽酒; 露酒; 葡萄酒; 青梅酒; 果酒; 果酒（含酒精）; 米酒; 日本梅子酒</t>
    </r>
  </si>
  <si>
    <t>玉臻台</t>
  </si>
  <si>
    <r>
      <t>黄酒; 清酒（日本米酒）; 葡萄酒;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</si>
  <si>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舒花适</t>
  </si>
  <si>
    <r>
      <t>万邦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(河南)有限公司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</si>
  <si>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</si>
  <si>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皓棋慧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</si>
  <si>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北京皓棋慧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</si>
  <si>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威士忌;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</si>
  <si>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气</t>
    </r>
  </si>
  <si>
    <r>
      <t>北京一品焦点品牌</t>
    </r>
    <r>
      <rPr>
        <sz val="11"/>
        <color theme="1"/>
        <rFont val="ＭＳ Ｐゴシック"/>
        <family val="3"/>
        <charset val="134"/>
        <scheme val="minor"/>
      </rPr>
      <t>设计顾问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</si>
  <si>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</si>
  <si>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MOON PALACE</t>
  </si>
  <si>
    <r>
      <t>北京醉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</si>
  <si>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清酒;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米酒; 朗姆酒; 伏特加酒; 烈酒</t>
    </r>
  </si>
  <si>
    <r>
      <t>容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</si>
  <si>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</si>
  <si>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果酒（含酒精）;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葡萄酒</t>
    </r>
  </si>
  <si>
    <r>
      <t>鸳</t>
    </r>
    <r>
      <rPr>
        <sz val="11"/>
        <color theme="1"/>
        <rFont val="ＭＳ Ｐゴシック"/>
        <family val="3"/>
        <charset val="128"/>
        <scheme val="minor"/>
      </rPr>
      <t>辞</t>
    </r>
  </si>
  <si>
    <r>
      <t>白酒; 食用酒精;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</si>
  <si>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MAAN ISLE</t>
  </si>
  <si>
    <r>
      <t>兆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（中山）有限公司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</si>
  <si>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</t>
    </r>
  </si>
  <si>
    <t>烟河</t>
  </si>
  <si>
    <t>王高升</t>
  </si>
  <si>
    <r>
      <t>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</si>
  <si>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汲福</t>
    </r>
  </si>
  <si>
    <r>
      <t>抚远</t>
    </r>
    <r>
      <rPr>
        <sz val="11"/>
        <color theme="1"/>
        <rFont val="ＭＳ Ｐゴシック"/>
        <family val="3"/>
        <charset val="128"/>
        <scheme val="minor"/>
      </rPr>
      <t>市建国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</si>
  <si>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</si>
  <si>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承福黄家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</si>
  <si>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老白干酒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</si>
  <si>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白干酒（中国白酒）;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白酒; 米酒; 黄酒; 薄荷酒; 甜果酒</t>
    </r>
  </si>
  <si>
    <t>仙源舂</t>
  </si>
  <si>
    <r>
      <t>胡新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</si>
  <si>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白酒; 葡萄酒; 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</si>
  <si>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君力鼎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</si>
  <si>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</si>
  <si>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春山无界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</si>
  <si>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</si>
  <si>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水一人</t>
  </si>
  <si>
    <r>
      <t>水一人科技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</si>
  <si>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</si>
  <si>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浚</t>
    </r>
    <r>
      <rPr>
        <sz val="11"/>
        <color theme="1"/>
        <rFont val="ＭＳ Ｐゴシック"/>
        <family val="3"/>
        <charset val="134"/>
        <scheme val="minor"/>
      </rPr>
      <t>贤阁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</si>
  <si>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壁穗丰酒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</si>
  <si>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</si>
  <si>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情系宛越</t>
  </si>
  <si>
    <t>房涛******************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</si>
  <si>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黄酒</t>
    </r>
  </si>
  <si>
    <t>山无涯</t>
  </si>
  <si>
    <r>
      <t>桃江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新奇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</si>
  <si>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日本梅子酒; 白酒; 米酒;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</si>
  <si>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枕上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</si>
  <si>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天津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荒影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文化工作室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</si>
  <si>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</si>
  <si>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襄</t>
    </r>
    <r>
      <rPr>
        <sz val="11"/>
        <color theme="1"/>
        <rFont val="ＭＳ Ｐゴシック"/>
        <family val="3"/>
        <charset val="134"/>
        <scheme val="minor"/>
      </rPr>
      <t>驿</t>
    </r>
  </si>
  <si>
    <r>
      <t>荆门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宝区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久源酒坊</t>
    </r>
  </si>
  <si>
    <r>
      <t>果酒（含酒精）;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</si>
  <si>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佬叔香味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</si>
  <si>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州佬香味食品科技有限公司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</si>
  <si>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佐餐酒; 葡萄酒; 威士忌; 高粱酒; 清酒;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</t>
    </r>
  </si>
  <si>
    <r>
      <t>监</t>
    </r>
    <r>
      <rPr>
        <sz val="11"/>
        <color theme="1"/>
        <rFont val="ＭＳ Ｐゴシック"/>
        <family val="3"/>
        <charset val="128"/>
        <scheme val="minor"/>
      </rPr>
      <t>庄</t>
    </r>
  </si>
  <si>
    <t>何相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</si>
  <si>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果酒（含酒精）; 黄酒</t>
    </r>
  </si>
  <si>
    <t>甜蜜谷</t>
  </si>
  <si>
    <r>
      <t>远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甜蜜谷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</si>
  <si>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</si>
  <si>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袭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今</t>
    </r>
  </si>
  <si>
    <r>
      <t>太原渊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</si>
  <si>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青稞酒;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开胃酒; 葡萄酒; 高粱酒</t>
    </r>
  </si>
  <si>
    <r>
      <t>谷小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</si>
  <si>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晏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</si>
  <si>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利口酒; 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</si>
  <si>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辰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</si>
  <si>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辰生物科技有限公司</t>
    </r>
  </si>
  <si>
    <r>
      <t xml:space="preserve">白酒; 葡萄酒; 白干酒（中国白酒）; 烈酒; 威士忌;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</si>
  <si>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福城故事</t>
  </si>
  <si>
    <r>
      <t>郴州市福城故事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</si>
  <si>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白干酒（中国白酒）; 米酒; 威士忌; 甜酒; 果酒（含酒精）; 五加皮酒（中国混合烈酒）;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</si>
  <si>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诚论</t>
  </si>
  <si>
    <r>
      <t>王大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</si>
  <si>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清酒（日本米酒）;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威士忌; 葡萄酒</t>
    </r>
  </si>
  <si>
    <r>
      <t>玺龙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</si>
  <si>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威士忌; 开胃酒; 清酒（日本米酒）</t>
    </r>
  </si>
  <si>
    <t>每添固</t>
  </si>
  <si>
    <r>
      <t>赖</t>
    </r>
    <r>
      <rPr>
        <sz val="11"/>
        <color theme="1"/>
        <rFont val="ＭＳ Ｐゴシック"/>
        <family val="3"/>
        <charset val="128"/>
        <scheme val="minor"/>
      </rPr>
      <t>威明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</si>
  <si>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黄酒; 青稞酒; 蜂蜜酒</t>
    </r>
  </si>
  <si>
    <r>
      <t>娄供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</si>
  <si>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娄底市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</si>
  <si>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</si>
  <si>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哇</t>
    </r>
    <r>
      <rPr>
        <sz val="11"/>
        <color theme="1"/>
        <rFont val="ＭＳ Ｐゴシック"/>
        <family val="3"/>
        <charset val="129"/>
        <scheme val="minor"/>
      </rPr>
      <t>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</si>
  <si>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州池甑有度酒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</si>
  <si>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利口酒</t>
    </r>
  </si>
  <si>
    <t>眨眼水母</t>
  </si>
  <si>
    <r>
      <t>中利用（北京）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</si>
  <si>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青稞酒</t>
    </r>
  </si>
  <si>
    <t>豫奢</t>
  </si>
  <si>
    <r>
      <t>深圳市米泰包装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</si>
  <si>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白酒; 利口酒; 果酒; 烈酒;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</si>
  <si>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FEMAGLORY</t>
  </si>
  <si>
    <r>
      <t>广州中科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源医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</si>
  <si>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甜果酒;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白酒</t>
    </r>
  </si>
  <si>
    <r>
      <t>载</t>
    </r>
    <r>
      <rPr>
        <sz val="11"/>
        <color theme="1"/>
        <rFont val="ＭＳ Ｐゴシック"/>
        <family val="3"/>
        <charset val="128"/>
        <scheme val="minor"/>
      </rPr>
      <t>舞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</si>
  <si>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州金箍棒酒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</si>
  <si>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黄酒; 米酒; 白酒; 清酒; 白干酒（中国白酒）</t>
    </r>
  </si>
  <si>
    <t>柏菲堡</t>
  </si>
  <si>
    <r>
      <t>酒香网（上海）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</si>
  <si>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黄酒; 威士忌; 汽酒; 果酒; 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</si>
  <si>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十三朝非凡巨匠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</si>
  <si>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西酒聖品牌运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</si>
  <si>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</si>
  <si>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蒲聊柳泉</t>
  </si>
  <si>
    <t>赵焘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</si>
  <si>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</si>
  <si>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助元初</t>
  </si>
  <si>
    <t>李雄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</si>
  <si>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威士忌; 米酒</t>
    </r>
  </si>
  <si>
    <t>匠人悦</t>
  </si>
  <si>
    <t>樊蓉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</si>
  <si>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食用酒精; 黄酒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</si>
  <si>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螺湾</t>
    </r>
  </si>
  <si>
    <t>朱盼盼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</si>
  <si>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黄酒; 威士忌</t>
    </r>
  </si>
  <si>
    <r>
      <t>硕</t>
    </r>
    <r>
      <rPr>
        <sz val="11"/>
        <color theme="1"/>
        <rFont val="ＭＳ Ｐゴシック"/>
        <family val="3"/>
        <charset val="128"/>
        <scheme val="minor"/>
      </rPr>
      <t>香园冰玉</t>
    </r>
  </si>
  <si>
    <t>王文利</t>
  </si>
  <si>
    <r>
      <t>蜂蜜酒;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利口酒;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</si>
  <si>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悦盈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</si>
  <si>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</si>
  <si>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七小泉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</si>
  <si>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省酒号公社酒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</si>
  <si>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</si>
  <si>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暖城康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</si>
  <si>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内蒙古伊鼎商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</si>
  <si>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白酒; 米酒;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高粱酒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</si>
  <si>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</si>
  <si>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施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新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</si>
  <si>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</si>
  <si>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福泉泉酒</t>
  </si>
  <si>
    <r>
      <t>朱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珊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</si>
  <si>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</si>
  <si>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璞</t>
    </r>
    <r>
      <rPr>
        <sz val="11"/>
        <color theme="1"/>
        <rFont val="ＭＳ Ｐゴシック"/>
        <family val="3"/>
        <charset val="134"/>
        <scheme val="minor"/>
      </rPr>
      <t>赏</t>
    </r>
    <r>
      <rPr>
        <sz val="11"/>
        <color theme="1"/>
        <rFont val="ＭＳ Ｐゴシック"/>
        <family val="3"/>
        <charset val="128"/>
        <scheme val="minor"/>
      </rPr>
      <t xml:space="preserve"> POUR CENT</t>
    </r>
  </si>
  <si>
    <t>金杰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</si>
  <si>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</si>
  <si>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十三朝非凡工匠</t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</si>
  <si>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</si>
  <si>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霞珠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</si>
  <si>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</si>
  <si>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恋花池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</si>
  <si>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威士忌; 青稞酒;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</si>
  <si>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鑫香依</t>
  </si>
  <si>
    <r>
      <t>葡萄酒; 米酒;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</si>
  <si>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t>蹬百</t>
  </si>
  <si>
    <t>湖南蹬百生命科技有限公司</t>
  </si>
  <si>
    <r>
      <t>果酒（含酒精）; 威士忌; 白酒; 葡萄酒;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开胃酒</t>
    </r>
  </si>
  <si>
    <t>花源酩月</t>
  </si>
  <si>
    <r>
      <t>王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</si>
  <si>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葡萄酒; 白酒;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</si>
  <si>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甘陵</t>
  </si>
  <si>
    <r>
      <t>衡水甘陵酒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</si>
  <si>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</si>
  <si>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宾苏</t>
    </r>
  </si>
  <si>
    <r>
      <t>王小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</si>
  <si>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白酒; 开胃酒; 威士忌; 果酒（含酒精）</t>
    </r>
  </si>
  <si>
    <t>越小二</t>
  </si>
  <si>
    <r>
      <t>嵊州市两山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</si>
  <si>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清酒（日本米酒）; 米酒; 黄酒; 白酒; 果酒（含酒精）</t>
    </r>
  </si>
  <si>
    <t>恪膳</t>
  </si>
  <si>
    <t>安徽木伴花生物科技有限公司</t>
  </si>
  <si>
    <r>
      <t>米酒;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</si>
  <si>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物·酩人堂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</si>
  <si>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州未来智造大数据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</si>
  <si>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果酒; 开胃酒</t>
    </r>
  </si>
  <si>
    <r>
      <t>衡</t>
    </r>
    <r>
      <rPr>
        <sz val="11"/>
        <color theme="1"/>
        <rFont val="ＭＳ Ｐゴシック"/>
        <family val="3"/>
        <charset val="134"/>
        <scheme val="minor"/>
      </rPr>
      <t>岀烧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</si>
  <si>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曹江</t>
    </r>
    <r>
      <rPr>
        <sz val="11"/>
        <color theme="1"/>
        <rFont val="ＭＳ Ｐゴシック"/>
        <family val="3"/>
        <charset val="134"/>
        <scheme val="minor"/>
      </rPr>
      <t>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</si>
  <si>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</si>
  <si>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法漫嘉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</si>
  <si>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青梅酒; 甜果酒; 清酒（日本米酒）</t>
    </r>
  </si>
  <si>
    <t>冰河系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</si>
  <si>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冰河系商</t>
    </r>
    <r>
      <rPr>
        <sz val="11"/>
        <color theme="1"/>
        <rFont val="ＭＳ Ｐゴシック"/>
        <family val="3"/>
        <charset val="134"/>
        <scheme val="minor"/>
      </rPr>
      <t>贸综</t>
    </r>
    <r>
      <rPr>
        <sz val="11"/>
        <color theme="1"/>
        <rFont val="ＭＳ Ｐゴシック"/>
        <family val="3"/>
        <charset val="128"/>
        <scheme val="minor"/>
      </rPr>
      <t>合有限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</si>
  <si>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</si>
  <si>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二十四名将</t>
  </si>
  <si>
    <r>
      <t>陈</t>
    </r>
    <r>
      <rPr>
        <sz val="11"/>
        <color theme="1"/>
        <rFont val="ＭＳ Ｐゴシック"/>
        <family val="3"/>
        <charset val="128"/>
        <scheme val="minor"/>
      </rPr>
      <t>海印</t>
    </r>
  </si>
  <si>
    <r>
      <t>汽酒; 米酒;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</si>
  <si>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玉真珠</t>
  </si>
  <si>
    <r>
      <t>白酒; 果酒（含酒精）; 米酒; 黄酒;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</si>
  <si>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夫壮</t>
  </si>
  <si>
    <r>
      <t>苟先</t>
    </r>
    <r>
      <rPr>
        <sz val="11"/>
        <color theme="1"/>
        <rFont val="ＭＳ Ｐゴシック"/>
        <family val="3"/>
        <charset val="134"/>
        <scheme val="minor"/>
      </rPr>
      <t>铁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</si>
  <si>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</si>
  <si>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葛藤府 GETENG</t>
  </si>
  <si>
    <r>
      <t>恩施州葛藤府酒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</si>
  <si>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五加皮酒（中国混合烈酒）</t>
    </r>
  </si>
  <si>
    <r>
      <t>恒瑞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鼎 HRHD</t>
    </r>
  </si>
  <si>
    <t>解玉亮</t>
  </si>
  <si>
    <r>
      <t xml:space="preserve">黄酒; 朗姆酒;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食用酒精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</si>
  <si>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粮悠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</si>
  <si>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粮液酒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</si>
  <si>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葡萄酒;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</si>
  <si>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t>蜜真珠</t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</si>
  <si>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</si>
  <si>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曾功夫</t>
  </si>
  <si>
    <r>
      <t>钦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钦</t>
    </r>
    <r>
      <rPr>
        <sz val="11"/>
        <color theme="1"/>
        <rFont val="ＭＳ Ｐゴシック"/>
        <family val="3"/>
        <charset val="128"/>
        <scheme val="minor"/>
      </rPr>
      <t>北区祥丰种养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</si>
  <si>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</si>
  <si>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情与友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</si>
  <si>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西情与友餐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</si>
  <si>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</t>
    </r>
  </si>
  <si>
    <t>碧天秋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</si>
  <si>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红桥</t>
    </r>
    <r>
      <rPr>
        <sz val="11"/>
        <color theme="1"/>
        <rFont val="ＭＳ Ｐゴシック"/>
        <family val="3"/>
        <charset val="128"/>
        <scheme val="minor"/>
      </rPr>
      <t>画廊有限公司</t>
    </r>
  </si>
  <si>
    <r>
      <t>伏特加酒; 威士忌; 清酒（日本米酒）;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</si>
  <si>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湖北展旗生物科技有限公司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</si>
  <si>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甜果酒; 米酒; 清酒; 果酒（含酒精）; 黄酒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</si>
  <si>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古今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</si>
  <si>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杰浩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</si>
  <si>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黄酒; 清酒（日本米酒）</t>
    </r>
  </si>
  <si>
    <r>
      <t>题</t>
    </r>
    <r>
      <rPr>
        <sz val="11"/>
        <color theme="1"/>
        <rFont val="ＭＳ Ｐゴシック"/>
        <family val="3"/>
        <charset val="128"/>
        <scheme val="minor"/>
      </rPr>
      <t>名御</t>
    </r>
  </si>
  <si>
    <t>王吉林</t>
  </si>
  <si>
    <r>
      <t>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开胃酒;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</si>
  <si>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京乾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</si>
  <si>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</si>
  <si>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白酒; 汽酒; 食用酒精;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</si>
  <si>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二娃</t>
    </r>
    <r>
      <rPr>
        <sz val="11"/>
        <color theme="1"/>
        <rFont val="ＭＳ Ｐゴシック"/>
        <family val="3"/>
        <charset val="129"/>
        <scheme val="minor"/>
      </rPr>
      <t>尕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</si>
  <si>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王国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</si>
  <si>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</t>
    </r>
  </si>
  <si>
    <t>蓝诺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</si>
  <si>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圣比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布葡萄酒有限公司</t>
    </r>
  </si>
  <si>
    <r>
      <t>威士忌; 开胃酒;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</si>
  <si>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畲溪洋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</si>
  <si>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福州市晋安区点洋合力种植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</si>
  <si>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</si>
  <si>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御世堂</t>
  </si>
  <si>
    <r>
      <t>内蒙古成皇酒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</si>
  <si>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</si>
  <si>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汐粮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</si>
  <si>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</si>
  <si>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</si>
  <si>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鸿发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</si>
  <si>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黄酒;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</t>
    </r>
  </si>
  <si>
    <r>
      <t>明月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</si>
  <si>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邱</t>
    </r>
    <r>
      <rPr>
        <sz val="11"/>
        <color theme="1"/>
        <rFont val="ＭＳ Ｐゴシック"/>
        <family val="3"/>
        <charset val="134"/>
        <scheme val="minor"/>
      </rPr>
      <t>龙伟</t>
    </r>
  </si>
  <si>
    <r>
      <t>黄酒; 米酒; 白酒; 果酒（含酒精）;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</si>
  <si>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演</t>
    </r>
    <r>
      <rPr>
        <sz val="11"/>
        <color theme="1"/>
        <rFont val="ＭＳ Ｐゴシック"/>
        <family val="3"/>
        <charset val="134"/>
        <scheme val="minor"/>
      </rPr>
      <t>绎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</si>
  <si>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雅健康管理有限公司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</si>
  <si>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</si>
  <si>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圣瓦莱 SAINT DE VALEE</t>
  </si>
  <si>
    <r>
      <t>宁波中</t>
    </r>
    <r>
      <rPr>
        <sz val="11"/>
        <color theme="1"/>
        <rFont val="ＭＳ Ｐゴシック"/>
        <family val="3"/>
        <charset val="134"/>
        <scheme val="minor"/>
      </rPr>
      <t>汉进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</si>
  <si>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清酒; 果酒（含酒精）</t>
    </r>
  </si>
  <si>
    <t>超酌</t>
  </si>
  <si>
    <t>青和礼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</si>
  <si>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果酒;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</si>
  <si>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春晟</t>
    </r>
    <r>
      <rPr>
        <sz val="11"/>
        <color theme="1"/>
        <rFont val="ＭＳ Ｐゴシック"/>
        <family val="3"/>
        <charset val="134"/>
        <scheme val="minor"/>
      </rPr>
      <t>华农业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</si>
  <si>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清酒（日本米酒）; 米酒; 汽酒; 白酒; 葡萄酒; 果酒（含酒精）; 苹果酒;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</si>
  <si>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衡和御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</si>
  <si>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市鼎鼎水健康科技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</si>
  <si>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餐后酒（利口酒和烈酒）;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</si>
  <si>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中耀天下</t>
  </si>
  <si>
    <r>
      <t>高粱酒; 果酒;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</si>
  <si>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鸟</t>
    </r>
    <r>
      <rPr>
        <sz val="11"/>
        <color theme="1"/>
        <rFont val="ＭＳ Ｐゴシック"/>
        <family val="3"/>
        <charset val="128"/>
        <scheme val="minor"/>
      </rPr>
      <t>与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</si>
  <si>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东鸟</t>
    </r>
    <r>
      <rPr>
        <sz val="11"/>
        <color theme="1"/>
        <rFont val="ＭＳ Ｐゴシック"/>
        <family val="3"/>
        <charset val="128"/>
        <scheme val="minor"/>
      </rPr>
      <t>与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</si>
  <si>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清酒（日本米酒）;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</t>
    </r>
  </si>
  <si>
    <r>
      <t>熊猫</t>
    </r>
    <r>
      <rPr>
        <sz val="11"/>
        <color theme="1"/>
        <rFont val="ＭＳ Ｐゴシック"/>
        <family val="3"/>
        <charset val="134"/>
        <scheme val="minor"/>
      </rPr>
      <t>爱飞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</si>
  <si>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虎高原通用航空有限公司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</si>
  <si>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</si>
  <si>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广州老瓶子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</si>
  <si>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</si>
  <si>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诣</t>
    </r>
  </si>
  <si>
    <t>黄琛雅</t>
  </si>
  <si>
    <r>
      <t>果酒（含酒精）;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</si>
  <si>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鹿益春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</si>
  <si>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</si>
  <si>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</si>
  <si>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九州永固</t>
  </si>
  <si>
    <r>
      <t xml:space="preserve">蜂蜜酒;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伏特加酒; 果酒（含酒精）</t>
    </r>
  </si>
  <si>
    <t>虞酒囊</t>
  </si>
  <si>
    <r>
      <t>陈</t>
    </r>
    <r>
      <rPr>
        <sz val="11"/>
        <color theme="1"/>
        <rFont val="ＭＳ Ｐゴシック"/>
        <family val="3"/>
        <charset val="128"/>
        <scheme val="minor"/>
      </rPr>
      <t>月霞</t>
    </r>
  </si>
  <si>
    <r>
      <t xml:space="preserve">葡萄酒; 高粱酒; 含酒精的气泡水;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果酒;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</si>
  <si>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素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</si>
  <si>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嘉</t>
    </r>
  </si>
  <si>
    <t>汽酒; 甜酒; 葡萄酒; 白酒; 食用酒精; 果酒; 清酒; 黄酒; 米酒; 开胃酒</t>
  </si>
  <si>
    <t>唐陶官台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</si>
  <si>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氏原酒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</si>
  <si>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</si>
  <si>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橙添想你</t>
  </si>
  <si>
    <t>周期养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</si>
  <si>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柑香酒; 葡萄酒; 开胃酒; 米酒; 果酒（含酒精）</t>
    </r>
  </si>
  <si>
    <t>金宛山</t>
  </si>
  <si>
    <t>陆军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</si>
  <si>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开胃酒; 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汽酒</t>
    </r>
  </si>
  <si>
    <r>
      <t>沈</t>
    </r>
    <r>
      <rPr>
        <sz val="11"/>
        <color theme="1"/>
        <rFont val="ＭＳ Ｐゴシック"/>
        <family val="3"/>
        <charset val="134"/>
        <scheme val="minor"/>
      </rPr>
      <t>聂</t>
    </r>
    <r>
      <rPr>
        <sz val="11"/>
        <color theme="1"/>
        <rFont val="ＭＳ Ｐゴシック"/>
        <family val="3"/>
        <charset val="128"/>
        <scheme val="minor"/>
      </rPr>
      <t>老五</t>
    </r>
  </si>
  <si>
    <r>
      <t>聂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</si>
  <si>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 xml:space="preserve">果酒;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</si>
  <si>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谨</t>
    </r>
    <r>
      <rPr>
        <sz val="11"/>
        <color theme="1"/>
        <rFont val="ＭＳ Ｐゴシック"/>
        <family val="3"/>
        <charset val="128"/>
        <scheme val="minor"/>
      </rPr>
      <t>一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</si>
  <si>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</si>
  <si>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淼善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</si>
  <si>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市蓬江区生机生</t>
    </r>
    <r>
      <rPr>
        <sz val="11"/>
        <color theme="1"/>
        <rFont val="ＭＳ Ｐゴシック"/>
        <family val="3"/>
        <charset val="134"/>
        <scheme val="minor"/>
      </rPr>
      <t>态农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</si>
  <si>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</t>
    </r>
  </si>
  <si>
    <t>江山亮</t>
  </si>
  <si>
    <r>
      <t>万</t>
    </r>
    <r>
      <rPr>
        <sz val="11"/>
        <color theme="1"/>
        <rFont val="ＭＳ Ｐゴシック"/>
        <family val="3"/>
        <charset val="134"/>
        <scheme val="minor"/>
      </rPr>
      <t>晓东</t>
    </r>
  </si>
  <si>
    <r>
      <t xml:space="preserve">烈酒; 米酒; 清酒（日本米酒）; 黄酒; 清酒;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</si>
  <si>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丹坭</t>
    </r>
  </si>
  <si>
    <r>
      <t>李小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</si>
  <si>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烈酒; 高粱酒</t>
    </r>
  </si>
  <si>
    <t>拉姆兄弟</t>
  </si>
  <si>
    <r>
      <t>马</t>
    </r>
    <r>
      <rPr>
        <sz val="11"/>
        <color theme="1"/>
        <rFont val="ＭＳ Ｐゴシック"/>
        <family val="3"/>
        <charset val="128"/>
        <scheme val="minor"/>
      </rPr>
      <t>冲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</si>
  <si>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朗姆酒; 伏特加酒; 食用酒精</t>
    </r>
  </si>
  <si>
    <r>
      <t>巅</t>
    </r>
    <r>
      <rPr>
        <sz val="11"/>
        <color theme="1"/>
        <rFont val="ＭＳ Ｐゴシック"/>
        <family val="3"/>
        <charset val="128"/>
        <scheme val="minor"/>
      </rPr>
      <t>食</t>
    </r>
  </si>
  <si>
    <t>付林</t>
  </si>
  <si>
    <r>
      <t xml:space="preserve">米酒;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</t>
    </r>
  </si>
  <si>
    <r>
      <t>酉水村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</si>
  <si>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田梅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</si>
  <si>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</si>
  <si>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铁鹤</t>
    </r>
    <r>
      <rPr>
        <sz val="11"/>
        <color theme="1"/>
        <rFont val="ＭＳ Ｐゴシック"/>
        <family val="3"/>
        <charset val="128"/>
        <scheme val="minor"/>
      </rPr>
      <t>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</si>
  <si>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米酒; 黄酒; 葡萄酒; 威士忌;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</si>
  <si>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</si>
  <si>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曹奎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</si>
  <si>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果酒（含酒精）</t>
    </r>
  </si>
  <si>
    <t>UHBALLER</t>
  </si>
  <si>
    <r>
      <t>山西定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体育文化交流有限公司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</si>
  <si>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</si>
  <si>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太御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</si>
  <si>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 xml:space="preserve">开胃酒; 黄酒; 威士忌; 葡萄酒;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</t>
    </r>
  </si>
  <si>
    <r>
      <t>鸭</t>
    </r>
    <r>
      <rPr>
        <sz val="11"/>
        <color theme="1"/>
        <rFont val="ＭＳ Ｐゴシック"/>
        <family val="3"/>
        <charset val="128"/>
        <scheme val="minor"/>
      </rPr>
      <t>尊窖</t>
    </r>
  </si>
  <si>
    <t>冶建国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</si>
  <si>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青稞酒;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</si>
  <si>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程四海</t>
    </r>
  </si>
  <si>
    <t>王祺智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</si>
  <si>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黄酒; 烈酒; 威士忌; 开胃酒</t>
    </r>
  </si>
  <si>
    <r>
      <t>晓农</t>
    </r>
    <r>
      <rPr>
        <sz val="11"/>
        <color theme="1"/>
        <rFont val="ＭＳ Ｐゴシック"/>
        <family val="3"/>
        <charset val="128"/>
        <scheme val="minor"/>
      </rPr>
      <t>耕云</t>
    </r>
  </si>
  <si>
    <r>
      <t>凌雲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禾（成都）科技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</si>
  <si>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茴芹酒（利口酒）;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</si>
  <si>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桦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</si>
  <si>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保定京城酒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</si>
  <si>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威士忌; 黄酒; 开胃酒;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</si>
  <si>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天夯</t>
  </si>
  <si>
    <r>
      <t>安徽美好仁家网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</si>
  <si>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黄酒; 白酒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</si>
  <si>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小匠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</si>
  <si>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市野人酒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</si>
  <si>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甜酒; 烈酒; 果酒; 白葡萄酒;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</si>
  <si>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三花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</si>
  <si>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市同安民</t>
    </r>
    <r>
      <rPr>
        <sz val="11"/>
        <color theme="1"/>
        <rFont val="ＭＳ Ｐゴシック"/>
        <family val="3"/>
        <charset val="134"/>
        <scheme val="minor"/>
      </rPr>
      <t>兴酿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</si>
  <si>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葡萄酒; 米酒; 黄酒;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</si>
  <si>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凝坊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</si>
  <si>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新波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</si>
  <si>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</t>
    </r>
  </si>
  <si>
    <r>
      <t>唐</t>
    </r>
    <r>
      <rPr>
        <sz val="11"/>
        <color theme="1"/>
        <rFont val="ＭＳ Ｐゴシック"/>
        <family val="3"/>
        <charset val="129"/>
        <scheme val="minor"/>
      </rPr>
      <t>煲</t>
    </r>
    <r>
      <rPr>
        <sz val="11"/>
        <color theme="1"/>
        <rFont val="ＭＳ Ｐゴシック"/>
        <family val="3"/>
        <charset val="128"/>
        <scheme val="minor"/>
      </rPr>
      <t>公</t>
    </r>
  </si>
  <si>
    <r>
      <t>霍家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</si>
  <si>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黄酒; 葡萄酒; 开胃酒; 米酒; 食用酒精;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</si>
  <si>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天玉煌</t>
  </si>
  <si>
    <r>
      <t>天玉煌酒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</si>
  <si>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米酒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</si>
  <si>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穗</t>
    </r>
  </si>
  <si>
    <r>
      <t>果酒（含酒精）; 清酒（日本米酒）; 白酒;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</si>
  <si>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丘公宴</t>
  </si>
  <si>
    <r>
      <t>张</t>
    </r>
    <r>
      <rPr>
        <sz val="11"/>
        <color theme="1"/>
        <rFont val="ＭＳ Ｐゴシック"/>
        <family val="3"/>
        <charset val="128"/>
        <scheme val="minor"/>
      </rPr>
      <t>茵科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</si>
  <si>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</si>
  <si>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伊口牛</t>
  </si>
  <si>
    <r>
      <t>郭春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</si>
  <si>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</t>
    </r>
  </si>
  <si>
    <t>吾弄里</t>
  </si>
  <si>
    <r>
      <t>上海柯茂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</si>
  <si>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伏特加酒;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葡萄酒; 清酒（日本米酒）; 蜂蜜酒</t>
    </r>
  </si>
  <si>
    <r>
      <t>桑</t>
    </r>
    <r>
      <rPr>
        <sz val="11"/>
        <color theme="1"/>
        <rFont val="ＭＳ Ｐゴシック"/>
        <family val="3"/>
        <charset val="134"/>
        <scheme val="minor"/>
      </rPr>
      <t>莳</t>
    </r>
  </si>
  <si>
    <t>朱群英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</si>
  <si>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</si>
  <si>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兴泽</t>
    </r>
    <r>
      <rPr>
        <sz val="11"/>
        <color theme="1"/>
        <rFont val="ＭＳ Ｐゴシック"/>
        <family val="3"/>
        <charset val="128"/>
        <scheme val="minor"/>
      </rPr>
      <t>霖</t>
    </r>
  </si>
  <si>
    <r>
      <t>佰草集健康科技（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</si>
  <si>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清酒; 米酒; 食用酒精; 露酒; 果酒; 葡萄酒; 白酒</t>
    </r>
  </si>
  <si>
    <r>
      <t>朦</t>
    </r>
    <r>
      <rPr>
        <sz val="11"/>
        <color theme="1"/>
        <rFont val="ＭＳ Ｐゴシック"/>
        <family val="3"/>
        <charset val="134"/>
        <scheme val="minor"/>
      </rPr>
      <t>胧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</si>
  <si>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白酒</t>
    </r>
  </si>
  <si>
    <r>
      <t>辰</t>
    </r>
    <r>
      <rPr>
        <sz val="11"/>
        <color theme="1"/>
        <rFont val="ＭＳ Ｐゴシック"/>
        <family val="3"/>
        <charset val="134"/>
        <scheme val="minor"/>
      </rPr>
      <t>时缘</t>
    </r>
  </si>
  <si>
    <r>
      <t>南京明鑫商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</si>
  <si>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青稞酒; 朗姆酒; 葡萄酒; 苦味酒; 茴香酒（利口酒）</t>
    </r>
  </si>
  <si>
    <t>H.J.Y TIANYE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</si>
  <si>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博达名越商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</si>
  <si>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</si>
  <si>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皇宴福运</t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</si>
  <si>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</si>
  <si>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论岁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</si>
  <si>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威士忌; 清酒（日本米酒）; 葡萄酒; 白酒; 黄酒; 果酒（含酒精）; 开胃酒</t>
    </r>
  </si>
  <si>
    <t>寿易醇</t>
  </si>
  <si>
    <t>易波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</si>
  <si>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</si>
  <si>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淿</t>
    </r>
    <r>
      <rPr>
        <sz val="11"/>
        <color theme="1"/>
        <rFont val="ＭＳ Ｐゴシック"/>
        <family val="3"/>
        <charset val="128"/>
        <scheme val="minor"/>
      </rPr>
      <t>山湖</t>
    </r>
  </si>
  <si>
    <r>
      <t>孟</t>
    </r>
    <r>
      <rPr>
        <sz val="11"/>
        <color theme="1"/>
        <rFont val="ＭＳ Ｐゴシック"/>
        <family val="3"/>
        <charset val="134"/>
        <scheme val="minor"/>
      </rPr>
      <t>轰</t>
    </r>
  </si>
  <si>
    <t>果酒（含酒精）; 苦味酒; 茴芹酒（利口酒）; 薄荷酒; 茴香酒（利口酒）</t>
  </si>
  <si>
    <t>商景</t>
  </si>
  <si>
    <t>王革命</t>
  </si>
  <si>
    <r>
      <t>果酒（含酒精）; 葡萄酒; 清酒（日本米酒）;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</si>
  <si>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良造山谷</t>
  </si>
  <si>
    <r>
      <t>北京富意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奇商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</si>
  <si>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清酒（日本米酒）;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</si>
  <si>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四川宜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酒小鬼酒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</si>
  <si>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薄荷酒; 葡萄酒; 烈酒;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</si>
  <si>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刘佳明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</si>
  <si>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露酒; 高粱酒; 果酒; 葡萄酒</t>
    </r>
  </si>
  <si>
    <t>BOPINHUI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</si>
  <si>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在田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</si>
  <si>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蜂蜜酒; 汽酒; 米酒; 黄酒; 葡萄酒; 烈酒; 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</si>
  <si>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袍</t>
    </r>
  </si>
  <si>
    <r>
      <t>蜂蜜酒; 米酒; 汽酒;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烈酒</t>
    </r>
  </si>
  <si>
    <t>二三更</t>
  </si>
  <si>
    <r>
      <t>美佳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</si>
  <si>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果酒（含酒精）;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</si>
  <si>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朕</t>
    </r>
    <r>
      <rPr>
        <sz val="11"/>
        <color theme="1"/>
        <rFont val="ＭＳ Ｐゴシック"/>
        <family val="3"/>
        <charset val="134"/>
        <scheme val="minor"/>
      </rPr>
      <t>凫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</si>
  <si>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之合生物科技有限公司</t>
    </r>
  </si>
  <si>
    <r>
      <t xml:space="preserve">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</si>
  <si>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仙人吹笙</t>
  </si>
  <si>
    <r>
      <t>安徽皖蜀春酒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</si>
  <si>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蒸煮提取物（利口酒和烈酒）;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露酒; 白酒</t>
    </r>
  </si>
  <si>
    <t>酥氿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</si>
  <si>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云港天谷米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</si>
  <si>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</si>
  <si>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古郡佳葵</t>
  </si>
  <si>
    <r>
      <t>五原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佳葵</t>
    </r>
    <r>
      <rPr>
        <sz val="11"/>
        <color theme="1"/>
        <rFont val="ＭＳ Ｐゴシック"/>
        <family val="3"/>
        <charset val="134"/>
        <scheme val="minor"/>
      </rPr>
      <t>农贸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</si>
  <si>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</si>
  <si>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昔竹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</si>
  <si>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予</t>
    </r>
    <r>
      <rPr>
        <sz val="11"/>
        <color theme="1"/>
        <rFont val="ＭＳ Ｐゴシック"/>
        <family val="3"/>
        <charset val="134"/>
        <scheme val="minor"/>
      </rPr>
      <t>镒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</si>
  <si>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</si>
  <si>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临沧</t>
    </r>
    <r>
      <rPr>
        <sz val="11"/>
        <color theme="1"/>
        <rFont val="ＭＳ Ｐゴシック"/>
        <family val="3"/>
        <charset val="128"/>
        <scheme val="minor"/>
      </rPr>
      <t>云茶之邦茶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</si>
  <si>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蜂蜜酒; 蒸煮提取物（利口酒和烈酒）;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利口酒;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</si>
  <si>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粮睦</t>
  </si>
  <si>
    <r>
      <t>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</si>
  <si>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开胃酒; 果酒（含酒精）; 白酒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</si>
  <si>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统帅</t>
    </r>
  </si>
  <si>
    <r>
      <t>烈酒;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开胃酒; 果酒（含酒精）; 黄酒</t>
    </r>
  </si>
  <si>
    <r>
      <t>淖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金樽</t>
    </r>
  </si>
  <si>
    <r>
      <t>内蒙古河原酒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</si>
  <si>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青稞酒; 葡萄酒; 黄酒; 米酒; 食用酒精;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</si>
  <si>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和美佑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</si>
  <si>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北京和美佑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</si>
  <si>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黄酒</t>
    </r>
  </si>
  <si>
    <t>神火村</t>
  </si>
  <si>
    <r>
      <t>陈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</si>
  <si>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汽酒; 葡萄酒; 伏特加酒;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</si>
  <si>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</si>
  <si>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东润</t>
    </r>
    <r>
      <rPr>
        <sz val="11"/>
        <color theme="1"/>
        <rFont val="ＭＳ Ｐゴシック"/>
        <family val="3"/>
        <charset val="128"/>
        <scheme val="minor"/>
      </rPr>
      <t>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</si>
  <si>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</si>
  <si>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恋云滇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</si>
  <si>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州金沙窖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</si>
  <si>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</si>
  <si>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繁星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</si>
  <si>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望子食品有限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</si>
  <si>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</si>
  <si>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乾中梦</t>
  </si>
  <si>
    <t>魏瑞材</t>
  </si>
  <si>
    <r>
      <t xml:space="preserve">威士忌;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烈酒; 清酒（日本米酒）; 葡萄酒</t>
    </r>
  </si>
  <si>
    <t>俏匠坊</t>
  </si>
  <si>
    <r>
      <t>严</t>
    </r>
    <r>
      <rPr>
        <sz val="11"/>
        <color theme="1"/>
        <rFont val="ＭＳ Ｐゴシック"/>
        <family val="3"/>
        <charset val="128"/>
        <scheme val="minor"/>
      </rPr>
      <t>利琴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</si>
  <si>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烈酒; 白干酒（中国白酒）; 果酒</t>
    </r>
  </si>
  <si>
    <t>朱氏鹿苑</t>
  </si>
  <si>
    <t>天津吉达养殖有限公司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</si>
  <si>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烈性干酒;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</si>
  <si>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青峰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承</t>
    </r>
  </si>
  <si>
    <t>李小俊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</si>
  <si>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葡萄酒</t>
    </r>
  </si>
  <si>
    <t>SOBER ISLAND</t>
  </si>
  <si>
    <t>广州市番禺酒厂有限公司</t>
  </si>
  <si>
    <r>
      <t>米酒; 威士忌;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</t>
    </r>
  </si>
  <si>
    <t>迷糊考拉</t>
  </si>
  <si>
    <r>
      <t>付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</si>
  <si>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</si>
  <si>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初教授 INITIAL PROFESSOR</t>
  </si>
  <si>
    <r>
      <t>马</t>
    </r>
    <r>
      <rPr>
        <sz val="11"/>
        <color theme="1"/>
        <rFont val="ＭＳ Ｐゴシック"/>
        <family val="3"/>
        <charset val="128"/>
        <scheme val="minor"/>
      </rPr>
      <t>鞍山市皖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</si>
  <si>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烈酒; 黄酒</t>
    </r>
  </si>
  <si>
    <t>冠群芳牡丹仙子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</si>
  <si>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</si>
  <si>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</si>
  <si>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竹湃</t>
  </si>
  <si>
    <r>
      <t>邢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</si>
  <si>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</si>
  <si>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冠群芳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</si>
  <si>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苹果酒;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</si>
  <si>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昭通立达商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</si>
  <si>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</si>
  <si>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购时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</si>
  <si>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广州招商工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</si>
  <si>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</t>
    </r>
  </si>
  <si>
    <t>圣肆昌</t>
  </si>
  <si>
    <r>
      <t>荆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森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</si>
  <si>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</si>
  <si>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圣韵曾紫</t>
  </si>
  <si>
    <r>
      <t>齐镥</t>
    </r>
    <r>
      <rPr>
        <sz val="11"/>
        <color theme="1"/>
        <rFont val="ＭＳ Ｐゴシック"/>
        <family val="3"/>
        <charset val="128"/>
        <scheme val="minor"/>
      </rPr>
      <t>圣境（山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</si>
  <si>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葡萄酒; 起泡白葡萄酒</t>
    </r>
  </si>
  <si>
    <r>
      <t>江河浩</t>
    </r>
    <r>
      <rPr>
        <sz val="11"/>
        <color theme="1"/>
        <rFont val="ＭＳ Ｐゴシック"/>
        <family val="3"/>
        <charset val="134"/>
        <scheme val="minor"/>
      </rPr>
      <t>荡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</si>
  <si>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</si>
  <si>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黄酒; 葡萄酒; 清酒（日本米酒）;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</si>
  <si>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</si>
  <si>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</si>
  <si>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黄酒;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</si>
  <si>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峄</t>
    </r>
    <r>
      <rPr>
        <sz val="11"/>
        <color theme="1"/>
        <rFont val="ＭＳ Ｐゴシック"/>
        <family val="3"/>
        <charset val="128"/>
        <scheme val="minor"/>
      </rPr>
      <t>阳友</t>
    </r>
  </si>
  <si>
    <r>
      <t>青稞酒; 葡萄酒; 威士忌; 米酒; 清酒（日本米酒）;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</si>
  <si>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焕</t>
    </r>
    <r>
      <rPr>
        <sz val="11"/>
        <color theme="1"/>
        <rFont val="ＭＳ Ｐゴシック"/>
        <family val="3"/>
        <charset val="128"/>
        <scheme val="minor"/>
      </rPr>
      <t>彩</t>
    </r>
    <r>
      <rPr>
        <sz val="11"/>
        <color theme="1"/>
        <rFont val="ＭＳ Ｐゴシック"/>
        <family val="3"/>
        <charset val="134"/>
        <scheme val="minor"/>
      </rPr>
      <t>艳谜</t>
    </r>
  </si>
  <si>
    <r>
      <t>孙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</si>
  <si>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朗姆酒; 烈酒; 伏特加酒; 白酒;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</si>
  <si>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汉远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</si>
  <si>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广合融通科技有限公司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</si>
  <si>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</si>
  <si>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人忙</t>
    </r>
  </si>
  <si>
    <r>
      <t xml:space="preserve">葡萄酒;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</si>
  <si>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祝喝</t>
  </si>
  <si>
    <r>
      <t xml:space="preserve">威士忌; 葡萄酒; 黄酒;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</t>
    </r>
  </si>
  <si>
    <t>蜀地弘辞</t>
  </si>
  <si>
    <t>肖启美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</si>
  <si>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</si>
  <si>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玺词</t>
  </si>
  <si>
    <t>魏威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</si>
  <si>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白酒; 烈酒; 黄酒; 葡萄酒</t>
    </r>
  </si>
  <si>
    <t>谌话</t>
  </si>
  <si>
    <t>邱林虎</t>
  </si>
  <si>
    <r>
      <t>烈酒;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</si>
  <si>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姜了了</t>
  </si>
  <si>
    <r>
      <t>曾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弘</t>
    </r>
  </si>
  <si>
    <r>
      <t xml:space="preserve">青稞酒;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</si>
  <si>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蒙么么</t>
  </si>
  <si>
    <r>
      <t>内蒙古鼎海能源科技有限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</si>
  <si>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葡萄酒;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</si>
  <si>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CHARMERRY</t>
  </si>
  <si>
    <t>利事食品有限公司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</si>
  <si>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</si>
  <si>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陌影星辰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</si>
  <si>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市南醇酒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</si>
  <si>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</si>
  <si>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清醒小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</si>
  <si>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苹果酒;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薄荷酒</t>
    </r>
  </si>
  <si>
    <r>
      <t>粮日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</si>
  <si>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清酒（日本米酒）; 威士忌;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</si>
  <si>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红联</t>
    </r>
    <r>
      <rPr>
        <sz val="11"/>
        <color theme="1"/>
        <rFont val="ＭＳ Ｐゴシック"/>
        <family val="3"/>
        <charset val="128"/>
        <scheme val="minor"/>
      </rPr>
      <t>醇</t>
    </r>
  </si>
  <si>
    <t>郑红联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</si>
  <si>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</si>
  <si>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罕将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</si>
  <si>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</si>
  <si>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鹿比阿哆</t>
  </si>
  <si>
    <r>
      <t>李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</si>
  <si>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</si>
  <si>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首雁启航</t>
  </si>
  <si>
    <r>
      <t>浙江首雁启航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</si>
  <si>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白酒;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</si>
  <si>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百里京富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</si>
  <si>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</si>
  <si>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黐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</si>
  <si>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衍信息科技有限公司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</si>
  <si>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</si>
  <si>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t>虞春秋</t>
  </si>
  <si>
    <r>
      <t>赵凤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</si>
  <si>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黄酒;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</si>
  <si>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r>
      <t>灜腻乐</t>
    </r>
    <r>
      <rPr>
        <sz val="11"/>
        <color theme="1"/>
        <rFont val="ＭＳ Ｐゴシック"/>
        <family val="3"/>
        <charset val="128"/>
        <scheme val="minor"/>
      </rPr>
      <t>从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</si>
  <si>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仲能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</si>
  <si>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</si>
  <si>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山内山内</t>
  </si>
  <si>
    <r>
      <t>山内（普宁）生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</si>
  <si>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</si>
  <si>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r>
      <t>醉夏</t>
    </r>
    <r>
      <rPr>
        <sz val="11"/>
        <color theme="1"/>
        <rFont val="ＭＳ Ｐゴシック"/>
        <family val="3"/>
        <charset val="134"/>
        <scheme val="minor"/>
      </rPr>
      <t>尘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</si>
  <si>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白干酒（中国白酒）;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</t>
    </r>
  </si>
  <si>
    <t>迎韶</t>
  </si>
  <si>
    <t>肖坤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</si>
  <si>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白干酒（中国白酒）;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</t>
    </r>
  </si>
  <si>
    <r>
      <t>购</t>
    </r>
    <r>
      <rPr>
        <sz val="11"/>
        <color theme="1"/>
        <rFont val="ＭＳ Ｐゴシック"/>
        <family val="3"/>
        <charset val="128"/>
        <scheme val="minor"/>
      </rPr>
      <t>始运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</si>
  <si>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</si>
  <si>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t>丰杏坊</t>
  </si>
  <si>
    <r>
      <t>黄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珠</t>
    </r>
  </si>
  <si>
    <r>
      <t>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白酒; 葡萄酒;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</si>
  <si>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彤管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</si>
  <si>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</si>
  <si>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刀塔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</si>
  <si>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牙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</si>
  <si>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</si>
  <si>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生活</t>
    </r>
  </si>
  <si>
    <r>
      <t>优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生活百</t>
    </r>
    <r>
      <rPr>
        <sz val="11"/>
        <color theme="1"/>
        <rFont val="ＭＳ Ｐゴシック"/>
        <family val="3"/>
        <charset val="134"/>
        <scheme val="minor"/>
      </rPr>
      <t>货贸</t>
    </r>
    <r>
      <rPr>
        <sz val="11"/>
        <color theme="1"/>
        <rFont val="ＭＳ Ｐゴシック"/>
        <family val="3"/>
        <charset val="128"/>
        <scheme val="minor"/>
      </rPr>
      <t>易(深圳)有限公司</t>
    </r>
  </si>
  <si>
    <r>
      <t>汽酒;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葡萄酒; 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</si>
  <si>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</si>
  <si>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黄酒; 白酒; 开胃酒; 清酒（日本米酒）;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</si>
  <si>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流徽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</si>
  <si>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伏特加酒; 葡萄酒</t>
    </r>
  </si>
  <si>
    <t>HIZ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</si>
  <si>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花海餐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</si>
  <si>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白酒; 梅酒</t>
    </r>
  </si>
  <si>
    <r>
      <t>粮有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</si>
  <si>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烈酒</t>
    </r>
  </si>
  <si>
    <r>
      <t>岁岁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</si>
  <si>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春苗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</si>
  <si>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葡萄酒; 黄酒; 米酒</t>
    </r>
  </si>
  <si>
    <r>
      <t>贡钆</t>
    </r>
    <r>
      <rPr>
        <sz val="11"/>
        <color theme="1"/>
        <rFont val="ＭＳ Ｐゴシック"/>
        <family val="3"/>
        <charset val="128"/>
        <scheme val="minor"/>
      </rPr>
      <t>琳</t>
    </r>
  </si>
  <si>
    <r>
      <t>鲁绒</t>
    </r>
    <r>
      <rPr>
        <sz val="11"/>
        <color theme="1"/>
        <rFont val="ＭＳ Ｐゴシック"/>
        <family val="3"/>
        <charset val="128"/>
        <scheme val="minor"/>
      </rPr>
      <t>茶里</t>
    </r>
  </si>
  <si>
    <r>
      <t>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黄酒;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</si>
  <si>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展</t>
    </r>
  </si>
  <si>
    <r>
      <t>北京市裕皓酒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</si>
  <si>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开胃酒;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</si>
  <si>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戴</t>
    </r>
    <r>
      <rPr>
        <sz val="11"/>
        <color theme="1"/>
        <rFont val="ＭＳ Ｐゴシック"/>
        <family val="3"/>
        <charset val="134"/>
        <scheme val="minor"/>
      </rPr>
      <t>场岛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</si>
  <si>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河洋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</si>
  <si>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烈酒; 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</si>
  <si>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洋宝坊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</si>
  <si>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烈酒; 果酒（含酒精）; 葡萄酒; 米酒; 高粱酒</t>
    </r>
  </si>
  <si>
    <t>善化</t>
  </si>
  <si>
    <r>
      <t>湖南旺宁商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</si>
  <si>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米酒</t>
    </r>
  </si>
  <si>
    <t>花之容</t>
  </si>
  <si>
    <r>
      <t>尹月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</si>
  <si>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开胃酒; 米酒; 青梅酒; 葡萄酒; 果酒</t>
    </r>
  </si>
  <si>
    <t>BETTY BUZZ</t>
  </si>
  <si>
    <t>董美琛</t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</si>
  <si>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利口酒; 威士忌;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</si>
  <si>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抖掌勺</t>
  </si>
  <si>
    <t>蒋涛</t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</si>
  <si>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杜松子酒;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</si>
  <si>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跟屁虫</t>
  </si>
  <si>
    <r>
      <t>保定天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</si>
  <si>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佐餐酒;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露酒; 高粱酒; 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</si>
  <si>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</si>
  <si>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</si>
  <si>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莱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</si>
  <si>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白酒; 葡萄酒; 威士忌;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</si>
  <si>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t>牟宗宝</t>
  </si>
  <si>
    <t>李彬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</si>
  <si>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葡萄酒; 食用酒精; 白酒</t>
    </r>
  </si>
  <si>
    <t>海思立德</t>
  </si>
  <si>
    <r>
      <t>吉林恩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</si>
  <si>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</si>
  <si>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王夫子酒庄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</si>
  <si>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</si>
  <si>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烈酒; 露酒;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</si>
  <si>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淑唐</t>
  </si>
  <si>
    <t>王林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</si>
  <si>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</si>
  <si>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立方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</si>
  <si>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</si>
  <si>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 xml:space="preserve">白酒; 高粱酒;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烈酒; 葡萄酒</t>
    </r>
  </si>
  <si>
    <r>
      <t>望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倒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</si>
  <si>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州市四好酒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</si>
  <si>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白酒; 葡萄酒;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</si>
  <si>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省心 BESUMSTAR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</si>
  <si>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蜜食日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</si>
  <si>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混合威士忌酒</t>
    </r>
  </si>
  <si>
    <t>桃园玉姐</t>
  </si>
  <si>
    <r>
      <t>阜阳市</t>
    </r>
    <r>
      <rPr>
        <sz val="11"/>
        <color theme="1"/>
        <rFont val="ＭＳ Ｐゴシック"/>
        <family val="3"/>
        <charset val="134"/>
        <scheme val="minor"/>
      </rPr>
      <t>颍</t>
    </r>
    <r>
      <rPr>
        <sz val="11"/>
        <color theme="1"/>
        <rFont val="ＭＳ Ｐゴシック"/>
        <family val="3"/>
        <charset val="128"/>
        <scheme val="minor"/>
      </rPr>
      <t>泉区玉玲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</si>
  <si>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高粱酒; 白酒; 草莓酒; 甜酒;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</si>
  <si>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小凰香</t>
  </si>
  <si>
    <r>
      <t>郭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</si>
  <si>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汽酒; 葡萄酒;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</si>
  <si>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t>VROYALLY</t>
  </si>
  <si>
    <r>
      <t>上海肯同商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</si>
  <si>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果酒（含酒精）; 清酒; 葡萄酒</t>
    </r>
  </si>
  <si>
    <t>问谏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</si>
  <si>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苹果酒; 高粱酒;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</si>
  <si>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杰唐</t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</si>
  <si>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</si>
  <si>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祥呈</t>
    </r>
  </si>
  <si>
    <t>王金金</t>
  </si>
  <si>
    <r>
      <t xml:space="preserve">清酒;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</si>
  <si>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匠小邪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</si>
  <si>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州天生喜酒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</si>
  <si>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</si>
  <si>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湖北省聚福百品供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</si>
  <si>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</si>
  <si>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</si>
  <si>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鲍</t>
    </r>
    <r>
      <rPr>
        <sz val="11"/>
        <color theme="1"/>
        <rFont val="ＭＳ Ｐゴシック"/>
        <family val="3"/>
        <charset val="128"/>
        <scheme val="minor"/>
      </rPr>
      <t>秀海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</si>
  <si>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</si>
  <si>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OVV</t>
  </si>
  <si>
    <r>
      <t>上海型度服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</si>
  <si>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食用酒精; 白酒; 葡萄酒; 果酒（含酒精）</t>
    </r>
  </si>
  <si>
    <t>BLACK PLATEAU</t>
  </si>
  <si>
    <r>
      <t>目的地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展公司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</si>
  <si>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美利</t>
    </r>
  </si>
  <si>
    <r>
      <t>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</si>
  <si>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家小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</si>
  <si>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 xml:space="preserve">葡萄酒;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</si>
  <si>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如</t>
    </r>
    <r>
      <rPr>
        <sz val="11"/>
        <color theme="1"/>
        <rFont val="ＭＳ Ｐゴシック"/>
        <family val="3"/>
        <charset val="134"/>
        <scheme val="minor"/>
      </rPr>
      <t>潹</t>
    </r>
    <r>
      <rPr>
        <sz val="11"/>
        <color theme="1"/>
        <rFont val="ＭＳ Ｐゴシック"/>
        <family val="3"/>
        <charset val="128"/>
        <scheme val="minor"/>
      </rPr>
      <t>（深圳）文化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</si>
  <si>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起泡白葡萄酒; 餐后酒（利口酒和烈酒）;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天然汽酒; 葡萄酒</t>
    </r>
  </si>
  <si>
    <t>LOEWE LANCE</t>
  </si>
  <si>
    <r>
      <t>酸酒（低等葡萄酒）; 果酒（含酒精）; 利口酒;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</si>
  <si>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信江南</t>
  </si>
  <si>
    <r>
      <t>上</t>
    </r>
    <r>
      <rPr>
        <sz val="11"/>
        <color theme="1"/>
        <rFont val="ＭＳ Ｐゴシック"/>
        <family val="3"/>
        <charset val="134"/>
        <scheme val="minor"/>
      </rPr>
      <t>饶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乐农业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</si>
  <si>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</si>
  <si>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骄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</si>
  <si>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 xml:space="preserve">果酒（含酒精）;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</si>
  <si>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湘坑</t>
  </si>
  <si>
    <t>汪亮</t>
  </si>
  <si>
    <r>
      <t>白酒;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</si>
  <si>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</si>
  <si>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</si>
  <si>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</si>
  <si>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双湘</t>
  </si>
  <si>
    <r>
      <t xml:space="preserve">白酒; 黄酒; 米酒; 高粱酒;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</si>
  <si>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远长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</si>
  <si>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梁市鑫玖洲商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</si>
  <si>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</si>
  <si>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野影</t>
  </si>
  <si>
    <t>北京景悟文化科技有限公司</t>
  </si>
  <si>
    <r>
      <t xml:space="preserve">葡萄酒; 黄酒; 开胃酒; 果酒; 烈酒;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</si>
  <si>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纽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</si>
  <si>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>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伏特加酒; 黄酒;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</si>
  <si>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丸崎</t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</si>
  <si>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高粱酒; 烈酒; 葡萄酒;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</si>
  <si>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CAMAC</t>
  </si>
  <si>
    <r>
      <t>福建珍泉酒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</si>
  <si>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</si>
  <si>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穗古将</t>
    </r>
  </si>
  <si>
    <r>
      <t>开胃酒;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</t>
    </r>
  </si>
  <si>
    <t>浦筵家</t>
  </si>
  <si>
    <r>
      <t>林子</t>
    </r>
    <r>
      <rPr>
        <sz val="11"/>
        <color theme="1"/>
        <rFont val="ＭＳ Ｐゴシック"/>
        <family val="3"/>
        <charset val="134"/>
        <scheme val="minor"/>
      </rPr>
      <t>衔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</si>
  <si>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白酒; 黄酒;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</si>
  <si>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戎入</t>
  </si>
  <si>
    <r>
      <t>黄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</si>
  <si>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开胃酒; 葡萄酒; 食用酒精; 果酒（含酒精）;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</si>
  <si>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诞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卖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</si>
  <si>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上海壹枝花文化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</si>
  <si>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白酒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</si>
  <si>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迈伦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</si>
  <si>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苏张</t>
    </r>
    <r>
      <rPr>
        <sz val="11"/>
        <color theme="1"/>
        <rFont val="ＭＳ Ｐゴシック"/>
        <family val="3"/>
        <charset val="128"/>
        <scheme val="minor"/>
      </rPr>
      <t>家港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</si>
  <si>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黄酒; 清酒; 葡萄酒; 米酒; 白酒;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</si>
  <si>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参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</si>
  <si>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洋</t>
    </r>
    <r>
      <rPr>
        <sz val="11"/>
        <color theme="1"/>
        <rFont val="ＭＳ Ｐゴシック"/>
        <family val="3"/>
        <charset val="134"/>
        <scheme val="minor"/>
      </rPr>
      <t>华诺</t>
    </r>
    <r>
      <rPr>
        <sz val="11"/>
        <color theme="1"/>
        <rFont val="ＭＳ Ｐゴシック"/>
        <family val="3"/>
        <charset val="128"/>
        <scheme val="minor"/>
      </rPr>
      <t>成(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南)信息咨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</si>
  <si>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薄荷酒;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开胃酒; 黄酒</t>
    </r>
  </si>
  <si>
    <t>富美朝歌</t>
  </si>
  <si>
    <r>
      <t>鹤</t>
    </r>
    <r>
      <rPr>
        <sz val="11"/>
        <color theme="1"/>
        <rFont val="ＭＳ Ｐゴシック"/>
        <family val="3"/>
        <charset val="128"/>
        <scheme val="minor"/>
      </rPr>
      <t>壁</t>
    </r>
    <r>
      <rPr>
        <sz val="11"/>
        <color theme="1"/>
        <rFont val="ＭＳ Ｐゴシック"/>
        <family val="3"/>
        <charset val="134"/>
        <scheme val="minor"/>
      </rPr>
      <t>萤</t>
    </r>
    <r>
      <rPr>
        <sz val="11"/>
        <color theme="1"/>
        <rFont val="ＭＳ Ｐゴシック"/>
        <family val="3"/>
        <charset val="128"/>
        <scheme val="minor"/>
      </rPr>
      <t>火虫商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</si>
  <si>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水果汽酒;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</si>
  <si>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氏武状元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</si>
  <si>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氏武状元（广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</si>
  <si>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柑香酒; 蜂蜜酒; 葡萄酒; 薄荷酒; 苦味酒; 茴芹酒（利口酒）; 苹果酒; 伏特加酒; 果酒（含酒精）; 白酒</t>
  </si>
  <si>
    <t>醑韵天成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</si>
  <si>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绥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</si>
  <si>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白酒; 烈酒; 高粱酒;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</si>
  <si>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春聚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</si>
  <si>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</si>
  <si>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果酒;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</si>
  <si>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宝古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小熊猫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</si>
  <si>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市民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</si>
  <si>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</si>
  <si>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弹</t>
    </r>
    <r>
      <rPr>
        <sz val="11"/>
        <color theme="1"/>
        <rFont val="ＭＳ Ｐゴシック"/>
        <family val="3"/>
        <charset val="128"/>
        <scheme val="minor"/>
      </rPr>
      <t>二</t>
    </r>
    <r>
      <rPr>
        <sz val="11"/>
        <color theme="1"/>
        <rFont val="ＭＳ Ｐゴシック"/>
        <family val="3"/>
        <charset val="134"/>
        <scheme val="minor"/>
      </rPr>
      <t>弹</t>
    </r>
  </si>
  <si>
    <r>
      <t>成都三</t>
    </r>
    <r>
      <rPr>
        <sz val="11"/>
        <color theme="1"/>
        <rFont val="ＭＳ Ｐゴシック"/>
        <family val="3"/>
        <charset val="134"/>
        <scheme val="minor"/>
      </rPr>
      <t>犟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</si>
  <si>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果酒（含酒精）; 清酒（日本米酒）; 威士忌</t>
    </r>
  </si>
  <si>
    <t>BAY SHINE</t>
  </si>
  <si>
    <t>上海盛沃食品有限公司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</si>
  <si>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</si>
  <si>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圭德西域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</si>
  <si>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坊圭德商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</si>
  <si>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果酒（含酒精）; 清酒（日本米酒）; 食用酒精; 黄酒; 白酒; 汽酒; 葡萄酒; 蜂蜜酒; 米酒; 威士忌</t>
  </si>
  <si>
    <t>葡立方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</si>
  <si>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烈酒; 米酒; 白酒; 葡萄酒; 高粱酒</t>
    </r>
  </si>
  <si>
    <t>世御万家</t>
  </si>
  <si>
    <r>
      <t>邹</t>
    </r>
    <r>
      <rPr>
        <sz val="11"/>
        <color theme="1"/>
        <rFont val="ＭＳ Ｐゴシック"/>
        <family val="3"/>
        <charset val="128"/>
        <scheme val="minor"/>
      </rPr>
      <t>馥名******************</t>
    </r>
  </si>
  <si>
    <r>
      <t xml:space="preserve">威士忌; 果酒;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</si>
  <si>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运醇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</si>
  <si>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河南常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</si>
  <si>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葡萄酒</t>
    </r>
  </si>
  <si>
    <t>HIGHLAND CROWN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</si>
  <si>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威士忌; 甜酒; 葡萄酒; 果酒（含酒精）;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</si>
  <si>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醇友情</t>
  </si>
  <si>
    <t>周光建</t>
  </si>
  <si>
    <r>
      <t xml:space="preserve">果酒（含酒精）; 威士忌; 黄酒; 青稞酒;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白酒; 伏特加酒</t>
    </r>
  </si>
  <si>
    <t>OSTERIA CAPARESH</t>
  </si>
  <si>
    <r>
      <t>北京卡布里舍餐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</si>
  <si>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</si>
  <si>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</si>
  <si>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</si>
  <si>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</si>
  <si>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A GLEN</t>
  </si>
  <si>
    <t>黄君</t>
  </si>
  <si>
    <r>
      <t xml:space="preserve">威士忌; 米酒; 果酒（含酒精）; 白酒;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甜酒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</si>
  <si>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弹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</si>
  <si>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</si>
  <si>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笃</t>
    </r>
    <r>
      <rPr>
        <sz val="11"/>
        <color theme="1"/>
        <rFont val="ＭＳ Ｐゴシック"/>
        <family val="3"/>
        <charset val="128"/>
        <scheme val="minor"/>
      </rPr>
      <t>初守真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</si>
  <si>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州一庄一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</si>
  <si>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果酒（含酒精）; 苹果酒; 米酒;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</si>
  <si>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</si>
  <si>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葡萄酒; 伏特加酒; 高粱酒</t>
    </r>
  </si>
  <si>
    <t>江湖可期</t>
  </si>
  <si>
    <r>
      <t>中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(北京)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</si>
  <si>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白酒; 果酒;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</si>
  <si>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LA COMTESSE DE GALLAS 嘉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斯女伯爵</t>
    </r>
  </si>
  <si>
    <t>上海福蕾食品有限公司</t>
  </si>
  <si>
    <r>
      <t>葡萄酒; 米酒; 朗姆酒;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</si>
  <si>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与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</si>
  <si>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</si>
  <si>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米酒; 白干酒（中国白酒）;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</si>
  <si>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烈焰鹿</t>
  </si>
  <si>
    <r>
      <t>恩</t>
    </r>
    <r>
      <rPr>
        <sz val="11"/>
        <color theme="1"/>
        <rFont val="ＭＳ Ｐゴシック"/>
        <family val="3"/>
        <charset val="134"/>
        <scheme val="minor"/>
      </rPr>
      <t>钦</t>
    </r>
    <r>
      <rPr>
        <sz val="11"/>
        <color theme="1"/>
        <rFont val="ＭＳ Ｐゴシック"/>
        <family val="3"/>
        <charset val="128"/>
        <scheme val="minor"/>
      </rPr>
      <t>斯皮瑞特有限公司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</si>
  <si>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制好的酒精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加烈葡萄酒;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杜松子酒; 日本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混合威士忌酒;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草本型利口酒;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利口酒; 水果利口酒; 伏特加酒; 米酒; 麦芽威士忌;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开胃酒</t>
    </r>
  </si>
  <si>
    <t>醇有情</t>
  </si>
  <si>
    <r>
      <t xml:space="preserve">清酒（日本米酒）;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果酒（含酒精）; 白酒; 青稞酒; 葡萄酒; 伏特加酒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</si>
  <si>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</si>
  <si>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 xml:space="preserve">白酒; 果酒（含酒精）; 高粱酒;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甜酒</t>
    </r>
  </si>
  <si>
    <t>七里文脉</t>
  </si>
  <si>
    <r>
      <t>徐海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</si>
  <si>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黄酒; 米酒;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</si>
  <si>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奈桐</t>
  </si>
  <si>
    <r>
      <t xml:space="preserve">白酒; 起泡白葡萄酒; 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</si>
  <si>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王大</t>
    </r>
    <r>
      <rPr>
        <sz val="11"/>
        <color theme="1"/>
        <rFont val="ＭＳ Ｐゴシック"/>
        <family val="3"/>
        <charset val="134"/>
        <scheme val="minor"/>
      </rPr>
      <t>乔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</si>
  <si>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沙王大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</si>
  <si>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露酒; 甜酒</t>
    </r>
  </si>
  <si>
    <r>
      <t>姚</t>
    </r>
    <r>
      <rPr>
        <sz val="11"/>
        <color theme="1"/>
        <rFont val="ＭＳ Ｐゴシック"/>
        <family val="3"/>
        <charset val="134"/>
        <scheme val="minor"/>
      </rPr>
      <t>农荟</t>
    </r>
  </si>
  <si>
    <r>
      <t>余姚市供</t>
    </r>
    <r>
      <rPr>
        <sz val="11"/>
        <color theme="1"/>
        <rFont val="ＭＳ Ｐゴシック"/>
        <family val="3"/>
        <charset val="134"/>
        <scheme val="minor"/>
      </rPr>
      <t>销联</t>
    </r>
    <r>
      <rPr>
        <sz val="11"/>
        <color theme="1"/>
        <rFont val="ＭＳ Ｐゴシック"/>
        <family val="3"/>
        <charset val="128"/>
        <scheme val="minor"/>
      </rPr>
      <t>社集体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</si>
  <si>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白干酒（中国白酒）;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开胃酒; 青梅酒; 白酒</t>
    </r>
  </si>
  <si>
    <r>
      <t>槿棋</t>
    </r>
    <r>
      <rPr>
        <sz val="11"/>
        <color theme="1"/>
        <rFont val="ＭＳ Ｐゴシック"/>
        <family val="3"/>
        <charset val="134"/>
        <scheme val="minor"/>
      </rPr>
      <t>轩</t>
    </r>
  </si>
  <si>
    <t>湖南槿棋健康管理有限公司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</si>
  <si>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</si>
  <si>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要十同</t>
    </r>
    <r>
      <rPr>
        <sz val="11"/>
        <color theme="1"/>
        <rFont val="ＭＳ Ｐゴシック"/>
        <family val="3"/>
        <charset val="134"/>
        <scheme val="minor"/>
      </rPr>
      <t>缘</t>
    </r>
  </si>
  <si>
    <t>黄建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</si>
  <si>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开胃酒; 米酒; 苦味酒</t>
    </r>
  </si>
  <si>
    <t>MYSTIC MINOR</t>
  </si>
  <si>
    <r>
      <t>蓬莱仙湖酒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</si>
  <si>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蒸煮提取物（利口酒和烈酒）; 葡萄酒; 威士忌; 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</si>
  <si>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铁陨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</si>
  <si>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桂春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</si>
  <si>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葡萄酒; 黄酒; 米酒; 露酒; 甜酒; 清酒; 果酒</t>
    </r>
  </si>
  <si>
    <r>
      <t>戎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</si>
  <si>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</si>
  <si>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</si>
  <si>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柔鹿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</si>
  <si>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白酒; 果酒（含酒精）</t>
    </r>
  </si>
  <si>
    <t>王夫子</t>
  </si>
  <si>
    <r>
      <t xml:space="preserve">烈酒; 露酒; 高粱酒; 食用酒精;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</si>
  <si>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官固台英雄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</si>
  <si>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广源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</si>
  <si>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</si>
  <si>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銐</t>
  </si>
  <si>
    <t>付振浩</t>
  </si>
  <si>
    <r>
      <t>食用酒精;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</si>
  <si>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街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</si>
  <si>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阳文化旅游投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</si>
  <si>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</si>
  <si>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双暹</t>
  </si>
  <si>
    <r>
      <t>邵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</si>
  <si>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白酒; 高粱酒; 葡萄酒; 果酒（含酒精）;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</si>
  <si>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戎昆</t>
  </si>
  <si>
    <r>
      <t>张</t>
    </r>
    <r>
      <rPr>
        <sz val="11"/>
        <color theme="1"/>
        <rFont val="ＭＳ Ｐゴシック"/>
        <family val="3"/>
        <charset val="128"/>
        <scheme val="minor"/>
      </rPr>
      <t>双喜</t>
    </r>
  </si>
  <si>
    <r>
      <t xml:space="preserve">米酒; 白酒; 葡萄酒; 汽酒;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</si>
  <si>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柔瀑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</si>
  <si>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葡萄酒;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</si>
  <si>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水晶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</si>
  <si>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开胃酒; 果酒（含酒精）</t>
    </r>
  </si>
  <si>
    <t>上海一生幸福健康科技有限公司</t>
  </si>
  <si>
    <r>
      <t xml:space="preserve">开胃酒; 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清酒（日本米酒）;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</si>
  <si>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寮苦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</si>
  <si>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永珍秘境国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</si>
  <si>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苦味酒;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</si>
  <si>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MOOZIE MASCOTS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</si>
  <si>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行者商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</si>
  <si>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果酒; 黄酒; 葡萄酒;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</si>
  <si>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GAINGALU 格加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</si>
  <si>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格加</t>
    </r>
    <r>
      <rPr>
        <sz val="11"/>
        <color theme="1"/>
        <rFont val="ＭＳ Ｐゴシック"/>
        <family val="3"/>
        <charset val="134"/>
        <scheme val="minor"/>
      </rPr>
      <t>仑连</t>
    </r>
    <r>
      <rPr>
        <sz val="11"/>
        <color theme="1"/>
        <rFont val="ＭＳ Ｐゴシック"/>
        <family val="3"/>
        <charset val="128"/>
        <scheme val="minor"/>
      </rPr>
      <t>接器（深圳）有限公司</t>
    </r>
  </si>
  <si>
    <r>
      <t>清酒（日本米酒）;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</si>
  <si>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醉月</t>
    </r>
  </si>
  <si>
    <r>
      <t>徐州悦普科技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</si>
  <si>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高粱酒; 白葡萄酒;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</si>
  <si>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晋醉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</si>
  <si>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</si>
  <si>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葡萄酒;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露酒; 高粱酒; 青梅酒</t>
    </r>
  </si>
  <si>
    <t>量厚集酒</t>
  </si>
  <si>
    <r>
      <t>深圳市量厚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</si>
  <si>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白酒; 米酒; 青稞酒;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</si>
  <si>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屹</t>
    </r>
    <r>
      <rPr>
        <sz val="11"/>
        <color theme="1"/>
        <rFont val="ＭＳ Ｐゴシック"/>
        <family val="3"/>
        <charset val="134"/>
        <scheme val="minor"/>
      </rPr>
      <t>岛忎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</si>
  <si>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上海利</t>
    </r>
    <r>
      <rPr>
        <sz val="11"/>
        <color theme="1"/>
        <rFont val="ＭＳ Ｐゴシック"/>
        <family val="3"/>
        <charset val="134"/>
        <scheme val="minor"/>
      </rPr>
      <t>刚电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</si>
  <si>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伏特加酒; 威士忌; 蒸煮提取物（利口酒和烈酒）;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</si>
  <si>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MYSTIC MYTH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</si>
  <si>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威士忌; 酸酒（低等葡萄酒）;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</si>
  <si>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坚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</si>
  <si>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</si>
  <si>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佧</t>
    </r>
    <r>
      <rPr>
        <sz val="11"/>
        <color theme="1"/>
        <rFont val="ＭＳ Ｐゴシック"/>
        <family val="3"/>
        <charset val="128"/>
        <scheme val="minor"/>
      </rPr>
      <t>沫</t>
    </r>
  </si>
  <si>
    <r>
      <t>天津南开</t>
    </r>
    <r>
      <rPr>
        <sz val="11"/>
        <color theme="1"/>
        <rFont val="ＭＳ Ｐゴシック"/>
        <family val="3"/>
        <charset val="129"/>
        <scheme val="minor"/>
      </rPr>
      <t>哏</t>
    </r>
    <r>
      <rPr>
        <sz val="11"/>
        <color theme="1"/>
        <rFont val="ＭＳ Ｐゴシック"/>
        <family val="3"/>
        <charset val="128"/>
        <scheme val="minor"/>
      </rPr>
      <t>儿吧</t>
    </r>
    <r>
      <rPr>
        <sz val="11"/>
        <color theme="1"/>
        <rFont val="ＭＳ Ｐゴシック"/>
        <family val="3"/>
        <charset val="134"/>
        <scheme val="minor"/>
      </rPr>
      <t>渔乐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</si>
  <si>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</si>
  <si>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文杜</t>
  </si>
  <si>
    <r>
      <t>张丽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</si>
  <si>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米酒; 果酒（含酒精）; 伏特加酒</t>
    </r>
  </si>
  <si>
    <r>
      <t>春阳</t>
    </r>
    <r>
      <rPr>
        <sz val="11"/>
        <color theme="1"/>
        <rFont val="ＭＳ Ｐゴシック"/>
        <family val="3"/>
        <charset val="134"/>
        <scheme val="minor"/>
      </rPr>
      <t>岗乐</t>
    </r>
    <r>
      <rPr>
        <sz val="11"/>
        <color theme="1"/>
        <rFont val="ＭＳ Ｐゴシック"/>
        <family val="3"/>
        <charset val="128"/>
        <scheme val="minor"/>
      </rPr>
      <t>合万家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</si>
  <si>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州春阳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</si>
  <si>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含奶油利口酒; 开胃酒; 黄酒; 米酒; 甜酒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</si>
  <si>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愁心</t>
    </r>
    <r>
      <rPr>
        <sz val="11"/>
        <color theme="1"/>
        <rFont val="ＭＳ Ｐゴシック"/>
        <family val="3"/>
        <charset val="134"/>
        <scheme val="minor"/>
      </rPr>
      <t>语</t>
    </r>
  </si>
  <si>
    <t>王逃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</si>
  <si>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</si>
  <si>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惠美庄 WELL MEI CHUANG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</si>
  <si>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东顺</t>
    </r>
    <r>
      <rPr>
        <sz val="11"/>
        <color theme="1"/>
        <rFont val="ＭＳ Ｐゴシック"/>
        <family val="3"/>
        <charset val="128"/>
        <scheme val="minor"/>
      </rPr>
      <t>德新惠美庄食品有限公司</t>
    </r>
  </si>
  <si>
    <r>
      <t>葡萄酒; 食用酒精;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</t>
    </r>
  </si>
  <si>
    <t>晟道</t>
  </si>
  <si>
    <r>
      <t>河南中葡酒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</si>
  <si>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</si>
  <si>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雷伽邑</t>
  </si>
  <si>
    <t>烟台法莱雅酒庄有限公司</t>
  </si>
  <si>
    <r>
      <t xml:space="preserve">果酒（含酒精）; 威士忌; 朗姆酒; 餐后酒（利口酒和烈酒）;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</si>
  <si>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麹醉堂</t>
  </si>
  <si>
    <r>
      <t>宋云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</si>
  <si>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高粱酒; 葡萄酒;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威士忌; 白酒</t>
    </r>
  </si>
  <si>
    <r>
      <t>鸟</t>
    </r>
    <r>
      <rPr>
        <sz val="11"/>
        <color theme="1"/>
        <rFont val="ＭＳ Ｐゴシック"/>
        <family val="3"/>
        <charset val="128"/>
        <scheme val="minor"/>
      </rPr>
      <t>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</si>
  <si>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烈酒; 米酒; 甜酒; 威士忌</t>
    </r>
  </si>
  <si>
    <r>
      <t>王夫子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</si>
  <si>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露酒; 高粱酒; 果酒; 烈酒; 白酒; 食用酒精</t>
    </r>
  </si>
  <si>
    <r>
      <t>逊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</si>
  <si>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南昌市</t>
    </r>
    <r>
      <rPr>
        <sz val="11"/>
        <color theme="1"/>
        <rFont val="ＭＳ Ｐゴシック"/>
        <family val="3"/>
        <charset val="134"/>
        <scheme val="minor"/>
      </rPr>
      <t>逊</t>
    </r>
    <r>
      <rPr>
        <sz val="11"/>
        <color theme="1"/>
        <rFont val="ＭＳ Ｐゴシック"/>
        <family val="3"/>
        <charset val="128"/>
        <scheme val="minor"/>
      </rPr>
      <t>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</si>
  <si>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</si>
  <si>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大侠</t>
    </r>
  </si>
  <si>
    <r>
      <t>福建智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</si>
  <si>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</si>
  <si>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陈鹤</t>
    </r>
    <r>
      <rPr>
        <sz val="11"/>
        <color theme="1"/>
        <rFont val="ＭＳ Ｐゴシック"/>
        <family val="3"/>
        <charset val="128"/>
        <scheme val="minor"/>
      </rPr>
      <t>途</t>
    </r>
  </si>
  <si>
    <r>
      <t>餐后酒（利口酒和烈酒）;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</t>
    </r>
  </si>
  <si>
    <r>
      <t>狮龙</t>
    </r>
    <r>
      <rPr>
        <sz val="11"/>
        <color theme="1"/>
        <rFont val="ＭＳ Ｐゴシック"/>
        <family val="3"/>
        <charset val="128"/>
        <scheme val="minor"/>
      </rPr>
      <t>君子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</si>
  <si>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西水中天文化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</si>
  <si>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薄荷酒;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清酒（日本米酒）; 米酒; 白酒</t>
    </r>
  </si>
  <si>
    <r>
      <t>五常市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博米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</si>
  <si>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水果汽酒;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甜果酒; 清酒（日本米酒）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</si>
  <si>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厚元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</si>
  <si>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海涛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</si>
  <si>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</si>
  <si>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戏</t>
    </r>
  </si>
  <si>
    <t>黄国民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</si>
  <si>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米酒; 白酒; 威士忌;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</si>
  <si>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挂榜岩</t>
  </si>
  <si>
    <r>
      <t>湖北房州有礼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</si>
  <si>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甜酒; 白酒;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高粱酒</t>
    </r>
  </si>
  <si>
    <t>駫</t>
  </si>
  <si>
    <r>
      <t>王</t>
    </r>
    <r>
      <rPr>
        <sz val="11"/>
        <color theme="1"/>
        <rFont val="ＭＳ Ｐゴシック"/>
        <family val="3"/>
        <charset val="134"/>
        <scheme val="minor"/>
      </rPr>
      <t>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</si>
  <si>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果酒（含酒精）; 蒸煮提取物（利口酒和烈酒）;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</si>
  <si>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遇武当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</si>
  <si>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露酒; 水果汽酒;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高粱酒; 白酒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</si>
  <si>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邦</t>
    </r>
  </si>
  <si>
    <t>陈钢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</si>
  <si>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果酒(含酒精);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白酒; 米酒; 葡萄酒; 威士忌</t>
    </r>
  </si>
  <si>
    <t>巨商</t>
  </si>
  <si>
    <r>
      <t>泉州市丰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区怡</t>
    </r>
    <r>
      <rPr>
        <sz val="11"/>
        <color theme="1"/>
        <rFont val="ＭＳ Ｐゴシック"/>
        <family val="3"/>
        <charset val="134"/>
        <scheme val="minor"/>
      </rPr>
      <t>娅贸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</si>
  <si>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黄酒;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</si>
  <si>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贵汉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</si>
  <si>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葡萄酒; 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果酒(含酒精);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</si>
  <si>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满兴</t>
    </r>
  </si>
  <si>
    <t>周丹</t>
  </si>
  <si>
    <r>
      <t>白酒; 米酒; 果酒（含酒精）; 梅酒;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</si>
  <si>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关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家将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</si>
  <si>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家将酒厂集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</si>
  <si>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米酒; 烈酒;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白酒; 清酒; 甜酒</t>
    </r>
  </si>
  <si>
    <t>河南省孔氏兄弟生物科技有限公司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</si>
  <si>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</si>
  <si>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央凌</t>
  </si>
  <si>
    <r>
      <t>河北洋凌酒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</si>
  <si>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露酒; 黄酒; 清酒; 米酒; 利口酒;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</si>
  <si>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惜</t>
    </r>
    <r>
      <rPr>
        <sz val="11"/>
        <color theme="1"/>
        <rFont val="ＭＳ Ｐゴシック"/>
        <family val="3"/>
        <charset val="134"/>
        <scheme val="minor"/>
      </rPr>
      <t>诵</t>
    </r>
    <r>
      <rPr>
        <sz val="11"/>
        <color theme="1"/>
        <rFont val="ＭＳ Ｐゴシック"/>
        <family val="3"/>
        <charset val="128"/>
        <scheme val="minor"/>
      </rPr>
      <t>·古韵流芳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</si>
  <si>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州惜</t>
    </r>
    <r>
      <rPr>
        <sz val="11"/>
        <color theme="1"/>
        <rFont val="ＭＳ Ｐゴシック"/>
        <family val="3"/>
        <charset val="134"/>
        <scheme val="minor"/>
      </rPr>
      <t>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</si>
  <si>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白酒; 果酒</t>
    </r>
  </si>
  <si>
    <t>拼真真</t>
  </si>
  <si>
    <t>浙江国立控股有限公司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</si>
  <si>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烈酒;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</si>
  <si>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</si>
  <si>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</si>
  <si>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</si>
  <si>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天萃峰</t>
  </si>
  <si>
    <r>
      <t>唐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哲</t>
    </r>
  </si>
  <si>
    <t>米酒; 葡萄酒; 黄酒; 开胃酒; 食用酒精; 清酒; 汽酒; 甜酒; 白酒; 果酒</t>
  </si>
  <si>
    <r>
      <t>熊猫</t>
    </r>
    <r>
      <rPr>
        <sz val="11"/>
        <color theme="1"/>
        <rFont val="ＭＳ Ｐゴシック"/>
        <family val="3"/>
        <charset val="134"/>
        <scheme val="minor"/>
      </rPr>
      <t>阶</t>
    </r>
    <r>
      <rPr>
        <sz val="11"/>
        <color theme="1"/>
        <rFont val="ＭＳ Ｐゴシック"/>
        <family val="3"/>
        <charset val="128"/>
        <scheme val="minor"/>
      </rPr>
      <t>梯 PANDA STEPS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</si>
  <si>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青芳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</si>
  <si>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薄荷酒; 白酒</t>
    </r>
  </si>
  <si>
    <r>
      <t>尊友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</si>
  <si>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</si>
  <si>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喜立福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</si>
  <si>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青城建筑装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</si>
  <si>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</si>
  <si>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唯葡厚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</si>
  <si>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唯葡家庭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</si>
  <si>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朗姆酒;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葡萄酒; 伏特加酒; 黄酒; 威士忌</t>
    </r>
  </si>
  <si>
    <t>欣九味</t>
  </si>
  <si>
    <r>
      <t>赵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</si>
  <si>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高粱酒; 葡萄酒; 米酒</t>
    </r>
  </si>
  <si>
    <t>青兄</t>
  </si>
  <si>
    <t>王呈祥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</si>
  <si>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黄酒; 白酒; 葡萄酒; 烈酒;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</si>
  <si>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抱琴</t>
    </r>
    <r>
      <rPr>
        <sz val="11"/>
        <color theme="1"/>
        <rFont val="ＭＳ Ｐゴシック"/>
        <family val="3"/>
        <charset val="134"/>
        <scheme val="minor"/>
      </rPr>
      <t>对</t>
    </r>
    <r>
      <rPr>
        <sz val="11"/>
        <color theme="1"/>
        <rFont val="ＭＳ Ｐゴシック"/>
        <family val="3"/>
        <charset val="128"/>
        <scheme val="minor"/>
      </rPr>
      <t>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</si>
  <si>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州众鑫城市物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</si>
  <si>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</si>
  <si>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酣兄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</si>
  <si>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果酒（含酒精）;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</si>
  <si>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</si>
  <si>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</si>
  <si>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广鑫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</si>
  <si>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浙江广鑫</t>
    </r>
    <r>
      <rPr>
        <sz val="11"/>
        <color theme="1"/>
        <rFont val="ＭＳ Ｐゴシック"/>
        <family val="3"/>
        <charset val="134"/>
        <scheme val="minor"/>
      </rPr>
      <t>联进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</si>
  <si>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</si>
  <si>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肖雅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</si>
  <si>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 xml:space="preserve">白酒; 甜酒; 果酒;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</si>
  <si>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冠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</si>
  <si>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四川搬</t>
    </r>
    <r>
      <rPr>
        <sz val="11"/>
        <color theme="1"/>
        <rFont val="ＭＳ Ｐゴシック"/>
        <family val="3"/>
        <charset val="134"/>
        <scheme val="minor"/>
      </rPr>
      <t>砖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</si>
  <si>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</si>
  <si>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嵩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</si>
  <si>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河南天朗文化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</si>
  <si>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葡萄酒; 清酒（日本米酒）; 威士忌;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</si>
  <si>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紫宙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</si>
  <si>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威士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</si>
  <si>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</si>
  <si>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赤故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</si>
  <si>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显维</t>
    </r>
  </si>
  <si>
    <r>
      <t xml:space="preserve">白酒;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</si>
  <si>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GOKUNAMA 极生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</si>
  <si>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</si>
  <si>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青清古郊</t>
  </si>
  <si>
    <r>
      <t>晋城重</t>
    </r>
    <r>
      <rPr>
        <sz val="11"/>
        <color theme="1"/>
        <rFont val="ＭＳ Ｐゴシック"/>
        <family val="3"/>
        <charset val="134"/>
        <scheme val="minor"/>
      </rPr>
      <t>兴鸿</t>
    </r>
    <r>
      <rPr>
        <sz val="11"/>
        <color theme="1"/>
        <rFont val="ＭＳ Ｐゴシック"/>
        <family val="3"/>
        <charset val="128"/>
        <scheme val="minor"/>
      </rPr>
      <t>运旅游开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</si>
  <si>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黄酒; 白酒; 葡萄酒; 汽酒</t>
    </r>
  </si>
  <si>
    <t>湾厦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</si>
  <si>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台泉酒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</si>
  <si>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烈酒; 高粱酒; 开胃酒; 威士忌; 果酒（含酒精）; 伏特加酒; 朗姆酒; 白酒; 利口酒; 白葡萄酒</t>
  </si>
  <si>
    <r>
      <t>安墟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</si>
  <si>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河北谷氏香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</si>
  <si>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</si>
  <si>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GLENFARR</t>
  </si>
  <si>
    <r>
      <t>威世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洋酒（青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</si>
  <si>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果酒（含酒精）</t>
    </r>
  </si>
  <si>
    <t>江昕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</si>
  <si>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江昕科技股份有限公司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</si>
  <si>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</si>
  <si>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将宴天下</t>
  </si>
  <si>
    <r>
      <t>甄国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</si>
  <si>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高粱酒;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</si>
  <si>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r>
      <t>捷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</si>
  <si>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开胃酒; 果酒（含酒精）; 米酒; 白酒; 威士忌</t>
    </r>
  </si>
  <si>
    <t>金仕捷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</si>
  <si>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互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</si>
  <si>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果酒; 烈酒</t>
    </r>
  </si>
  <si>
    <t>源沐之音</t>
  </si>
  <si>
    <r>
      <t>陈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</si>
  <si>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</si>
  <si>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骏业鸿</t>
    </r>
    <r>
      <rPr>
        <sz val="11"/>
        <color theme="1"/>
        <rFont val="ＭＳ Ｐゴシック"/>
        <family val="3"/>
        <charset val="128"/>
        <scheme val="minor"/>
      </rPr>
      <t>猷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</si>
  <si>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（成都）酒庄有限公司</t>
    </r>
  </si>
  <si>
    <r>
      <t>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露酒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</si>
  <si>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沟悟空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</si>
  <si>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米酒; 白干酒（中国白酒）;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</si>
  <si>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台典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</si>
  <si>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州台典酒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</si>
  <si>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露酒</t>
    </r>
  </si>
  <si>
    <r>
      <t xml:space="preserve">丰沐 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</si>
  <si>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北京丰沐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</si>
  <si>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清酒（日本米酒）; 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</si>
  <si>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糯相逢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</si>
  <si>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州省金沙</t>
    </r>
    <r>
      <rPr>
        <sz val="11"/>
        <color theme="1"/>
        <rFont val="ＭＳ Ｐゴシック"/>
        <family val="3"/>
        <charset val="134"/>
        <scheme val="minor"/>
      </rPr>
      <t>县贵</t>
    </r>
    <r>
      <rPr>
        <sz val="11"/>
        <color theme="1"/>
        <rFont val="ＭＳ Ｐゴシック"/>
        <family val="3"/>
        <charset val="128"/>
        <scheme val="minor"/>
      </rPr>
      <t>奇酒厂</t>
    </r>
  </si>
  <si>
    <r>
      <t>葡萄酒;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果酒（含酒精）; 苹果酒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</si>
  <si>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关将</t>
    </r>
    <r>
      <rPr>
        <sz val="11"/>
        <color theme="1"/>
        <rFont val="ＭＳ Ｐゴシック"/>
        <family val="3"/>
        <charset val="134"/>
        <scheme val="minor"/>
      </rPr>
      <t>帅杨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</si>
  <si>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 xml:space="preserve">甜酒; 清酒; 烈酒; 米酒; 食用酒精;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</t>
    </r>
  </si>
  <si>
    <r>
      <t>致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</si>
  <si>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米酒;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</t>
    </r>
  </si>
  <si>
    <t>尝蕴</t>
  </si>
  <si>
    <r>
      <t>开胃酒; 葡萄酒;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</si>
  <si>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劝</t>
    </r>
    <r>
      <rPr>
        <sz val="11"/>
        <color theme="1"/>
        <rFont val="ＭＳ Ｐゴシック"/>
        <family val="3"/>
        <charset val="128"/>
        <scheme val="minor"/>
      </rPr>
      <t>知己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</si>
  <si>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永碧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</si>
  <si>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白酒;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</si>
  <si>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伯</t>
    </r>
  </si>
  <si>
    <t>陈尧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</si>
  <si>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</si>
  <si>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祥康甘美之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</si>
  <si>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州祥康甘美之酒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</si>
  <si>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黄酒; 食用酒精; 果酒（含酒精）</t>
    </r>
  </si>
  <si>
    <t>沂河金雀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</si>
  <si>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沂沂河</t>
    </r>
    <r>
      <rPr>
        <sz val="11"/>
        <color theme="1"/>
        <rFont val="ＭＳ Ｐゴシック"/>
        <family val="3"/>
        <charset val="134"/>
        <scheme val="minor"/>
      </rPr>
      <t>宾馆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</si>
  <si>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黄酒;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</si>
  <si>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沂河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雀</t>
    </r>
  </si>
  <si>
    <r>
      <t xml:space="preserve">汽酒; 黄酒; 米酒; 葡萄酒; 开胃酒;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</si>
  <si>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线过</t>
    </r>
  </si>
  <si>
    <r>
      <t>广西科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</si>
  <si>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</si>
  <si>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合州之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·柔情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</si>
  <si>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市福之塔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</si>
  <si>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</si>
  <si>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合州之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血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</si>
  <si>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</si>
  <si>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黔古厚仁</t>
  </si>
  <si>
    <r>
      <t>吕</t>
    </r>
    <r>
      <rPr>
        <sz val="11"/>
        <color theme="1"/>
        <rFont val="ＭＳ Ｐゴシック"/>
        <family val="3"/>
        <charset val="128"/>
        <scheme val="minor"/>
      </rPr>
      <t>思萍</t>
    </r>
  </si>
  <si>
    <r>
      <t xml:space="preserve">米酒; 果酒（含酒精）; 伏特加酒;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</si>
  <si>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布局九略</t>
  </si>
  <si>
    <r>
      <t>黄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</si>
  <si>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利口酒; 葡萄酒; 果酒（含酒精）; 米酒; 白酒;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</si>
  <si>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台典称仁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</si>
  <si>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高粱酒; 开胃酒; 烈酒</t>
    </r>
  </si>
  <si>
    <t>台典典藏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</si>
  <si>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米酒</t>
    </r>
  </si>
  <si>
    <r>
      <t>酣然荣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</si>
  <si>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王少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</si>
  <si>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果酒（含酒精）; 白酒;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清酒（日本米酒）; 开胃酒</t>
    </r>
  </si>
  <si>
    <t>古仙将</t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</si>
  <si>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白酒</t>
    </r>
  </si>
  <si>
    <t>抱陶女</t>
  </si>
  <si>
    <r>
      <t>张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</si>
  <si>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</si>
  <si>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洲佰通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</si>
  <si>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州洲伯通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</si>
  <si>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餐后酒（利口酒和烈酒）; 利口酒; 苹果酒; 白酒</t>
    </r>
  </si>
  <si>
    <t>斟佳翁</t>
  </si>
  <si>
    <r>
      <t>黄酒; 米酒; 露酒; 果酒;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</si>
  <si>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合州之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铁汉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</si>
  <si>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</si>
  <si>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八十七珍</t>
  </si>
  <si>
    <r>
      <t>营</t>
    </r>
    <r>
      <rPr>
        <sz val="11"/>
        <color theme="1"/>
        <rFont val="ＭＳ Ｐゴシック"/>
        <family val="3"/>
        <charset val="128"/>
        <scheme val="minor"/>
      </rPr>
      <t>口市</t>
    </r>
    <r>
      <rPr>
        <sz val="11"/>
        <color theme="1"/>
        <rFont val="ＭＳ Ｐゴシック"/>
        <family val="3"/>
        <charset val="134"/>
        <scheme val="minor"/>
      </rPr>
      <t>鲅鱼</t>
    </r>
    <r>
      <rPr>
        <sz val="11"/>
        <color theme="1"/>
        <rFont val="ＭＳ Ｐゴシック"/>
        <family val="3"/>
        <charset val="128"/>
        <scheme val="minor"/>
      </rPr>
      <t>圈区熊岳大信会网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</si>
  <si>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</si>
  <si>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牛家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</si>
  <si>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浙江嘉豫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</si>
  <si>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</si>
  <si>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穗敬</t>
  </si>
  <si>
    <t>夏自想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</si>
  <si>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白酒; 威士忌</t>
    </r>
  </si>
  <si>
    <t>京淘淘</t>
  </si>
  <si>
    <r>
      <t>上海京</t>
    </r>
    <r>
      <rPr>
        <sz val="11"/>
        <color theme="1"/>
        <rFont val="ＭＳ Ｐゴシック"/>
        <family val="3"/>
        <charset val="129"/>
        <scheme val="minor"/>
      </rPr>
      <t>剁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</si>
  <si>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</t>
    </r>
  </si>
  <si>
    <t>彩和美</t>
  </si>
  <si>
    <r>
      <t>魏明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</si>
  <si>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露酒; 甜酒;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佐餐酒; 米酒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</si>
  <si>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极春碧昇</t>
    </r>
  </si>
  <si>
    <t>刘少春</t>
  </si>
  <si>
    <r>
      <t>伏特加酒; 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</si>
  <si>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弋</t>
    </r>
    <r>
      <rPr>
        <sz val="11"/>
        <color theme="1"/>
        <rFont val="ＭＳ Ｐゴシック"/>
        <family val="3"/>
        <charset val="134"/>
        <scheme val="minor"/>
      </rPr>
      <t>珄</t>
    </r>
    <r>
      <rPr>
        <sz val="11"/>
        <color theme="1"/>
        <rFont val="ＭＳ Ｐゴシック"/>
        <family val="3"/>
        <charset val="128"/>
        <scheme val="minor"/>
      </rPr>
      <t>半途酒</t>
    </r>
  </si>
  <si>
    <r>
      <t>薄荷酒;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茴香酒; 白酒; 白干酒（中国白酒）; 威士忌;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</si>
  <si>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故湘叙</t>
  </si>
  <si>
    <t>李涛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</si>
  <si>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</si>
  <si>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百草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</si>
  <si>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日式甜米酒;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清酒</t>
    </r>
  </si>
  <si>
    <t>碎捆</t>
  </si>
  <si>
    <t>李小双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</si>
  <si>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食用酒精; 果酒（含酒精）; 青稞酒; 米酒</t>
    </r>
  </si>
  <si>
    <r>
      <t>费</t>
    </r>
    <r>
      <rPr>
        <sz val="11"/>
        <color theme="1"/>
        <rFont val="ＭＳ Ｐゴシック"/>
        <family val="3"/>
        <charset val="128"/>
        <scheme val="minor"/>
      </rPr>
      <t>列隆古堡庄园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</si>
  <si>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</si>
  <si>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利口酒; 威士忌; 朗姆酒</t>
    </r>
  </si>
  <si>
    <t>重点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</si>
  <si>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今喜来酒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</si>
  <si>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黄酒; 烈酒; 威士忌; 葡萄酒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</si>
  <si>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</si>
  <si>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</si>
  <si>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翰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</si>
  <si>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九江中菲国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</si>
  <si>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起泡白葡萄酒; 朗姆潘趣酒; 米酒;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烈酒; 白酒</t>
    </r>
  </si>
  <si>
    <t>月漫星河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</si>
  <si>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梦一酒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</si>
  <si>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</si>
  <si>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</si>
  <si>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知几渡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</si>
  <si>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果酒（含酒精）; 米酒</t>
    </r>
  </si>
  <si>
    <r>
      <t>碧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</si>
  <si>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</si>
  <si>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苹果酒; 葡萄酒;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</si>
  <si>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洋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春</t>
    </r>
  </si>
  <si>
    <t>晁洋</t>
  </si>
  <si>
    <r>
      <t xml:space="preserve">果酒;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</si>
  <si>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</si>
  <si>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开胃酒; 黄酒; 威士忌; 烈酒;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</si>
  <si>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遵桓</t>
  </si>
  <si>
    <t>朱起玲******************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</si>
  <si>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果酒; 烈酒;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青梅酒</t>
    </r>
  </si>
  <si>
    <r>
      <t>旺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</si>
  <si>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</si>
  <si>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果酒（含酒精）; 苹果酒; 葡萄酒; 梨酒; 青稞酒;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</si>
  <si>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台典称礼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</si>
  <si>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果酒; 烈酒; 米酒; 露酒; 白酒</t>
    </r>
  </si>
  <si>
    <t>将名堂</t>
  </si>
  <si>
    <r>
      <t>张</t>
    </r>
    <r>
      <rPr>
        <sz val="11"/>
        <color theme="1"/>
        <rFont val="ＭＳ Ｐゴシック"/>
        <family val="3"/>
        <charset val="128"/>
        <scheme val="minor"/>
      </rPr>
      <t>治国</t>
    </r>
  </si>
  <si>
    <t>白酒; 葡萄酒; 开胃酒; 米酒; 清酒; 汽酒; 黄酒; 甜酒; 食用酒精; 果酒</t>
  </si>
  <si>
    <t>功名露</t>
  </si>
  <si>
    <r>
      <t>北京玖野通天科技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</si>
  <si>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</t>
    </r>
  </si>
  <si>
    <t>台典臻伍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</si>
  <si>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露酒; 白酒; 米酒; 果酒;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</si>
  <si>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久巷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</si>
  <si>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青稞酒;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</si>
  <si>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庆叁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</si>
  <si>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庆叁</t>
    </r>
    <r>
      <rPr>
        <sz val="11"/>
        <color theme="1"/>
        <rFont val="ＭＳ Ｐゴシック"/>
        <family val="3"/>
        <charset val="128"/>
        <scheme val="minor"/>
      </rPr>
      <t>元文化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</si>
  <si>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</si>
  <si>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</si>
  <si>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</si>
  <si>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</si>
  <si>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山胖</t>
    </r>
  </si>
  <si>
    <r>
      <t>谊</t>
    </r>
    <r>
      <rPr>
        <sz val="11"/>
        <color theme="1"/>
        <rFont val="ＭＳ Ｐゴシック"/>
        <family val="3"/>
        <charset val="128"/>
        <scheme val="minor"/>
      </rPr>
      <t>嘉仁(杭州)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</si>
  <si>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</si>
  <si>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潮流子</t>
    </r>
    <r>
      <rPr>
        <sz val="11"/>
        <color theme="1"/>
        <rFont val="ＭＳ Ｐゴシック"/>
        <family val="3"/>
        <charset val="134"/>
        <scheme val="minor"/>
      </rPr>
      <t>弹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</si>
  <si>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苏华</t>
    </r>
    <r>
      <rPr>
        <sz val="11"/>
        <color theme="1"/>
        <rFont val="ＭＳ Ｐゴシック"/>
        <family val="3"/>
        <charset val="128"/>
        <scheme val="minor"/>
      </rPr>
      <t>糖商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</si>
  <si>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果酒;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</si>
  <si>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朝花江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</si>
  <si>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南聚冠网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</si>
  <si>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清酒（日本米酒）; 高粱酒;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露酒; 汽酒; 白酒; 葡萄酒; 果酒（含酒精）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</si>
  <si>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蹄盾</t>
    </r>
  </si>
  <si>
    <t>徐志勇</t>
  </si>
  <si>
    <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</si>
  <si>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t>桓桓如意</t>
  </si>
  <si>
    <r>
      <t>霖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（佛山）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</si>
  <si>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预调</t>
    </r>
    <r>
      <rPr>
        <sz val="11"/>
        <color theme="1"/>
        <rFont val="ＭＳ Ｐゴシック"/>
        <family val="3"/>
        <charset val="128"/>
        <scheme val="minor"/>
      </rPr>
      <t>甜酒; 白干酒（中国白酒）; 果酒; 白酒; 烈酒; 米酒; 苦艾酒;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</si>
  <si>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百般成</t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</si>
  <si>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</si>
  <si>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晋小谷</t>
  </si>
  <si>
    <t>李保金</t>
  </si>
  <si>
    <r>
      <t>果酒（含酒精）; 清酒（日本米酒）;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</si>
  <si>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清想</t>
  </si>
  <si>
    <r>
      <t>华择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</si>
  <si>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果酒（含酒精）;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</si>
  <si>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KA BOOM</t>
  </si>
  <si>
    <r>
      <t>曹圣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</si>
  <si>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米酒; 威士忌</t>
    </r>
  </si>
  <si>
    <t>雷夫子</t>
  </si>
  <si>
    <t>雷勇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</si>
  <si>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食用酒精; 白干酒（中国白酒）; 果酒</t>
    </r>
  </si>
  <si>
    <t>丰酷仙海</t>
  </si>
  <si>
    <r>
      <t>康小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</si>
  <si>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茴香酒;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果酒; 白酒;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</si>
  <si>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天侯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</si>
  <si>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</si>
  <si>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楼朱</t>
    </r>
    <r>
      <rPr>
        <sz val="11"/>
        <color theme="1"/>
        <rFont val="ＭＳ Ｐゴシック"/>
        <family val="3"/>
        <charset val="134"/>
        <scheme val="minor"/>
      </rPr>
      <t>军伟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</si>
  <si>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军伟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</si>
  <si>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</si>
  <si>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谷氏香事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</si>
  <si>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</si>
  <si>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火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</si>
  <si>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</si>
  <si>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米酒</t>
    </r>
  </si>
  <si>
    <t>粮逍遥</t>
  </si>
  <si>
    <r>
      <t>许</t>
    </r>
    <r>
      <rPr>
        <sz val="11"/>
        <color theme="1"/>
        <rFont val="ＭＳ Ｐゴシック"/>
        <family val="3"/>
        <charset val="128"/>
        <scheme val="minor"/>
      </rPr>
      <t>鑫******************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</si>
  <si>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威士忌;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</si>
  <si>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赤子</t>
    </r>
  </si>
  <si>
    <r>
      <t>深圳市大</t>
    </r>
    <r>
      <rPr>
        <sz val="11"/>
        <color theme="1"/>
        <rFont val="ＭＳ Ｐゴシック"/>
        <family val="3"/>
        <charset val="134"/>
        <scheme val="minor"/>
      </rPr>
      <t>鹍鹏贸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</si>
  <si>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朗姆酒;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</si>
  <si>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柔窖臻匠</t>
  </si>
  <si>
    <t>吴学丹</t>
  </si>
  <si>
    <r>
      <t>米酒; 黄酒;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</si>
  <si>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礼今朝</t>
  </si>
  <si>
    <t>李俊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</si>
  <si>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清酒（日本米酒）;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</si>
  <si>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峁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</si>
  <si>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</si>
  <si>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喜福</t>
    </r>
  </si>
  <si>
    <r>
      <t>何家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</si>
  <si>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白酒; 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</si>
  <si>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石喜亮</t>
  </si>
  <si>
    <r>
      <t xml:space="preserve">果酒（含酒精）;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</si>
  <si>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亭洪里</t>
  </si>
  <si>
    <r>
      <t>郑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谦</t>
    </r>
  </si>
  <si>
    <t>葡萄酒; 甘蔗制烈酒; 威士忌; 朗姆酒; 露酒; 白酒; 果酒（含酒精）; 米酒; 梅酒; 甜酒</t>
  </si>
  <si>
    <t>水月荷</t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</si>
  <si>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利口酒; 米酒; 白酒; 黄酒; 果酒（含酒精）</t>
    </r>
  </si>
  <si>
    <r>
      <t>酒久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</si>
  <si>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玖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捌捌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</si>
  <si>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</t>
    </r>
  </si>
  <si>
    <r>
      <t>情系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</si>
  <si>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>徐建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</si>
  <si>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</si>
  <si>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迎酒河</t>
  </si>
  <si>
    <r>
      <t>邓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</si>
  <si>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</si>
  <si>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綦小氿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</si>
  <si>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市渝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</si>
  <si>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</si>
  <si>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徽韵荷</t>
  </si>
  <si>
    <r>
      <t xml:space="preserve">果酒（含酒精）; 葡萄酒; 利口酒;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</si>
  <si>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t>伊流</t>
  </si>
  <si>
    <r>
      <t>安徽九五至尊酒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</si>
  <si>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</si>
  <si>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r>
      <t>此刻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</si>
  <si>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</t>
    </r>
  </si>
  <si>
    <r>
      <t>甬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</si>
  <si>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沈</t>
    </r>
    <r>
      <rPr>
        <sz val="11"/>
        <color theme="1"/>
        <rFont val="ＭＳ Ｐゴシック"/>
        <family val="3"/>
        <charset val="134"/>
        <scheme val="minor"/>
      </rPr>
      <t>维业</t>
    </r>
  </si>
  <si>
    <r>
      <t>葡萄酒; 杜松子酒;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</si>
  <si>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港</t>
    </r>
  </si>
  <si>
    <r>
      <t>湖口</t>
    </r>
    <r>
      <rPr>
        <sz val="11"/>
        <color theme="1"/>
        <rFont val="ＭＳ Ｐゴシック"/>
        <family val="3"/>
        <charset val="134"/>
        <scheme val="minor"/>
      </rPr>
      <t>县绿馐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</si>
  <si>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</si>
  <si>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甬湘醇</t>
  </si>
  <si>
    <r>
      <t>李</t>
    </r>
    <r>
      <rPr>
        <sz val="11"/>
        <color theme="1"/>
        <rFont val="ＭＳ Ｐゴシック"/>
        <family val="3"/>
        <charset val="134"/>
        <scheme val="minor"/>
      </rPr>
      <t>奋维</t>
    </r>
  </si>
  <si>
    <r>
      <t xml:space="preserve">白干酒（中国白酒）; 薄荷酒; 白酒; 果酒（含酒精）;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甜果酒</t>
    </r>
  </si>
  <si>
    <r>
      <t>崡</t>
    </r>
    <r>
      <rPr>
        <sz val="11"/>
        <color theme="1"/>
        <rFont val="ＭＳ Ｐゴシック"/>
        <family val="3"/>
        <charset val="129"/>
        <scheme val="minor"/>
      </rPr>
      <t>岥</t>
    </r>
    <r>
      <rPr>
        <sz val="11"/>
        <color theme="1"/>
        <rFont val="ＭＳ Ｐゴシック"/>
        <family val="3"/>
        <charset val="128"/>
        <scheme val="minor"/>
      </rPr>
      <t>岭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</si>
  <si>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庆银</t>
    </r>
    <r>
      <rPr>
        <sz val="11"/>
        <color theme="1"/>
        <rFont val="ＭＳ Ｐゴシック"/>
        <family val="3"/>
        <charset val="128"/>
        <scheme val="minor"/>
      </rPr>
      <t>聚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</si>
  <si>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</si>
  <si>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t>谷稀熬</t>
  </si>
  <si>
    <r>
      <t>茅箭区谷稀熬商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</si>
  <si>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高粱酒</t>
    </r>
  </si>
  <si>
    <r>
      <t>御小</t>
    </r>
    <r>
      <rPr>
        <sz val="11"/>
        <color theme="1"/>
        <rFont val="ＭＳ Ｐゴシック"/>
        <family val="3"/>
        <charset val="134"/>
        <scheme val="minor"/>
      </rPr>
      <t>锦</t>
    </r>
  </si>
  <si>
    <t>甜酒; 果酒（含酒精）; 白酒; 米酒; 葡萄酒; 梅酒; 朗姆酒; 伏特加酒; 黄酒; 清酒</t>
  </si>
  <si>
    <t>商量茶典</t>
  </si>
  <si>
    <r>
      <t>田国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</si>
  <si>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伏特加酒; 白酒; 果酒（含酒精）; 葡萄酒;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</si>
  <si>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天德盛</t>
  </si>
  <si>
    <r>
      <t>吉林粮食集</t>
    </r>
    <r>
      <rPr>
        <sz val="11"/>
        <color theme="1"/>
        <rFont val="ＭＳ Ｐゴシック"/>
        <family val="3"/>
        <charset val="134"/>
        <scheme val="minor"/>
      </rPr>
      <t>团酿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</si>
  <si>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白干酒（中国白酒）; 刺五加酒;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</t>
    </r>
  </si>
  <si>
    <t>芳卮</t>
  </si>
  <si>
    <r>
      <t>四川方寸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</si>
  <si>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青梅酒; 奶油利口酒; 白酒; 茴香酒（利口酒）; 葡萄酒; 黄酒;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草莓酒</t>
    </r>
  </si>
  <si>
    <t>邀零柒玖</t>
  </si>
  <si>
    <t>刘静</t>
  </si>
  <si>
    <r>
      <t>黄酒;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</si>
  <si>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然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</si>
  <si>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梨酒; 清酒（日本米酒）; 青稞酒; 露酒; 利口酒</t>
    </r>
  </si>
  <si>
    <t>鹿山河</t>
  </si>
  <si>
    <r>
      <t>董高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</si>
  <si>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米酒; 蜂蜜酒; 葡萄酒</t>
    </r>
  </si>
  <si>
    <t>沁韵天藏</t>
  </si>
  <si>
    <r>
      <t>王家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</si>
  <si>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苹果酒; 果酒（含酒精）;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</si>
  <si>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南北池</t>
  </si>
  <si>
    <r>
      <t>葡萄酒; 米酒; 黄酒; 高粱酒; 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</si>
  <si>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䬵康康养</t>
  </si>
  <si>
    <r>
      <t>广州艾康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</si>
  <si>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葡萄酒; 开胃酒;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果酒(含酒精)</t>
    </r>
  </si>
  <si>
    <t>滇魁花夫人</t>
  </si>
  <si>
    <r>
      <t>云南滇魁夫人商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</si>
  <si>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</t>
    </r>
  </si>
  <si>
    <t>彩韵荷</t>
  </si>
  <si>
    <r>
      <t>黄酒; 开胃酒; 米酒; 白酒; 葡萄酒;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</si>
  <si>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萫</t>
    </r>
    <r>
      <rPr>
        <sz val="11"/>
        <color theme="1"/>
        <rFont val="ＭＳ Ｐゴシック"/>
        <family val="3"/>
        <charset val="128"/>
        <scheme val="minor"/>
      </rPr>
      <t>善源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</si>
  <si>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</si>
  <si>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利口酒</t>
    </r>
  </si>
  <si>
    <t>舍到</t>
  </si>
  <si>
    <t>李俊萍******************</t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</si>
  <si>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</si>
  <si>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泰百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</si>
  <si>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冬惠</t>
    </r>
  </si>
  <si>
    <r>
      <t>梅酒;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</si>
  <si>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</si>
  <si>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齐设计</t>
    </r>
    <r>
      <rPr>
        <sz val="11"/>
        <color theme="1"/>
        <rFont val="ＭＳ Ｐゴシック"/>
        <family val="3"/>
        <charset val="128"/>
        <scheme val="minor"/>
      </rPr>
      <t>工程集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</si>
  <si>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</t>
    </r>
  </si>
  <si>
    <r>
      <t>淡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</si>
  <si>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成都黔川供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</si>
  <si>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</si>
  <si>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酉待</t>
  </si>
  <si>
    <r>
      <t>赵</t>
    </r>
    <r>
      <rPr>
        <sz val="11"/>
        <color theme="1"/>
        <rFont val="ＭＳ Ｐゴシック"/>
        <family val="3"/>
        <charset val="128"/>
        <scheme val="minor"/>
      </rPr>
      <t>加良</t>
    </r>
  </si>
  <si>
    <r>
      <t>食用酒精; 露酒; 清酒（日本米酒）;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</si>
  <si>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苁</t>
    </r>
    <r>
      <rPr>
        <sz val="11"/>
        <color theme="1"/>
        <rFont val="ＭＳ Ｐゴシック"/>
        <family val="3"/>
        <charset val="128"/>
        <scheme val="minor"/>
      </rPr>
      <t>草</t>
    </r>
  </si>
  <si>
    <r>
      <t>印象（阿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山）森林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</si>
  <si>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</si>
  <si>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风头</t>
  </si>
  <si>
    <r>
      <t xml:space="preserve">清酒; 露酒;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食用酒精; 果酒（含酒精）; 白酒; 白干酒（中国白酒）; 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</si>
  <si>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驱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</si>
  <si>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娃科技有限公司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</si>
  <si>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蜂蜜酒; 果酒（含酒精）; 薄荷酒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</si>
  <si>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</si>
  <si>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父</t>
    </r>
  </si>
  <si>
    <t>范朝阳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</si>
  <si>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果酒（含酒精）;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</si>
  <si>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易佰</t>
    </r>
    <r>
      <rPr>
        <sz val="11"/>
        <color theme="1"/>
        <rFont val="ＭＳ Ｐゴシック"/>
        <family val="3"/>
        <charset val="134"/>
        <scheme val="minor"/>
      </rPr>
      <t>亿链</t>
    </r>
    <r>
      <rPr>
        <sz val="11"/>
        <color theme="1"/>
        <rFont val="ＭＳ Ｐゴシック"/>
        <family val="3"/>
        <charset val="128"/>
        <scheme val="minor"/>
      </rPr>
      <t>通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</si>
  <si>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易佰</t>
    </r>
    <r>
      <rPr>
        <sz val="11"/>
        <color theme="1"/>
        <rFont val="ＭＳ Ｐゴシック"/>
        <family val="3"/>
        <charset val="134"/>
        <scheme val="minor"/>
      </rPr>
      <t>亿链</t>
    </r>
    <r>
      <rPr>
        <sz val="11"/>
        <color theme="1"/>
        <rFont val="ＭＳ Ｐゴシック"/>
        <family val="3"/>
        <charset val="128"/>
        <scheme val="minor"/>
      </rPr>
      <t>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</si>
  <si>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苹果酒; 白干酒（中国白酒）; 白酒; 黄酒</t>
    </r>
  </si>
  <si>
    <t>鹿中匠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</si>
  <si>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黄酒; 蜂蜜酒; 清酒（日本米酒）; 果酒（含酒精）</t>
    </r>
  </si>
  <si>
    <t>息台</t>
  </si>
  <si>
    <t>陈长远</t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</si>
  <si>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蒸煮提取物（利口酒和烈酒）; 清酒（日本米酒）; 果酒（含酒精）</t>
    </r>
  </si>
  <si>
    <t>蛮王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</si>
  <si>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州蛮王酒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</si>
  <si>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高粱酒; 梅酒;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</t>
    </r>
  </si>
  <si>
    <t>匠中君</t>
  </si>
  <si>
    <r>
      <t>胡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</si>
  <si>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白酒; 黄酒</t>
    </r>
  </si>
  <si>
    <t>深城都市</t>
  </si>
  <si>
    <r>
      <t>深圳市深商酒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</si>
  <si>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</si>
  <si>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魁留余</t>
    </r>
  </si>
  <si>
    <r>
      <t>果酒; 葡萄酒; 高粱酒; 米酒; 食用酒精; 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</si>
  <si>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百季</t>
    </r>
  </si>
  <si>
    <t>刘明洪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</si>
  <si>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梅酒; 黄酒; 葡萄酒; 果酒（含酒精）; 米酒; 清酒（日本米酒）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</si>
  <si>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尚利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</si>
  <si>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尚利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经销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</si>
  <si>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刺五加酒; 高粱酒;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蒸煮提取物（利口酒和烈酒）; 葡萄酒</t>
    </r>
  </si>
  <si>
    <t>皇恩岩</t>
  </si>
  <si>
    <r>
      <t>江西富硒生物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</si>
  <si>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葡萄酒</t>
    </r>
  </si>
  <si>
    <r>
      <t>万千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</si>
  <si>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定</t>
    </r>
    <r>
      <rPr>
        <sz val="11"/>
        <color theme="1"/>
        <rFont val="ＭＳ Ｐゴシック"/>
        <family val="3"/>
        <charset val="134"/>
        <scheme val="minor"/>
      </rPr>
      <t>远县</t>
    </r>
    <r>
      <rPr>
        <sz val="11"/>
        <color theme="1"/>
        <rFont val="ＭＳ Ｐゴシック"/>
        <family val="3"/>
        <charset val="128"/>
        <scheme val="minor"/>
      </rPr>
      <t>天聚商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</si>
  <si>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</si>
  <si>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宴醇</t>
    </r>
  </si>
  <si>
    <r>
      <t>刘金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</si>
  <si>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阿夸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特酒; 含酒精的苦味开胃酒; 阿蒙蒂拉多白葡萄酒;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</si>
  <si>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卓真喧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</si>
  <si>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州殿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</si>
  <si>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利口酒;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</si>
  <si>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韵辞</t>
  </si>
  <si>
    <t>伏特加酒; 果酒（含酒精）; 清酒; 甜酒; 葡萄酒; 米酒; 朗姆酒; 梅酒; 黄酒; 白酒</t>
  </si>
  <si>
    <t>蓬喜</t>
  </si>
  <si>
    <t>詹利平（******************）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</si>
  <si>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伏特加酒; 白酒</t>
    </r>
  </si>
  <si>
    <r>
      <t>攒</t>
    </r>
    <r>
      <rPr>
        <sz val="11"/>
        <color theme="1"/>
        <rFont val="ＭＳ Ｐゴシック"/>
        <family val="3"/>
        <charset val="128"/>
        <scheme val="minor"/>
      </rPr>
      <t>溪泉</t>
    </r>
  </si>
  <si>
    <r>
      <t>云南卓辰墨卿商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</si>
  <si>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 xml:space="preserve">酒; 白酒; 青梅酒;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</si>
  <si>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田园鹿</t>
  </si>
  <si>
    <r>
      <t>阜阳桃花源中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材有限公司</t>
    </r>
  </si>
  <si>
    <r>
      <t xml:space="preserve">葡萄潘趣酒; 白干酒（中国白酒）; 混合威士忌酒;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清酒（日本米酒）;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</si>
  <si>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大美膳谷</t>
  </si>
  <si>
    <t>河南大美生物科技股份有限公司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</si>
  <si>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利口酒; 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</si>
  <si>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翊泰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</si>
  <si>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明亮</t>
    </r>
  </si>
  <si>
    <r>
      <t xml:space="preserve">露酒;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</si>
  <si>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辈</t>
    </r>
    <r>
      <rPr>
        <sz val="11"/>
        <color theme="1"/>
        <rFont val="ＭＳ Ｐゴシック"/>
        <family val="3"/>
        <charset val="128"/>
        <scheme val="minor"/>
      </rPr>
      <t>佑</t>
    </r>
  </si>
  <si>
    <r>
      <t>广州云商圈网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</si>
  <si>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</si>
  <si>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卜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</si>
  <si>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t>岑富成</t>
  </si>
  <si>
    <r>
      <t xml:space="preserve">威士忌; 米酒; 朗姆酒;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</si>
  <si>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t>皖韵荷</t>
  </si>
  <si>
    <r>
      <t xml:space="preserve">利口酒; 食用酒精;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</si>
  <si>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燕幽</t>
  </si>
  <si>
    <r>
      <t>亳州云中溪酒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</si>
  <si>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葡萄酒;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威士忌</t>
    </r>
  </si>
  <si>
    <t>燕祖</t>
  </si>
  <si>
    <r>
      <t>伏特加酒; 青稞酒; 米酒; 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威士忌</t>
    </r>
  </si>
  <si>
    <r>
      <t>鹊</t>
    </r>
    <r>
      <rPr>
        <sz val="11"/>
        <color theme="1"/>
        <rFont val="ＭＳ Ｐゴシック"/>
        <family val="3"/>
        <charset val="128"/>
        <scheme val="minor"/>
      </rPr>
      <t>椿</t>
    </r>
  </si>
  <si>
    <t>王景芳</t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</si>
  <si>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蜂蜜酒; 米酒; 开胃酒;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</si>
  <si>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口大重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</si>
  <si>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</si>
  <si>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威士忌; 食用酒精; 黄酒;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</si>
  <si>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鼓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</si>
  <si>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展国</t>
    </r>
  </si>
  <si>
    <r>
      <t>青稞酒;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甜酒; 白酒</t>
    </r>
  </si>
  <si>
    <r>
      <t>众谷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</si>
  <si>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兴顺</t>
    </r>
    <r>
      <rPr>
        <sz val="11"/>
        <color theme="1"/>
        <rFont val="ＭＳ Ｐゴシック"/>
        <family val="3"/>
        <charset val="128"/>
        <scheme val="minor"/>
      </rPr>
      <t>（朝阳）米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</si>
  <si>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</si>
  <si>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赴月</t>
  </si>
  <si>
    <r>
      <t>蒋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</si>
  <si>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</si>
  <si>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帅</t>
    </r>
    <r>
      <rPr>
        <sz val="11"/>
        <color theme="1"/>
        <rFont val="ＭＳ Ｐゴシック"/>
        <family val="3"/>
        <charset val="128"/>
        <scheme val="minor"/>
      </rPr>
      <t>府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</si>
  <si>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贵满门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</si>
  <si>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利口酒;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果酒; 高粱酒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</si>
  <si>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涟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</si>
  <si>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>食用酒精; 利口酒; 白酒; 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</si>
  <si>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锦鱼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</si>
  <si>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 xml:space="preserve">利口酒; 果酒（含酒精）;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葡萄酒</t>
    </r>
  </si>
  <si>
    <r>
      <t>崮</t>
    </r>
    <r>
      <rPr>
        <sz val="11"/>
        <color theme="1"/>
        <rFont val="ＭＳ Ｐゴシック"/>
        <family val="3"/>
        <charset val="128"/>
        <scheme val="minor"/>
      </rPr>
      <t>特典藏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</si>
  <si>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沂沪醇百年商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</si>
  <si>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威士忌</t>
    </r>
  </si>
  <si>
    <r>
      <t>金品</t>
    </r>
    <r>
      <rPr>
        <sz val="11"/>
        <color theme="1"/>
        <rFont val="ＭＳ Ｐゴシック"/>
        <family val="3"/>
        <charset val="134"/>
        <scheme val="minor"/>
      </rPr>
      <t>缃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</si>
  <si>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 xml:space="preserve">利口酒;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</si>
  <si>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黛璐</t>
  </si>
  <si>
    <r>
      <t>戴</t>
    </r>
    <r>
      <rPr>
        <sz val="11"/>
        <color theme="1"/>
        <rFont val="ＭＳ Ｐゴシック"/>
        <family val="3"/>
        <charset val="134"/>
        <scheme val="minor"/>
      </rPr>
      <t>银环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</si>
  <si>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</si>
  <si>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吟庄</t>
  </si>
  <si>
    <r>
      <t>杨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</si>
  <si>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果酒（含酒精）; 葡萄酒; 米酒;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</si>
  <si>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狂</t>
    </r>
    <r>
      <rPr>
        <sz val="11"/>
        <color theme="1"/>
        <rFont val="ＭＳ Ｐゴシック"/>
        <family val="3"/>
        <charset val="134"/>
        <scheme val="minor"/>
      </rPr>
      <t>龙啸</t>
    </r>
  </si>
  <si>
    <r>
      <t>江西再出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</si>
  <si>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</si>
  <si>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厚雪科技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展（天津）有限公司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</si>
  <si>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</si>
  <si>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迎春雪</t>
  </si>
  <si>
    <r>
      <t>沃利莱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</si>
  <si>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朗姆酒; 果酒（含酒精）; 白酒; 葡萄酒; 威士忌</t>
    </r>
  </si>
  <si>
    <t>OETTINGER</t>
  </si>
  <si>
    <r>
      <t>欧廷格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</si>
  <si>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苦味酒;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杜松子酒</t>
    </r>
  </si>
  <si>
    <r>
      <t>嘉木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</si>
  <si>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</si>
  <si>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</si>
  <si>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火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</si>
  <si>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高粱酒;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</si>
  <si>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清酒（日本米酒）; 黄酒; 果酒（含酒精）; 米酒</t>
    </r>
  </si>
  <si>
    <t>舞高帝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</si>
  <si>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市山阴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</si>
  <si>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黄酒;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</si>
  <si>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傲慕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</si>
  <si>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钦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</si>
  <si>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</si>
  <si>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</si>
  <si>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手藏名</t>
  </si>
  <si>
    <r>
      <t>阎</t>
    </r>
    <r>
      <rPr>
        <sz val="11"/>
        <color theme="1"/>
        <rFont val="ＭＳ Ｐゴシック"/>
        <family val="3"/>
        <charset val="128"/>
        <scheme val="minor"/>
      </rPr>
      <t>淑新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</si>
  <si>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伏特加酒; 果酒（含酒精）; 果酒; 清酒（日本米酒）;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</si>
  <si>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池客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</si>
  <si>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</t>
    </r>
  </si>
  <si>
    <t>TUSFOE</t>
  </si>
  <si>
    <r>
      <t>北京寰盛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太供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</si>
  <si>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日本梅子酒;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白酒</t>
    </r>
  </si>
  <si>
    <t>蔡七公</t>
  </si>
  <si>
    <r>
      <t>利生食品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</si>
  <si>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白干酒（中国白酒）;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</si>
  <si>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聚福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</si>
  <si>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</si>
  <si>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 xml:space="preserve">威士忌;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</t>
    </r>
  </si>
  <si>
    <t>翁石醉</t>
  </si>
  <si>
    <t>莫心琳******************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</si>
  <si>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薄荷酒;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</t>
    </r>
  </si>
  <si>
    <t>淄渤</t>
  </si>
  <si>
    <r>
      <t>冯</t>
    </r>
    <r>
      <rPr>
        <sz val="11"/>
        <color theme="1"/>
        <rFont val="ＭＳ Ｐゴシック"/>
        <family val="3"/>
        <charset val="128"/>
        <scheme val="minor"/>
      </rPr>
      <t>振波*****************X</t>
    </r>
  </si>
  <si>
    <r>
      <t xml:space="preserve">果酒（含酒精）; 米酒;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</si>
  <si>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韩县</t>
    </r>
    <r>
      <rPr>
        <sz val="11"/>
        <color theme="1"/>
        <rFont val="ＭＳ Ｐゴシック"/>
        <family val="3"/>
        <charset val="128"/>
        <scheme val="minor"/>
      </rPr>
      <t>令</t>
    </r>
  </si>
  <si>
    <t>黄冬梅</t>
  </si>
  <si>
    <r>
      <t>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果酒; 烈酒; 米酒;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</si>
  <si>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无忌</t>
    </r>
  </si>
  <si>
    <t>李宝林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</si>
  <si>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</si>
  <si>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烈金</t>
    </r>
    <r>
      <rPr>
        <sz val="11"/>
        <color theme="1"/>
        <rFont val="ＭＳ Ｐゴシック"/>
        <family val="3"/>
        <charset val="134"/>
        <scheme val="minor"/>
      </rPr>
      <t>唠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</si>
  <si>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聪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</si>
  <si>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清酒;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食用酒精; 白干酒（中国白酒）;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黄酒; 青梅酒;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</si>
  <si>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启超少年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</si>
  <si>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吟白酒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</si>
  <si>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</si>
  <si>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尚青云</t>
  </si>
  <si>
    <r>
      <t>贺</t>
    </r>
    <r>
      <rPr>
        <sz val="11"/>
        <color theme="1"/>
        <rFont val="ＭＳ Ｐゴシック"/>
        <family val="3"/>
        <charset val="128"/>
        <scheme val="minor"/>
      </rPr>
      <t>忠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</si>
  <si>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开胃酒; 米酒; 威士忌; 白酒; 青稞酒;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果酒（含酒精）</t>
    </r>
  </si>
  <si>
    <r>
      <t>锦鹏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</si>
  <si>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门锦鹏</t>
    </r>
    <r>
      <rPr>
        <sz val="11"/>
        <color theme="1"/>
        <rFont val="ＭＳ Ｐゴシック"/>
        <family val="3"/>
        <charset val="128"/>
        <scheme val="minor"/>
      </rPr>
      <t>浩体育有限公司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</si>
  <si>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清酒</t>
    </r>
  </si>
  <si>
    <r>
      <t>故春</t>
    </r>
    <r>
      <rPr>
        <sz val="11"/>
        <color theme="1"/>
        <rFont val="ＭＳ Ｐゴシック"/>
        <family val="3"/>
        <charset val="134"/>
        <scheme val="minor"/>
      </rPr>
      <t>风</t>
    </r>
  </si>
  <si>
    <t>白酒; 黄酒; 伏特加酒; 果酒（含酒精）; 甜酒; 朗姆酒; 米酒; 葡萄酒; 清酒; 梅酒</t>
  </si>
  <si>
    <t>禧君德</t>
  </si>
  <si>
    <t>朗姆酒; 梅酒; 白酒; 葡萄酒; 果酒（含酒精）; 黄酒; 清酒; 米酒; 甜酒; 伏特加酒</t>
  </si>
  <si>
    <t>XFARM LAB</t>
  </si>
  <si>
    <r>
      <t>星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（上海）食品技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</si>
  <si>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米酒; 汽酒; 清酒</t>
    </r>
  </si>
  <si>
    <r>
      <t>婉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</si>
  <si>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</si>
  <si>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</si>
  <si>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王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</si>
  <si>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黄酒; 白酒;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</si>
  <si>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粮和樽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</si>
  <si>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</si>
  <si>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立心丹</t>
    </r>
    <r>
      <rPr>
        <sz val="11"/>
        <color theme="1"/>
        <rFont val="ＭＳ Ｐゴシック"/>
        <family val="3"/>
        <charset val="134"/>
        <scheme val="minor"/>
      </rPr>
      <t>庐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</si>
  <si>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丹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</si>
  <si>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威士忌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</si>
  <si>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悦生活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</si>
  <si>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投悦生活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</si>
  <si>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白酒; 葡萄酒; 酸酒（低等葡萄酒）; 食用酒精; 威士忌; 黄酒; 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蜂蜜酒; 青稞酒; 利口酒; 开胃酒;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</si>
  <si>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豫金丰</t>
    </r>
    <r>
      <rPr>
        <sz val="11"/>
        <color theme="1"/>
        <rFont val="ＭＳ Ｐゴシック"/>
        <family val="3"/>
        <charset val="134"/>
        <scheme val="minor"/>
      </rPr>
      <t>缘</t>
    </r>
  </si>
  <si>
    <t>杨继钗</t>
  </si>
  <si>
    <r>
      <t xml:space="preserve">开胃酒;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</si>
  <si>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骏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</si>
  <si>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宁博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</si>
  <si>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</si>
  <si>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杏岩</t>
  </si>
  <si>
    <r>
      <t>汾阳市德厚衍酒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</si>
  <si>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杜松子酒; 果酒（含酒精）;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</t>
    </r>
  </si>
  <si>
    <t>德厚衍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</si>
  <si>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杜松子酒; 利口酒; 开胃酒; 黄酒; 白酒</t>
    </r>
  </si>
  <si>
    <r>
      <t>缪</t>
    </r>
    <r>
      <rPr>
        <sz val="11"/>
        <color theme="1"/>
        <rFont val="ＭＳ Ｐゴシック"/>
        <family val="3"/>
        <charset val="128"/>
        <scheme val="minor"/>
      </rPr>
      <t>辞</t>
    </r>
  </si>
  <si>
    <t>朱宗平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</si>
  <si>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青稞酒; 果酒（含酒精）; 威士忌</t>
    </r>
  </si>
  <si>
    <r>
      <t>湖北源氏物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</si>
  <si>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t>果酒</t>
  </si>
  <si>
    <t>彩墨荷</t>
  </si>
  <si>
    <r>
      <t>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开胃酒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</si>
  <si>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</si>
  <si>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 xml:space="preserve">利口酒;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</si>
  <si>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中谷醉</t>
  </si>
  <si>
    <r>
      <t>公永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</si>
  <si>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汽酒;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</si>
  <si>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执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</si>
  <si>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清酒</t>
    </r>
  </si>
  <si>
    <r>
      <t>河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</si>
  <si>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</si>
  <si>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</si>
  <si>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徽范</t>
  </si>
  <si>
    <r>
      <t xml:space="preserve">伏特加酒; 果酒（含酒精）;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</si>
  <si>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妙水荷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</si>
  <si>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果酒（含酒精）;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利口酒</t>
    </r>
  </si>
  <si>
    <t>挺惠享</t>
  </si>
  <si>
    <r>
      <t>广西挺惠享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</si>
  <si>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高粱酒; 葡萄酒; 黄酒; 白酒; 青稞酒; 果酒</t>
    </r>
  </si>
  <si>
    <r>
      <t>贞观</t>
    </r>
    <r>
      <rPr>
        <sz val="11"/>
        <color theme="1"/>
        <rFont val="ＭＳ Ｐゴシック"/>
        <family val="3"/>
        <charset val="128"/>
        <scheme val="minor"/>
      </rPr>
      <t>圣旨</t>
    </r>
  </si>
  <si>
    <r>
      <t>葡萄酒; 米酒;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</si>
  <si>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欧庭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</si>
  <si>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利口酒; 苦味酒;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</si>
  <si>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蛋韵酒庄</t>
  </si>
  <si>
    <r>
      <t>广州市嘉朋企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</si>
  <si>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青稞酒; 葡萄酒; 白酒</t>
    </r>
  </si>
  <si>
    <t>酒念不忘</t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</si>
  <si>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果酒（含酒精）</t>
    </r>
  </si>
  <si>
    <t>沁韵雅藏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</si>
  <si>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苹果酒;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</si>
  <si>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弘知</t>
  </si>
  <si>
    <r>
      <t>七星（厦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</si>
  <si>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白酒</t>
    </r>
  </si>
  <si>
    <t>SOLUMENT</t>
  </si>
  <si>
    <r>
      <t>河南省</t>
    </r>
    <r>
      <rPr>
        <sz val="11"/>
        <color theme="1"/>
        <rFont val="ＭＳ Ｐゴシック"/>
        <family val="3"/>
        <charset val="134"/>
        <scheme val="minor"/>
      </rPr>
      <t>饮领酿</t>
    </r>
    <r>
      <rPr>
        <sz val="11"/>
        <color theme="1"/>
        <rFont val="ＭＳ Ｐゴシック"/>
        <family val="3"/>
        <charset val="128"/>
        <scheme val="minor"/>
      </rPr>
      <t>酒科技有限公司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</si>
  <si>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烈酒; 露酒; 白酒; 米酒; 葡萄酒; 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</si>
  <si>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春水荷</t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</si>
  <si>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白酒; 黄酒; 食用酒精; 果酒（含酒精）</t>
    </r>
  </si>
  <si>
    <t>碧水荷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</si>
  <si>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葡萄酒; 白酒; 果酒（含酒精）; 开胃酒; 米酒</t>
    </r>
  </si>
  <si>
    <r>
      <t>崮</t>
    </r>
    <r>
      <rPr>
        <sz val="11"/>
        <color theme="1"/>
        <rFont val="ＭＳ Ｐゴシック"/>
        <family val="3"/>
        <charset val="128"/>
        <scheme val="minor"/>
      </rPr>
      <t>韵道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</si>
  <si>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</si>
  <si>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芊草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</si>
  <si>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梓烘******************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</si>
  <si>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</si>
  <si>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马赟</t>
    </r>
  </si>
  <si>
    <r>
      <t>四川新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</si>
  <si>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</si>
  <si>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箱善潭</t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</si>
  <si>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</si>
  <si>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中情</t>
    </r>
  </si>
  <si>
    <r>
      <t>慈溪市</t>
    </r>
    <r>
      <rPr>
        <sz val="11"/>
        <color theme="1"/>
        <rFont val="ＭＳ Ｐゴシック"/>
        <family val="3"/>
        <charset val="134"/>
        <scheme val="minor"/>
      </rPr>
      <t>浒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城烟酒商行</t>
    </r>
  </si>
  <si>
    <r>
      <t>黄酒;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果酒（含酒精）; 葡萄酒</t>
    </r>
  </si>
  <si>
    <r>
      <t>YJFN 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福娜</t>
    </r>
  </si>
  <si>
    <t>何述刊******************</t>
  </si>
  <si>
    <r>
      <t>葡萄酒; 果酒（含酒精）;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</si>
  <si>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掩耳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</si>
  <si>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辰苒科技有限公司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</si>
  <si>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</si>
  <si>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古今酒中仙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</si>
  <si>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葡萄酒;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</si>
  <si>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福宁寨祥康</t>
  </si>
  <si>
    <r>
      <t>蔡壮</t>
    </r>
    <r>
      <rPr>
        <sz val="11"/>
        <color theme="1"/>
        <rFont val="ＭＳ Ｐゴシック"/>
        <family val="3"/>
        <charset val="134"/>
        <scheme val="minor"/>
      </rPr>
      <t>铄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</si>
  <si>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葡萄酒; 青稞酒; 露酒; 威士忌;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</si>
  <si>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山登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</si>
  <si>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米酒; 葡萄酒; 伏特加酒;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</t>
    </r>
  </si>
  <si>
    <t>沐谷吉那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</si>
  <si>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州沐谷食品有限公司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</si>
  <si>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高粱酒</t>
    </r>
  </si>
  <si>
    <t>春江荷</t>
  </si>
  <si>
    <r>
      <t xml:space="preserve">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开胃酒; 葡萄酒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</si>
  <si>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</si>
  <si>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蜂蜜酒; 伏特加酒; 黄酒;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葡萄酒</t>
    </r>
  </si>
  <si>
    <t>酒小双</t>
  </si>
  <si>
    <t>卢莹</t>
  </si>
  <si>
    <r>
      <t>黄酒; 清酒（日本米酒）;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葡萄酒; 白酒; 果酒（含酒精）</t>
    </r>
  </si>
  <si>
    <t>江煤王台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</si>
  <si>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州百年黔庄酒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</si>
  <si>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</si>
  <si>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君屹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</si>
  <si>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浙江君屹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</si>
  <si>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米酒; 果酒;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黄酒</t>
    </r>
  </si>
  <si>
    <r>
      <t>玫</t>
    </r>
    <r>
      <rPr>
        <sz val="11"/>
        <color theme="1"/>
        <rFont val="ＭＳ Ｐゴシック"/>
        <family val="3"/>
        <charset val="134"/>
        <scheme val="minor"/>
      </rPr>
      <t>斓</t>
    </r>
    <r>
      <rPr>
        <sz val="11"/>
        <color theme="1"/>
        <rFont val="ＭＳ Ｐゴシック"/>
        <family val="3"/>
        <charset val="128"/>
        <scheme val="minor"/>
      </rPr>
      <t>尼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</si>
  <si>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</si>
  <si>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</si>
  <si>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超凡之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</si>
  <si>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中浦耐杯(北京)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</si>
  <si>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烈性干酒</t>
    </r>
  </si>
  <si>
    <t>玉那草</t>
  </si>
  <si>
    <r>
      <t>李会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</si>
  <si>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青稞酒; 高粱酒; 食用酒精;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</si>
  <si>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水彩荷</t>
  </si>
  <si>
    <r>
      <t>果酒（含酒精）;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利口酒; 食用酒精</t>
    </r>
  </si>
  <si>
    <r>
      <t>芗</t>
    </r>
    <r>
      <rPr>
        <sz val="11"/>
        <color theme="1"/>
        <rFont val="ＭＳ Ｐゴシック"/>
        <family val="3"/>
        <charset val="128"/>
        <scheme val="minor"/>
      </rPr>
      <t>善玉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</si>
  <si>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黄酒;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</t>
    </r>
  </si>
  <si>
    <t>水灵荷</t>
  </si>
  <si>
    <r>
      <t>黄酒; 食用酒精; 开胃酒;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利口酒</t>
    </r>
  </si>
  <si>
    <t>水天荷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</si>
  <si>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利口酒; 食用酒精;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</si>
  <si>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九文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</si>
  <si>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</si>
  <si>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黄酒; 伏特加酒;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</si>
  <si>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意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</si>
  <si>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</si>
  <si>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果酒（含酒精）; 清酒;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</t>
    </r>
  </si>
  <si>
    <t>美人荷</t>
  </si>
  <si>
    <r>
      <t>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利口酒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</si>
  <si>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清酒（日本米酒）; 黄酒</t>
    </r>
  </si>
  <si>
    <t>慧而丰</t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</si>
  <si>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市永昌工</t>
    </r>
    <r>
      <rPr>
        <sz val="11"/>
        <color theme="1"/>
        <rFont val="ＭＳ Ｐゴシック"/>
        <family val="3"/>
        <charset val="134"/>
        <scheme val="minor"/>
      </rPr>
      <t>艺织</t>
    </r>
    <r>
      <rPr>
        <sz val="11"/>
        <color theme="1"/>
        <rFont val="ＭＳ Ｐゴシック"/>
        <family val="3"/>
        <charset val="128"/>
        <scheme val="minor"/>
      </rPr>
      <t>造厂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</si>
  <si>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</t>
    </r>
  </si>
  <si>
    <t>代德文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</si>
  <si>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白酒; 酸酒（低等葡萄酒）;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</si>
  <si>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徽瑞</t>
  </si>
  <si>
    <r>
      <t>段志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</si>
  <si>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伏特加酒;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威士忌; 果酒（含酒精）; 青稞酒;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</si>
  <si>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楚祖</t>
  </si>
  <si>
    <r>
      <t xml:space="preserve">青稞酒;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果酒（含酒精）;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</si>
  <si>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t>路酩大班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</si>
  <si>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州路酩酒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</si>
  <si>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米酒; 白酒;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香型）;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</si>
  <si>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铮阁轩</t>
  </si>
  <si>
    <r>
      <t>揭阳市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宏祥石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</si>
  <si>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朗姆酒;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</t>
    </r>
  </si>
  <si>
    <t>瑞夫卡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</si>
  <si>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葡萄酒; 伏特加酒; 威士忌; 开胃酒; 白酒; 朗姆酒</t>
    </r>
  </si>
  <si>
    <t>巍瞩</t>
  </si>
  <si>
    <t>袁程旭</t>
  </si>
  <si>
    <r>
      <t>清酒（日本米酒）; 米酒; 葡萄酒; 威士忌;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</si>
  <si>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深圳市大果文化有限公司</t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</si>
  <si>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</si>
  <si>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养堂</t>
    </r>
  </si>
  <si>
    <r>
      <t>庄</t>
    </r>
    <r>
      <rPr>
        <sz val="11"/>
        <color theme="1"/>
        <rFont val="ＭＳ Ｐゴシック"/>
        <family val="3"/>
        <charset val="134"/>
        <scheme val="minor"/>
      </rPr>
      <t>鹏</t>
    </r>
  </si>
  <si>
    <t>开胃酒; 甜酒; 白酒; 果酒; 黄酒; 葡萄酒; 米酒; 食用酒精; 汽酒; 清酒</t>
  </si>
  <si>
    <r>
      <t>澳智法小天</t>
    </r>
    <r>
      <rPr>
        <sz val="11"/>
        <color theme="1"/>
        <rFont val="ＭＳ Ｐゴシック"/>
        <family val="3"/>
        <charset val="134"/>
        <scheme val="minor"/>
      </rPr>
      <t>鹅</t>
    </r>
  </si>
  <si>
    <t>田涛</t>
  </si>
  <si>
    <r>
      <t>威士忌; 利口酒;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</si>
  <si>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路酩十五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</si>
  <si>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白酒;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</t>
    </r>
  </si>
  <si>
    <t>月下眉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</si>
  <si>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市隔壁子酒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</si>
  <si>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汽酒;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黄酒; 清酒</t>
    </r>
  </si>
  <si>
    <t>嫡臻</t>
  </si>
  <si>
    <r>
      <t>李明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</si>
  <si>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</t>
    </r>
  </si>
  <si>
    <t>斯米伽</t>
  </si>
  <si>
    <r>
      <t>纪庆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</si>
  <si>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 xml:space="preserve">威士忌; 白酒; 开胃酒; 葡萄酒; 果酒; 朗姆酒;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</si>
  <si>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古珍今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</si>
  <si>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>福州水火吉吉文化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</si>
  <si>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</si>
  <si>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雁溪谷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</si>
  <si>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粮糠源商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</si>
  <si>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</t>
    </r>
  </si>
  <si>
    <r>
      <t>鑫御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承露</t>
    </r>
  </si>
  <si>
    <r>
      <t>北京森杰文化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</si>
  <si>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葡萄酒</t>
    </r>
  </si>
  <si>
    <t>TYDO</t>
  </si>
  <si>
    <r>
      <t>美</t>
    </r>
    <r>
      <rPr>
        <sz val="11"/>
        <color theme="1"/>
        <rFont val="ＭＳ Ｐゴシック"/>
        <family val="3"/>
        <charset val="134"/>
        <scheme val="minor"/>
      </rPr>
      <t>领钛</t>
    </r>
    <r>
      <rPr>
        <sz val="11"/>
        <color theme="1"/>
        <rFont val="ＭＳ Ｐゴシック"/>
        <family val="3"/>
        <charset val="128"/>
        <scheme val="minor"/>
      </rPr>
      <t>度文化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展（佛山）有限公司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</si>
  <si>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威士忌; 米酒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</si>
  <si>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见邻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</si>
  <si>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阳市国有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管理公司</t>
    </r>
  </si>
  <si>
    <r>
      <t xml:space="preserve">清酒（日本米酒）; 汽酒; 葡萄酒;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</si>
  <si>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帝来藏</t>
  </si>
  <si>
    <t>郎山陵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</si>
  <si>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烈酒; 果酒（含酒精）; 清酒（日本米酒）</t>
    </r>
  </si>
  <si>
    <r>
      <t>洽知</t>
    </r>
    <r>
      <rPr>
        <sz val="11"/>
        <color theme="1"/>
        <rFont val="ＭＳ Ｐゴシック"/>
        <family val="3"/>
        <charset val="134"/>
        <scheme val="minor"/>
      </rPr>
      <t>鲜</t>
    </r>
  </si>
  <si>
    <t>李猛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</si>
  <si>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葡萄酒; 黄酒</t>
    </r>
  </si>
  <si>
    <t>卿得多</t>
  </si>
  <si>
    <t>范睿</t>
  </si>
  <si>
    <r>
      <t>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</si>
  <si>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响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</si>
  <si>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秀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</si>
  <si>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清酒（日本米酒）; 威士忌</t>
    </r>
  </si>
  <si>
    <t>翻海印 酒</t>
  </si>
  <si>
    <r>
      <t>张</t>
    </r>
    <r>
      <rPr>
        <sz val="11"/>
        <color theme="1"/>
        <rFont val="ＭＳ Ｐゴシック"/>
        <family val="3"/>
        <charset val="128"/>
        <scheme val="minor"/>
      </rPr>
      <t>珊珊</t>
    </r>
  </si>
  <si>
    <r>
      <t xml:space="preserve">白酒;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</si>
  <si>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天地</t>
    </r>
    <r>
      <rPr>
        <sz val="11"/>
        <color theme="1"/>
        <rFont val="ＭＳ Ｐゴシック"/>
        <family val="3"/>
        <charset val="134"/>
        <scheme val="minor"/>
      </rPr>
      <t>趸</t>
    </r>
  </si>
  <si>
    <r>
      <t>河南省混元灵通文化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</si>
  <si>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露酒;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食用酒精; 葡萄酒; 果酒; 汽酒</t>
    </r>
  </si>
  <si>
    <t>ZHZQX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</si>
  <si>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市韵魂酒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</si>
  <si>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米酒</t>
    </r>
  </si>
  <si>
    <r>
      <t>洞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芳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</si>
  <si>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而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</si>
  <si>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米酒; 露酒; 果酒; 烈酒; 白酒; 高粱酒;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</si>
  <si>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鼎格玖</t>
    </r>
    <r>
      <rPr>
        <sz val="11"/>
        <color theme="1"/>
        <rFont val="ＭＳ Ｐゴシック"/>
        <family val="3"/>
        <charset val="134"/>
        <scheme val="minor"/>
      </rPr>
      <t>烨</t>
    </r>
  </si>
  <si>
    <t>王洪新</t>
  </si>
  <si>
    <r>
      <t xml:space="preserve">五加皮酒（中国混合烈酒）; 白酒; 白干酒（中国白酒）; 果酒; 高粱酒; 刺五加酒;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</si>
  <si>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江南不南</t>
  </si>
  <si>
    <r>
      <t>冯</t>
    </r>
    <r>
      <rPr>
        <sz val="11"/>
        <color theme="1"/>
        <rFont val="ＭＳ Ｐゴシック"/>
        <family val="3"/>
        <charset val="128"/>
        <scheme val="minor"/>
      </rPr>
      <t>呈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</si>
  <si>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 xml:space="preserve">果酒（含酒精）; 伏特加酒;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</si>
  <si>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玉星二</t>
  </si>
  <si>
    <r>
      <t>张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</si>
  <si>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</t>
    </r>
  </si>
  <si>
    <t>玉星工</t>
  </si>
  <si>
    <r>
      <t>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烈酒; 食用酒精</t>
    </r>
  </si>
  <si>
    <t>麻叔</t>
  </si>
  <si>
    <t>麻昌祝</t>
  </si>
  <si>
    <r>
      <t xml:space="preserve">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</t>
    </r>
  </si>
  <si>
    <t>米洛一品</t>
  </si>
  <si>
    <r>
      <t>米洛（广州）国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</si>
  <si>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果酒（含酒精）; 白干酒（中国白酒）; 威士忌;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</si>
  <si>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湘有你科技有限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</si>
  <si>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</si>
  <si>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果</t>
    </r>
    <r>
      <rPr>
        <sz val="11"/>
        <color theme="1"/>
        <rFont val="ＭＳ Ｐゴシック"/>
        <family val="3"/>
        <charset val="134"/>
        <scheme val="minor"/>
      </rPr>
      <t>绪</t>
    </r>
  </si>
  <si>
    <t>黄林</t>
  </si>
  <si>
    <r>
      <t>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</si>
  <si>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星斗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</si>
  <si>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众特雅酒庄有限公司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</si>
  <si>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黄酒; 白酒;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</si>
  <si>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</si>
  <si>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西益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元生物科技有限公司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</si>
  <si>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高粱酒; 露酒</t>
    </r>
  </si>
  <si>
    <r>
      <t>惊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</si>
  <si>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果酒（含酒精）; 白酒; 葡萄酒; 汽酒; 烈酒</t>
    </r>
  </si>
  <si>
    <t>FOUR SIGHT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</si>
  <si>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四季天成食品有限公司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</si>
  <si>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白酒; 葡萄酒;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</si>
  <si>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又一池</t>
  </si>
  <si>
    <t>周梅</t>
  </si>
  <si>
    <t>清酒; 食用酒精; 黄酒; 开胃酒; 白酒; 米酒; 葡萄酒; 果酒; 汽酒; 甜酒</t>
  </si>
  <si>
    <t>DARGOAL</t>
  </si>
  <si>
    <r>
      <t>清酒（日本米酒）; 威士忌; 米酒; 白酒;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</si>
  <si>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禾木灶韵</t>
  </si>
  <si>
    <t>唐金田</t>
  </si>
  <si>
    <r>
      <t xml:space="preserve">薄荷酒;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果酒（含酒精）; 威士忌</t>
    </r>
  </si>
  <si>
    <t>百卡特</t>
  </si>
  <si>
    <r>
      <t>伏特加酒;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果酒（含酒精）; 朗姆酒; 葡萄酒; 开胃酒</t>
    </r>
  </si>
  <si>
    <t>那拉提·蜜悦</t>
  </si>
  <si>
    <r>
      <t>伊犁酒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</si>
  <si>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高粱酒; 苹果酒; 葡萄酒; 蜂蜜酒</t>
    </r>
  </si>
  <si>
    <t>洛尚堡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</si>
  <si>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果酒（含酒精）; 朗姆酒;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葡萄酒</t>
    </r>
  </si>
  <si>
    <r>
      <t>掼</t>
    </r>
    <r>
      <rPr>
        <sz val="11"/>
        <color theme="1"/>
        <rFont val="ＭＳ Ｐゴシック"/>
        <family val="3"/>
        <charset val="128"/>
        <scheme val="minor"/>
      </rPr>
      <t>博士</t>
    </r>
  </si>
  <si>
    <r>
      <t>中雄建安科技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展（北京）有限公司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</si>
  <si>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汽酒;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</si>
  <si>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t>盛舞盛世</t>
  </si>
  <si>
    <t>常圣武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</si>
  <si>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白酒</t>
    </r>
  </si>
  <si>
    <r>
      <t>源一享·易田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</si>
  <si>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源一享供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管理（北京）有限公司</t>
    </r>
  </si>
  <si>
    <r>
      <t>汽酒; 开胃酒;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</si>
  <si>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三江義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</si>
  <si>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</si>
  <si>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斛老板</t>
  </si>
  <si>
    <t>上海谷燃健康科技有限公司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</si>
  <si>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清酒;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</si>
  <si>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沙珍</t>
    </r>
  </si>
  <si>
    <t>范二妮</t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</si>
  <si>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果酒（含酒精）;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</si>
  <si>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红颜</t>
    </r>
  </si>
  <si>
    <t>内蒙古蓉世家生物科技有限公司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</si>
  <si>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青梅酒; 高粱酒; 果酒（含酒精）; 露酒; 果酒; 白酒; 葡萄酒; 利口酒; 开胃酒</t>
    </r>
  </si>
  <si>
    <r>
      <t>敦</t>
    </r>
    <r>
      <rPr>
        <sz val="11"/>
        <color theme="1"/>
        <rFont val="ＭＳ Ｐゴシック"/>
        <family val="3"/>
        <charset val="134"/>
        <scheme val="minor"/>
      </rPr>
      <t>软</t>
    </r>
    <r>
      <rPr>
        <sz val="11"/>
        <color theme="1"/>
        <rFont val="ＭＳ Ｐゴシック"/>
        <family val="3"/>
        <charset val="128"/>
        <scheme val="minor"/>
      </rPr>
      <t>蹬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</si>
  <si>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州科瑞森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材有限公司</t>
    </r>
  </si>
  <si>
    <r>
      <t>干型苹果酒;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果酒; 白葡萄酒;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</si>
  <si>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太公</t>
    </r>
  </si>
  <si>
    <r>
      <t>任燕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</si>
  <si>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</si>
  <si>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渊健</t>
  </si>
  <si>
    <r>
      <t>浙江渊健生物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</si>
  <si>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餐后酒（利口酒和烈酒）;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</si>
  <si>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盛世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</si>
  <si>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希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</si>
  <si>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米酒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</si>
  <si>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.四季</t>
    </r>
  </si>
  <si>
    <r>
      <t>阜宁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阜城</t>
    </r>
    <r>
      <rPr>
        <sz val="11"/>
        <color theme="1"/>
        <rFont val="ＭＳ Ｐゴシック"/>
        <family val="3"/>
        <charset val="134"/>
        <scheme val="minor"/>
      </rPr>
      <t>时时鲜</t>
    </r>
    <r>
      <rPr>
        <sz val="11"/>
        <color theme="1"/>
        <rFont val="ＭＳ Ｐゴシック"/>
        <family val="3"/>
        <charset val="128"/>
        <scheme val="minor"/>
      </rPr>
      <t>水果店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</si>
  <si>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蜂蜜酒;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苹果酒;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</si>
  <si>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望君来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</si>
  <si>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</t>
    </r>
  </si>
  <si>
    <r>
      <t>高帝千喜</t>
    </r>
    <r>
      <rPr>
        <sz val="11"/>
        <color theme="1"/>
        <rFont val="ＭＳ Ｐゴシック"/>
        <family val="3"/>
        <charset val="134"/>
        <scheme val="minor"/>
      </rPr>
      <t>门</t>
    </r>
  </si>
  <si>
    <t>江佳涛</t>
  </si>
  <si>
    <r>
      <t>黄酒; 伏特加酒;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</si>
  <si>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自由吟</t>
  </si>
  <si>
    <t>文亮平</t>
  </si>
  <si>
    <t>汽酒; 开胃酒; 米酒; 果酒; 食用酒精; 葡萄酒; 黄酒; 甜酒; 白酒; 清酒</t>
  </si>
  <si>
    <t>禹治空明</t>
  </si>
  <si>
    <r>
      <t>四川禹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</si>
  <si>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米酒; 葡萄酒; 黄酒; 白酒</t>
    </r>
  </si>
  <si>
    <t>薯小悦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</si>
  <si>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东肽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</si>
  <si>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威士忌; 烈酒; 白酒;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</si>
  <si>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四窖潭</t>
  </si>
  <si>
    <r>
      <t>黄酒; 烈酒;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</si>
  <si>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</si>
  <si>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果酒（含酒精）; 威士忌; 伏特加酒; 葡萄酒; 白酒</t>
    </r>
  </si>
  <si>
    <t>李明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</si>
  <si>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开胃酒; 白酒; 果酒（含酒精）;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</si>
  <si>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恺</t>
    </r>
    <r>
      <rPr>
        <sz val="11"/>
        <color theme="1"/>
        <rFont val="ＭＳ Ｐゴシック"/>
        <family val="3"/>
        <charset val="128"/>
        <scheme val="minor"/>
      </rPr>
      <t>斯堡天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园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</si>
  <si>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</si>
  <si>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意千年</t>
  </si>
  <si>
    <r>
      <t>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米酒; 清酒; 黄酒</t>
    </r>
  </si>
  <si>
    <r>
      <t>奔宏食品商</t>
    </r>
    <r>
      <rPr>
        <sz val="11"/>
        <color theme="1"/>
        <rFont val="ＭＳ Ｐゴシック"/>
        <family val="3"/>
        <charset val="134"/>
        <scheme val="minor"/>
      </rPr>
      <t>贸</t>
    </r>
  </si>
  <si>
    <r>
      <t>织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奔宏食品商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</si>
  <si>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含酒精的气泡水; 杜松子酒;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威士忌</t>
    </r>
  </si>
  <si>
    <r>
      <t>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</si>
  <si>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培</t>
    </r>
  </si>
  <si>
    <r>
      <t>食用酒精; 蜂蜜酒; 白酒; 米酒; 黄酒;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</si>
  <si>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紫金黄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</si>
  <si>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葡萄酒; 威士忌; 黄酒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</si>
  <si>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西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</si>
  <si>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</si>
  <si>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果酒（含酒精）; 白酒; 清酒（日本米酒）; 葡萄酒; 黄酒; 米酒; 蒸煮提取物（利口酒和烈酒）; 开胃酒</t>
    </r>
  </si>
  <si>
    <r>
      <t>扶香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</si>
  <si>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</si>
  <si>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 xml:space="preserve">白酒; 食用酒精;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</t>
    </r>
  </si>
  <si>
    <r>
      <t>柳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木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</si>
  <si>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华图</t>
    </r>
    <r>
      <rPr>
        <sz val="11"/>
        <color theme="1"/>
        <rFont val="ＭＳ Ｐゴシック"/>
        <family val="3"/>
        <charset val="128"/>
        <scheme val="minor"/>
      </rPr>
      <t>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品科技有限公司</t>
    </r>
  </si>
  <si>
    <r>
      <t>开胃酒; 米酒;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</si>
  <si>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坝</t>
    </r>
    <r>
      <rPr>
        <sz val="11"/>
        <color theme="1"/>
        <rFont val="ＭＳ Ｐゴシック"/>
        <family val="3"/>
        <charset val="128"/>
        <scheme val="minor"/>
      </rPr>
      <t>寨印象</t>
    </r>
  </si>
  <si>
    <t>姚登忠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</si>
  <si>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白酒; 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</si>
  <si>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朵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</si>
  <si>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邓钦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</si>
  <si>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梨酒; 梅酒;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</si>
  <si>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唐州宴</t>
  </si>
  <si>
    <r>
      <t>河南省南阳关酒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</si>
  <si>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米酒; 青稞酒;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果酒（含酒精）</t>
    </r>
  </si>
  <si>
    <r>
      <t>趣</t>
    </r>
    <r>
      <rPr>
        <sz val="11"/>
        <color theme="1"/>
        <rFont val="ＭＳ Ｐゴシック"/>
        <family val="3"/>
        <charset val="134"/>
        <scheme val="minor"/>
      </rPr>
      <t>寻风</t>
    </r>
    <r>
      <rPr>
        <sz val="11"/>
        <color theme="1"/>
        <rFont val="ＭＳ Ｐゴシック"/>
        <family val="3"/>
        <charset val="128"/>
        <scheme val="minor"/>
      </rPr>
      <t>土</t>
    </r>
  </si>
  <si>
    <r>
      <t>四川慢工酒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</si>
  <si>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甜酒; 白酒; 食用酒精; 米酒</t>
    </r>
  </si>
  <si>
    <t>宋元酩清</t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</si>
  <si>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</si>
  <si>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黄酒; 清酒（日本米酒）;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</si>
  <si>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匠厂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</si>
  <si>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威士忌; 米酒; 伏特加酒; 果酒（含酒精）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</si>
  <si>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伊斯</t>
    </r>
  </si>
  <si>
    <r>
      <t>艾弗艾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</si>
  <si>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起泡白葡萄酒; 葡萄汽酒; 杜松子酒; 天然汽酒; 伏特加酒; 水果汽酒;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</si>
  <si>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京台梦界</t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</si>
  <si>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</si>
  <si>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白干酒（中国白酒）;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</si>
  <si>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葛亮躬耕地</t>
    </r>
  </si>
  <si>
    <r>
      <t>南阳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</si>
  <si>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</si>
  <si>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侬</t>
    </r>
    <r>
      <rPr>
        <sz val="11"/>
        <color theme="1"/>
        <rFont val="ＭＳ Ｐゴシック"/>
        <family val="3"/>
        <charset val="128"/>
        <scheme val="minor"/>
      </rPr>
      <t>言</t>
    </r>
    <r>
      <rPr>
        <sz val="11"/>
        <color theme="1"/>
        <rFont val="ＭＳ Ｐゴシック"/>
        <family val="3"/>
        <charset val="134"/>
        <scheme val="minor"/>
      </rPr>
      <t>软语</t>
    </r>
  </si>
  <si>
    <r>
      <t xml:space="preserve">果酒（含酒精）; 清酒;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</si>
  <si>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高帝仟囍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</si>
  <si>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</si>
  <si>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三不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</si>
  <si>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镇传统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</si>
  <si>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利口酒; 米酒;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</si>
  <si>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佬爹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</si>
  <si>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升</t>
    </r>
  </si>
  <si>
    <r>
      <t xml:space="preserve">葡萄酒; 薄荷酒;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</si>
  <si>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t>拾牌山</t>
  </si>
  <si>
    <r>
      <t>广宁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塘下酒厂</t>
    </r>
  </si>
  <si>
    <r>
      <t>黄酒; 高粱酒; 果酒（含酒精）; 食用酒精; 葡萄酒;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</si>
  <si>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房州悦</t>
  </si>
  <si>
    <r>
      <t>含酒精的气泡水; 黄酒; 开胃酒;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</t>
    </r>
  </si>
  <si>
    <t>旺知音</t>
  </si>
  <si>
    <r>
      <t>孙</t>
    </r>
    <r>
      <rPr>
        <sz val="11"/>
        <color theme="1"/>
        <rFont val="ＭＳ Ｐゴシック"/>
        <family val="3"/>
        <charset val="128"/>
        <scheme val="minor"/>
      </rPr>
      <t>成明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</si>
  <si>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白酒;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</si>
  <si>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独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</si>
  <si>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黄酒</t>
    </r>
  </si>
  <si>
    <r>
      <t>毕节</t>
    </r>
    <r>
      <rPr>
        <sz val="11"/>
        <color theme="1"/>
        <rFont val="ＭＳ Ｐゴシック"/>
        <family val="3"/>
        <charset val="128"/>
        <scheme val="minor"/>
      </rPr>
      <t>市茶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</si>
  <si>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开胃酒;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</si>
  <si>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IRANFI</t>
  </si>
  <si>
    <t>刘念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</si>
  <si>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葡萄酒; 利口酒</t>
    </r>
  </si>
  <si>
    <t>UAKEEN</t>
  </si>
  <si>
    <r>
      <t>郑</t>
    </r>
    <r>
      <rPr>
        <sz val="11"/>
        <color theme="1"/>
        <rFont val="ＭＳ Ｐゴシック"/>
        <family val="3"/>
        <charset val="128"/>
        <scheme val="minor"/>
      </rPr>
      <t>圣杰</t>
    </r>
  </si>
  <si>
    <r>
      <t>薄荷酒;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</si>
  <si>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湘疆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</si>
  <si>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李霞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</si>
  <si>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</si>
  <si>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佳碧容秋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</si>
  <si>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</si>
  <si>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崔程宴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</si>
  <si>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</si>
  <si>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食用酒精;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</si>
  <si>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溯源</t>
    </r>
    <r>
      <rPr>
        <sz val="11"/>
        <color theme="1"/>
        <rFont val="ＭＳ Ｐゴシック"/>
        <family val="3"/>
        <charset val="134"/>
        <scheme val="minor"/>
      </rPr>
      <t>诀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</si>
  <si>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</si>
  <si>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火星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</si>
  <si>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果酒（含酒精）</t>
    </r>
  </si>
  <si>
    <t>火星豪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</si>
  <si>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黄酒</t>
    </r>
  </si>
  <si>
    <r>
      <t>嫡宗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</si>
  <si>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果酒（含酒精）; 清酒（日本米酒）;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</si>
  <si>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唇响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</si>
  <si>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肃庆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</si>
  <si>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</si>
  <si>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秋和成露</t>
  </si>
  <si>
    <t>庄秋露</t>
  </si>
  <si>
    <r>
      <t xml:space="preserve">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</t>
    </r>
  </si>
  <si>
    <t>王星二</t>
  </si>
  <si>
    <r>
      <t>黄酒;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</si>
  <si>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九哥</t>
    </r>
  </si>
  <si>
    <r>
      <t>阜阳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九哥酒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</si>
  <si>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食用酒精; 米酒; 汽酒</t>
    </r>
  </si>
  <si>
    <t>在言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</si>
  <si>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儒雅仙酒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</si>
  <si>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伏特加酒; 黄酒; 白酒; 果酒（含酒精）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</si>
  <si>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团圆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</si>
  <si>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</si>
  <si>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利口酒; 白酒; 黄酒; 蜂蜜酒; 果酒（含酒精）; 米酒; 果酒</t>
    </r>
  </si>
  <si>
    <t>襄波波</t>
  </si>
  <si>
    <r>
      <t>湖北省石花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</si>
  <si>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食用酒精;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</si>
  <si>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杭州浅醇酒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</si>
  <si>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黄酒</t>
    </r>
  </si>
  <si>
    <t>涌入</t>
  </si>
  <si>
    <r>
      <t>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</si>
  <si>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高帝朝歌</t>
  </si>
  <si>
    <r>
      <t>黄酒; 伏特加酒;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</si>
  <si>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驼</t>
    </r>
    <r>
      <rPr>
        <sz val="11"/>
        <color theme="1"/>
        <rFont val="ＭＳ Ｐゴシック"/>
        <family val="3"/>
        <charset val="128"/>
        <scheme val="minor"/>
      </rPr>
      <t>城印相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</si>
  <si>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林市富琪</t>
    </r>
    <r>
      <rPr>
        <sz val="11"/>
        <color theme="1"/>
        <rFont val="ＭＳ Ｐゴシック"/>
        <family val="3"/>
        <charset val="134"/>
        <scheme val="minor"/>
      </rPr>
      <t>伟业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</si>
  <si>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食用酒精;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</si>
  <si>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塘尖山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</si>
  <si>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建平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</si>
  <si>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</si>
  <si>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古露芬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</si>
  <si>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露芬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</si>
  <si>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清酒（日本米酒）; 米酒</t>
    </r>
  </si>
  <si>
    <r>
      <t>尊五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</si>
  <si>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晨</t>
    </r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</si>
  <si>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黄酒; 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</si>
  <si>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醉庭辞</t>
  </si>
  <si>
    <t>袁行征******************</t>
  </si>
  <si>
    <r>
      <t xml:space="preserve">白酒; 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果酒（含酒精）;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葡萄酒</t>
    </r>
  </si>
  <si>
    <t>皇槽台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</si>
  <si>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黄酒; 葡萄酒</t>
    </r>
  </si>
  <si>
    <t>BELLE VUE FENDI</t>
  </si>
  <si>
    <r>
      <t>中</t>
    </r>
    <r>
      <rPr>
        <sz val="11"/>
        <color theme="1"/>
        <rFont val="ＭＳ Ｐゴシック"/>
        <family val="3"/>
        <charset val="134"/>
        <scheme val="minor"/>
      </rPr>
      <t>贸汇</t>
    </r>
    <r>
      <rPr>
        <sz val="11"/>
        <color theme="1"/>
        <rFont val="ＭＳ Ｐゴシック"/>
        <family val="3"/>
        <charset val="128"/>
        <scheme val="minor"/>
      </rPr>
      <t>名酒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</si>
  <si>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天然汽酒; 甜果酒; 混合威士忌酒; 开胃酒; 果酒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</si>
  <si>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稞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</si>
  <si>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</si>
  <si>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野</t>
    </r>
    <r>
      <rPr>
        <sz val="11"/>
        <color theme="1"/>
        <rFont val="ＭＳ Ｐゴシック"/>
        <family val="3"/>
        <charset val="129"/>
        <scheme val="minor"/>
      </rPr>
      <t>嗡嗡</t>
    </r>
  </si>
  <si>
    <r>
      <t>四川你好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</si>
  <si>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蜂蜜酒;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</si>
  <si>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高帝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</si>
  <si>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米酒;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</si>
  <si>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赫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山</t>
    </r>
  </si>
  <si>
    <t>祝德炎</t>
  </si>
  <si>
    <r>
      <t xml:space="preserve">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葡萄酒; 白酒; 清酒（日本米酒）; 开胃酒</t>
    </r>
  </si>
  <si>
    <t>芳醇晟意</t>
  </si>
  <si>
    <t>徐道革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</si>
  <si>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食用酒精;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</si>
  <si>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金汐古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</si>
  <si>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烈酒; 白酒; 黄酒; 食用酒精</t>
    </r>
  </si>
  <si>
    <t>彤瑞祥</t>
  </si>
  <si>
    <r>
      <t>刘</t>
    </r>
    <r>
      <rPr>
        <sz val="11"/>
        <color theme="1"/>
        <rFont val="ＭＳ Ｐゴシック"/>
        <family val="3"/>
        <charset val="134"/>
        <scheme val="minor"/>
      </rPr>
      <t>铁头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</si>
  <si>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甘蔗制烈酒;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</si>
  <si>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中仁花千谷</t>
  </si>
  <si>
    <r>
      <t>云南中仁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</si>
  <si>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白干酒（中国白酒）; 果酒</t>
    </r>
  </si>
  <si>
    <r>
      <t>禹泉禹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</si>
  <si>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黄酒; 果酒（含酒精）; 梨酒;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</si>
  <si>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怡生朋友</t>
  </si>
  <si>
    <r>
      <t>上海宝媛化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</si>
  <si>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黄酒</t>
    </r>
  </si>
  <si>
    <t>火星高</t>
  </si>
  <si>
    <r>
      <t xml:space="preserve">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</si>
  <si>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憾源</t>
  </si>
  <si>
    <r>
      <t>宁波市微禾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</si>
  <si>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果酒（含酒精）; 白酒; 黄酒; 米酒; 清酒（日本米酒）; 高粱酒</t>
    </r>
  </si>
  <si>
    <t>北菜麓禧</t>
  </si>
  <si>
    <r>
      <t>北京雷沃思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</si>
  <si>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含酒精的气泡水</t>
    </r>
  </si>
  <si>
    <t>吴容花</t>
  </si>
  <si>
    <r>
      <t>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</si>
  <si>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珠光台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</si>
  <si>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</si>
  <si>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溪上枕</t>
  </si>
  <si>
    <r>
      <t>阿克</t>
    </r>
    <r>
      <rPr>
        <sz val="11"/>
        <color theme="1"/>
        <rFont val="ＭＳ Ｐゴシック"/>
        <family val="3"/>
        <charset val="134"/>
        <scheme val="minor"/>
      </rPr>
      <t>苏纵</t>
    </r>
    <r>
      <rPr>
        <sz val="11"/>
        <color theme="1"/>
        <rFont val="ＭＳ Ｐゴシック"/>
        <family val="3"/>
        <charset val="128"/>
        <scheme val="minor"/>
      </rPr>
      <t>横酒水商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</si>
  <si>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梨酒; 苹果酒; 果酒（含酒精）;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</si>
  <si>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哈熊沟</t>
  </si>
  <si>
    <r>
      <t>窦</t>
    </r>
    <r>
      <rPr>
        <sz val="11"/>
        <color theme="1"/>
        <rFont val="ＭＳ Ｐゴシック"/>
        <family val="3"/>
        <charset val="128"/>
        <scheme val="minor"/>
      </rPr>
      <t>慧</t>
    </r>
    <r>
      <rPr>
        <sz val="11"/>
        <color theme="1"/>
        <rFont val="ＭＳ Ｐゴシック"/>
        <family val="3"/>
        <charset val="134"/>
        <scheme val="minor"/>
      </rPr>
      <t>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</si>
  <si>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利口酒; 米酒; 清酒（日本米酒）; 开胃酒; 黄酒; 葡萄酒</t>
    </r>
  </si>
  <si>
    <t>凭运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</si>
  <si>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</si>
  <si>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水川</t>
    </r>
  </si>
  <si>
    <r>
      <t>巩林</t>
    </r>
    <r>
      <rPr>
        <sz val="11"/>
        <color theme="1"/>
        <rFont val="ＭＳ Ｐゴシック"/>
        <family val="3"/>
        <charset val="134"/>
        <scheme val="minor"/>
      </rPr>
      <t>鹭</t>
    </r>
  </si>
  <si>
    <r>
      <t>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</si>
  <si>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ZUC ZUG</t>
  </si>
  <si>
    <r>
      <t>上海素然服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</si>
  <si>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</si>
  <si>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朵</t>
    </r>
    <r>
      <rPr>
        <sz val="11"/>
        <color theme="1"/>
        <rFont val="ＭＳ Ｐゴシック"/>
        <family val="3"/>
        <charset val="134"/>
        <scheme val="minor"/>
      </rPr>
      <t>锐艺术</t>
    </r>
    <r>
      <rPr>
        <sz val="11"/>
        <color theme="1"/>
        <rFont val="ＭＳ Ｐゴシック"/>
        <family val="3"/>
        <charset val="128"/>
        <scheme val="minor"/>
      </rPr>
      <t>酒廊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</si>
  <si>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伏特加酒;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</si>
  <si>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小食族</t>
  </si>
  <si>
    <r>
      <t>北京申易达商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</si>
  <si>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甜果酒; 天然汽酒; 梅酒; 果酒; 米酒; 日式甜米酒; 青梅酒</t>
    </r>
  </si>
  <si>
    <r>
      <t>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</si>
  <si>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成都卧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吟广告有限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</si>
  <si>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苹果酒; 烈酒</t>
    </r>
  </si>
  <si>
    <t>盖多多</t>
  </si>
  <si>
    <r>
      <t>上海盖世网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</si>
  <si>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清酒; 开胃酒</t>
    </r>
  </si>
  <si>
    <t>酌盟</t>
  </si>
  <si>
    <r>
      <t xml:space="preserve">葡萄酒; 黄酒; 白酒; 烈酒; 果酒（含酒精）;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</si>
  <si>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傲望</t>
  </si>
  <si>
    <r>
      <t xml:space="preserve">威士忌;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</si>
  <si>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酌至友趣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</si>
  <si>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东创</t>
    </r>
    <r>
      <rPr>
        <sz val="11"/>
        <color theme="1"/>
        <rFont val="ＭＳ Ｐゴシック"/>
        <family val="3"/>
        <charset val="128"/>
        <scheme val="minor"/>
      </rPr>
      <t>源供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</si>
  <si>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</si>
  <si>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八子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家</t>
    </r>
  </si>
  <si>
    <t>李晴羽</t>
  </si>
  <si>
    <r>
      <t>葡萄酒; 黄酒; 伏特加酒;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</si>
  <si>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鄂达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元堂</t>
    </r>
  </si>
  <si>
    <t>湖北鄂达生物科技有限公司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</si>
  <si>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</t>
    </r>
  </si>
  <si>
    <t>鄂达五德堂</t>
  </si>
  <si>
    <r>
      <t>米酒; 白酒; 黄酒;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</si>
  <si>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山西省文化旅游投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</si>
  <si>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威士忌; 葡萄酒;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</si>
  <si>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荣樾府</t>
  </si>
  <si>
    <r>
      <t>广州万明网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</si>
  <si>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果酒（含酒精）; 清酒（日本米酒）;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葡萄酒; 黄酒</t>
    </r>
  </si>
  <si>
    <r>
      <t>包匠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</si>
  <si>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馒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</si>
  <si>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米酒; 白酒; 果酒（含酒精）; 五加皮酒（中国混合烈酒）</t>
    </r>
  </si>
  <si>
    <t>仚象</t>
  </si>
  <si>
    <r>
      <t>全永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</si>
  <si>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果酒（含酒精）; 葡萄酒</t>
    </r>
  </si>
  <si>
    <t>貌象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</si>
  <si>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果酒（含酒精）; 葡萄酒; 白酒</t>
    </r>
  </si>
  <si>
    <r>
      <t>琴棋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</si>
  <si>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窦</t>
    </r>
    <r>
      <rPr>
        <sz val="11"/>
        <color theme="1"/>
        <rFont val="ＭＳ Ｐゴシック"/>
        <family val="3"/>
        <charset val="128"/>
        <scheme val="minor"/>
      </rPr>
      <t>洪夏</t>
    </r>
  </si>
  <si>
    <r>
      <t>白酒;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汽酒;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</si>
  <si>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山西晋之星商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</si>
  <si>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</t>
    </r>
  </si>
  <si>
    <r>
      <t>谷尚康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</si>
  <si>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安徽慈笑堂健康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</si>
  <si>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食用酒精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</si>
  <si>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伽利</t>
    </r>
  </si>
  <si>
    <r>
      <t>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白酒; 伏特加酒</t>
    </r>
  </si>
  <si>
    <t>李子关</t>
  </si>
  <si>
    <t>雷世海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</si>
  <si>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</si>
  <si>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唐浩</t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</si>
  <si>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青稞酒;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</si>
  <si>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功萱</t>
    </r>
  </si>
  <si>
    <t>姚宝林******************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</si>
  <si>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</t>
    </r>
  </si>
  <si>
    <r>
      <t xml:space="preserve">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朗姆酒;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</si>
  <si>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敬</t>
    </r>
    <r>
      <rPr>
        <sz val="11"/>
        <color theme="1"/>
        <rFont val="ＭＳ Ｐゴシック"/>
        <family val="3"/>
        <charset val="134"/>
        <scheme val="minor"/>
      </rPr>
      <t>屿</t>
    </r>
  </si>
  <si>
    <t>吴美英</t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</si>
  <si>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</si>
  <si>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嘟</t>
    </r>
    <r>
      <rPr>
        <sz val="11"/>
        <color theme="1"/>
        <rFont val="ＭＳ Ｐゴシック"/>
        <family val="3"/>
        <charset val="128"/>
        <scheme val="minor"/>
      </rPr>
      <t>可多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</si>
  <si>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州瑞浦科技有限公司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</si>
  <si>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</t>
    </r>
  </si>
  <si>
    <t>悟幻</t>
  </si>
  <si>
    <t>张辉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</si>
  <si>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</t>
    </r>
  </si>
  <si>
    <t>然歆慧</t>
  </si>
  <si>
    <t>余子怡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</si>
  <si>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食用酒精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</si>
  <si>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游翁</t>
    </r>
  </si>
  <si>
    <r>
      <t>黄酒; 米酒;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果酒（含酒精）; 开胃酒</t>
    </r>
  </si>
  <si>
    <t>蒲衣子</t>
  </si>
  <si>
    <r>
      <t>王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</si>
  <si>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米酒; 清酒; 葡萄酒; 青稞酒; 白酒; 苹果酒;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</si>
  <si>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品柏香</t>
  </si>
  <si>
    <r>
      <t>河南供</t>
    </r>
    <r>
      <rPr>
        <sz val="11"/>
        <color theme="1"/>
        <rFont val="ＭＳ Ｐゴシック"/>
        <family val="3"/>
        <charset val="134"/>
        <scheme val="minor"/>
      </rPr>
      <t>给岛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</si>
  <si>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汽酒;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</si>
  <si>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格至中和</t>
  </si>
  <si>
    <r>
      <t>太原一奇商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</si>
  <si>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米酒; 清酒; 开胃酒;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</si>
  <si>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啼将</t>
  </si>
  <si>
    <r>
      <t>果酒（含酒精）; 葡萄酒; 米酒;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</t>
    </r>
  </si>
  <si>
    <t>晋三元</t>
  </si>
  <si>
    <r>
      <t>沈</t>
    </r>
    <r>
      <rPr>
        <sz val="11"/>
        <color theme="1"/>
        <rFont val="ＭＳ Ｐゴシック"/>
        <family val="3"/>
        <charset val="134"/>
        <scheme val="minor"/>
      </rPr>
      <t>兴华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</si>
  <si>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</si>
  <si>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八斗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</si>
  <si>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独一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</si>
  <si>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酸酒（低等葡萄酒）;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</t>
    </r>
  </si>
  <si>
    <t>携清圣</t>
  </si>
  <si>
    <r>
      <t>米酒; 果酒（含酒精）; 白酒; 青稞酒; 汽酒; 含酒精的气泡水;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</si>
  <si>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行走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</si>
  <si>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</si>
  <si>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耕酒客</t>
  </si>
  <si>
    <r>
      <t>亳州市胡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</si>
  <si>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</si>
  <si>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御如意</t>
  </si>
  <si>
    <r>
      <t>张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</si>
  <si>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米酒; 清酒; 酸酒（低等葡萄酒）; 果酒; 茴芹酒（利口酒）; 高粱酒; 黄酒;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</si>
  <si>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</si>
  <si>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御坊（深圳）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</si>
  <si>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清酒（日本米酒）</t>
    </r>
  </si>
  <si>
    <t>仁天方</t>
  </si>
  <si>
    <r>
      <t>海南仁合物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</si>
  <si>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</si>
  <si>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樊景景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</si>
  <si>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威士忌</t>
    </r>
  </si>
  <si>
    <t>少福</t>
  </si>
  <si>
    <t>周浩宇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</si>
  <si>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葡萄酒; 蒸煮提取物（利口酒和烈酒）</t>
    </r>
  </si>
  <si>
    <r>
      <t>徽小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</si>
  <si>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安徽省黄淮甲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良种繁育有限公司</t>
    </r>
  </si>
  <si>
    <r>
      <t xml:space="preserve">开胃酒;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果酒（含酒精）; 葡萄酒; 米酒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</si>
  <si>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炎宸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</si>
  <si>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烈酒; 米酒;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</si>
  <si>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黔多</t>
    </r>
    <r>
      <rPr>
        <sz val="11"/>
        <color theme="1"/>
        <rFont val="ＭＳ Ｐゴシック"/>
        <family val="3"/>
        <charset val="134"/>
        <scheme val="minor"/>
      </rPr>
      <t>亿</t>
    </r>
  </si>
  <si>
    <r>
      <t>大方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晟鑫种植养殖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</si>
  <si>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</si>
  <si>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芝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</si>
  <si>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青稞酒; 白酒; 米酒; 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</si>
  <si>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问缙</t>
    </r>
  </si>
  <si>
    <r>
      <t>缙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县乡</t>
    </r>
    <r>
      <rPr>
        <sz val="11"/>
        <color theme="1"/>
        <rFont val="ＭＳ Ｐゴシック"/>
        <family val="3"/>
        <charset val="128"/>
        <scheme val="minor"/>
      </rPr>
      <t>村振</t>
    </r>
    <r>
      <rPr>
        <sz val="11"/>
        <color theme="1"/>
        <rFont val="ＭＳ Ｐゴシック"/>
        <family val="3"/>
        <charset val="134"/>
        <scheme val="minor"/>
      </rPr>
      <t>兴发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</si>
  <si>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白酒</t>
    </r>
  </si>
  <si>
    <r>
      <t>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十三君</t>
    </r>
  </si>
  <si>
    <r>
      <t>刁国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</si>
  <si>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食用酒精; 白酒; 葡萄酒; 蒸煮提取物（利口酒和烈酒）</t>
    </r>
  </si>
  <si>
    <r>
      <t>吉掌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</si>
  <si>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</si>
  <si>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威士忌</t>
    </r>
  </si>
  <si>
    <r>
      <t>敖</t>
    </r>
    <r>
      <rPr>
        <sz val="11"/>
        <color theme="1"/>
        <rFont val="ＭＳ Ｐゴシック"/>
        <family val="3"/>
        <charset val="134"/>
        <scheme val="minor"/>
      </rPr>
      <t>聪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</si>
  <si>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果酒（含酒精）; 葡萄酒; 白酒; 米酒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</si>
  <si>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缙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</si>
  <si>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</si>
  <si>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t>M STAND</t>
  </si>
  <si>
    <r>
      <t>上海艾恰餐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</si>
  <si>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咖啡利口酒;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含酒精的气泡水;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</si>
  <si>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五彩</t>
    </r>
    <r>
      <rPr>
        <sz val="11"/>
        <color theme="1"/>
        <rFont val="ＭＳ Ｐゴシック"/>
        <family val="3"/>
        <charset val="134"/>
        <scheme val="minor"/>
      </rPr>
      <t>缙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</si>
  <si>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</si>
  <si>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</si>
  <si>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琪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</si>
  <si>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果酒; 黄酒;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</si>
  <si>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酿忧</t>
  </si>
  <si>
    <t>王浩</t>
  </si>
  <si>
    <r>
      <t>清酒（日本米酒）; 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</si>
  <si>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京江二十四景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</si>
  <si>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三金食品有限公司</t>
    </r>
  </si>
  <si>
    <r>
      <t xml:space="preserve">葡萄酒; 青稞酒;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朗姆酒; 黄酒; 蒸煮提取物（利口酒和烈酒）;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</si>
  <si>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蕲</t>
    </r>
    <r>
      <rPr>
        <sz val="11"/>
        <color theme="1"/>
        <rFont val="ＭＳ Ｐゴシック"/>
        <family val="3"/>
        <charset val="128"/>
        <scheme val="minor"/>
      </rPr>
      <t>作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</si>
  <si>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蕲</t>
    </r>
    <r>
      <rPr>
        <sz val="11"/>
        <color theme="1"/>
        <rFont val="ＭＳ Ｐゴシック"/>
        <family val="3"/>
        <charset val="128"/>
        <scheme val="minor"/>
      </rPr>
      <t>春投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</si>
  <si>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蒸煮提取物（利口酒和烈酒）; 米酒;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</si>
  <si>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阜荣原</t>
    </r>
  </si>
  <si>
    <r>
      <t>阜新蒙古族自治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洪珍玉米种植合作社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</si>
  <si>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烈性干酒;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</t>
    </r>
  </si>
  <si>
    <t>仟商佰会</t>
  </si>
  <si>
    <r>
      <t>仟商佰会企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（湖北）有限公司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</si>
  <si>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</si>
  <si>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五彩</t>
    </r>
    <r>
      <rPr>
        <sz val="11"/>
        <color theme="1"/>
        <rFont val="ＭＳ Ｐゴシック"/>
        <family val="3"/>
        <charset val="134"/>
        <scheme val="minor"/>
      </rPr>
      <t>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</si>
  <si>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</si>
  <si>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缙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</si>
  <si>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</si>
  <si>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缙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</si>
  <si>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</si>
  <si>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舰农</t>
  </si>
  <si>
    <r>
      <t>北京京海众康科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</si>
  <si>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汽酒; 白酒; 黄酒; 开胃酒; 葡萄酒; 威士忌; 米酒; 果酒（含酒精）</t>
    </r>
  </si>
  <si>
    <t>MONTE VECCHIO</t>
  </si>
  <si>
    <r>
      <t>盖布利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可信（北京）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</si>
  <si>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葡萄汽酒;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白葡萄酒; 葡萄酒; 不起泡葡萄酒;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</si>
  <si>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壮仙鼎</t>
  </si>
  <si>
    <r>
      <t>马</t>
    </r>
    <r>
      <rPr>
        <sz val="11"/>
        <color theme="1"/>
        <rFont val="ＭＳ Ｐゴシック"/>
        <family val="3"/>
        <charset val="128"/>
        <scheme val="minor"/>
      </rPr>
      <t>世彪******************</t>
    </r>
  </si>
  <si>
    <r>
      <t>食用酒精; 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</si>
  <si>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綦芮森</t>
  </si>
  <si>
    <t>李萍******************</t>
  </si>
  <si>
    <r>
      <t xml:space="preserve">果酒;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食用酒精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</si>
  <si>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人</t>
    </r>
  </si>
  <si>
    <t>大布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</si>
  <si>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葡萄酒; 米酒; 果酒（含酒精）; 伏特加酒; 黄酒</t>
    </r>
  </si>
  <si>
    <r>
      <t>龙垦绿</t>
    </r>
    <r>
      <rPr>
        <sz val="11"/>
        <color theme="1"/>
        <rFont val="ＭＳ Ｐゴシック"/>
        <family val="3"/>
        <charset val="128"/>
        <scheme val="minor"/>
      </rPr>
      <t>厨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</si>
  <si>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龙垦</t>
    </r>
    <r>
      <rPr>
        <sz val="11"/>
        <color theme="1"/>
        <rFont val="ＭＳ Ｐゴシック"/>
        <family val="3"/>
        <charset val="128"/>
        <scheme val="minor"/>
      </rPr>
      <t>人科技集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</si>
  <si>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威士忌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</si>
  <si>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福将</t>
    </r>
  </si>
  <si>
    <r>
      <t>郭鑫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</si>
  <si>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</si>
  <si>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茯韵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</si>
  <si>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十堰市正卓工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</si>
  <si>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</si>
  <si>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t>巨周</t>
  </si>
  <si>
    <r>
      <t>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国******************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</si>
  <si>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白酒;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</si>
  <si>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莫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极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</si>
  <si>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</si>
  <si>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 xml:space="preserve">白酒; 高粱酒; 米酒; 食用酒精; 黄酒;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</si>
  <si>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秋月晨曦</t>
  </si>
  <si>
    <t>袁玉燕******************</t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</si>
  <si>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果酒; 烈酒; 米酒; 高粱酒; 白酒</t>
    </r>
  </si>
  <si>
    <t>茗王林</t>
  </si>
  <si>
    <t>李素英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</si>
  <si>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</t>
    </r>
  </si>
  <si>
    <t>沁香遇</t>
  </si>
  <si>
    <r>
      <t>张</t>
    </r>
    <r>
      <rPr>
        <sz val="11"/>
        <color theme="1"/>
        <rFont val="ＭＳ Ｐゴシック"/>
        <family val="3"/>
        <charset val="128"/>
        <scheme val="minor"/>
      </rPr>
      <t>天兵</t>
    </r>
  </si>
  <si>
    <r>
      <t>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</si>
  <si>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棘养</t>
    </r>
    <r>
      <rPr>
        <sz val="11"/>
        <color theme="1"/>
        <rFont val="ＭＳ Ｐゴシック"/>
        <family val="3"/>
        <charset val="134"/>
        <scheme val="minor"/>
      </rPr>
      <t>纪</t>
    </r>
  </si>
  <si>
    <t>王立佳</t>
  </si>
  <si>
    <r>
      <t>开胃酒; 葡萄酒; 果酒;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白酒</t>
    </r>
  </si>
  <si>
    <t>SONIQ</t>
  </si>
  <si>
    <r>
      <t>速尼科（宁波）品牌管理有限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</si>
  <si>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加烈葡萄酒;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</si>
  <si>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紫隆山</t>
  </si>
  <si>
    <t>上海孝合堂健康科技有限公司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</si>
  <si>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佐餐酒;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</si>
  <si>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邑粮情</t>
  </si>
  <si>
    <r>
      <t>四川泰源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</si>
  <si>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威士忌; 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</si>
  <si>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</si>
  <si>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果酒（含酒精）; 米酒; 葡萄酒</t>
    </r>
  </si>
  <si>
    <r>
      <t>腊食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</si>
  <si>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家界老八区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</si>
  <si>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</si>
  <si>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t>尊如逸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</si>
  <si>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谛诺环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</si>
  <si>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t>开胃酒; 葡萄酒; 清酒（日本米酒）; 汽酒; 果酒（含酒精）; 蜂蜜酒; 黄酒; 水果汽酒; 白酒; 梅酒</t>
  </si>
  <si>
    <r>
      <t>菩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清澄</t>
    </r>
  </si>
  <si>
    <r>
      <t>北京菩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清澄文化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</si>
  <si>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</t>
    </r>
  </si>
  <si>
    <r>
      <t>廉州珠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</si>
  <si>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吴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</si>
  <si>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</si>
  <si>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俣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</si>
  <si>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达州俣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</si>
  <si>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</si>
  <si>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汉坛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</si>
  <si>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威士忌;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果酒（含酒精）;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</si>
  <si>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香馥心</t>
  </si>
  <si>
    <r>
      <t>侯街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</si>
  <si>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</si>
  <si>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地之眼</t>
    </r>
  </si>
  <si>
    <r>
      <t>中北文影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</si>
  <si>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苦味酒; 果酒（含酒精）; 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</si>
  <si>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迪智尼</t>
  </si>
  <si>
    <r>
      <t>刘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娜（******************）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</si>
  <si>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果酒; 葡萄酒;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</si>
  <si>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斯力春</t>
  </si>
  <si>
    <r>
      <t>邢振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</si>
  <si>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清酒; 米酒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</si>
  <si>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家</t>
    </r>
  </si>
  <si>
    <t>张剑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</si>
  <si>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</si>
  <si>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拾澄酒娘</t>
  </si>
  <si>
    <r>
      <t xml:space="preserve">米酒; 高粱酒; 蜂蜜酒; 白酒; 葡萄酒;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开胃酒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</si>
  <si>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中人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</si>
  <si>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听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</si>
  <si>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开胃酒;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</si>
  <si>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r>
      <t>故</t>
    </r>
    <r>
      <rPr>
        <sz val="11"/>
        <color theme="1"/>
        <rFont val="ＭＳ Ｐゴシック"/>
        <family val="3"/>
        <charset val="134"/>
        <scheme val="minor"/>
      </rPr>
      <t>墙</t>
    </r>
  </si>
  <si>
    <r>
      <t>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蜂蜜酒; 威士忌; 伏特加酒; 白酒</t>
    </r>
  </si>
  <si>
    <t>淮湘沅</t>
  </si>
  <si>
    <r>
      <t>南京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物餐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</si>
  <si>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</si>
  <si>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醉思谷</t>
  </si>
  <si>
    <r>
      <t>程火</t>
    </r>
    <r>
      <rPr>
        <sz val="11"/>
        <color theme="1"/>
        <rFont val="ＭＳ Ｐゴシック"/>
        <family val="3"/>
        <charset val="134"/>
        <scheme val="minor"/>
      </rPr>
      <t>孙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</si>
  <si>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白干酒（中国白酒）; 果酒;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</si>
  <si>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r>
      <t>麒苓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</si>
  <si>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乔龙</t>
    </r>
    <r>
      <rPr>
        <sz val="11"/>
        <color theme="1"/>
        <rFont val="ＭＳ Ｐゴシック"/>
        <family val="3"/>
        <charset val="128"/>
        <scheme val="minor"/>
      </rPr>
      <t>一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</si>
  <si>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薄荷酒</t>
    </r>
  </si>
  <si>
    <r>
      <t>乾园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</si>
  <si>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水乾园露</t>
    </r>
    <r>
      <rPr>
        <sz val="11"/>
        <color theme="1"/>
        <rFont val="ＭＳ Ｐゴシック"/>
        <family val="3"/>
        <charset val="134"/>
        <scheme val="minor"/>
      </rPr>
      <t>营烧</t>
    </r>
    <r>
      <rPr>
        <sz val="11"/>
        <color theme="1"/>
        <rFont val="ＭＳ Ｐゴシック"/>
        <family val="3"/>
        <charset val="128"/>
        <scheme val="minor"/>
      </rPr>
      <t>烤基地有限公司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</si>
  <si>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</si>
  <si>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酒巷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</si>
  <si>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</si>
  <si>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清酒（日本米酒）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</si>
  <si>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诱</t>
    </r>
  </si>
  <si>
    <t>河南圣雪啤酒有限公司</t>
  </si>
  <si>
    <r>
      <t>利口酒;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</si>
  <si>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岚</t>
    </r>
    <r>
      <rPr>
        <sz val="11"/>
        <color theme="1"/>
        <rFont val="ＭＳ Ｐゴシック"/>
        <family val="3"/>
        <charset val="128"/>
        <scheme val="minor"/>
      </rPr>
      <t>影韵</t>
    </r>
  </si>
  <si>
    <r>
      <t>巫溪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</si>
  <si>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葡萄酒; 蒸煮提取物（利口酒和烈酒）</t>
    </r>
  </si>
  <si>
    <t>浅山行</t>
  </si>
  <si>
    <r>
      <t>三匠（广州）文化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</si>
  <si>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苹果酒; 利口酒</t>
    </r>
  </si>
  <si>
    <r>
      <t>神州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</si>
  <si>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葡萄酒; 伏特加酒</t>
    </r>
  </si>
  <si>
    <t>斯力宝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</si>
  <si>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清酒;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果酒（含酒精）</t>
    </r>
  </si>
  <si>
    <r>
      <t>斯力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</si>
  <si>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威士忌;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</si>
  <si>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时归</t>
    </r>
    <r>
      <rPr>
        <sz val="11"/>
        <color theme="1"/>
        <rFont val="ＭＳ Ｐゴシック"/>
        <family val="3"/>
        <charset val="128"/>
        <scheme val="minor"/>
      </rPr>
      <t>朴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</si>
  <si>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时归</t>
    </r>
    <r>
      <rPr>
        <sz val="11"/>
        <color theme="1"/>
        <rFont val="ＭＳ Ｐゴシック"/>
        <family val="3"/>
        <charset val="128"/>
        <scheme val="minor"/>
      </rPr>
      <t>朴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展(遂昌)有限公司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</si>
  <si>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</si>
  <si>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善相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</si>
  <si>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天津市肆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云商科技有限公司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</si>
  <si>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</si>
  <si>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莒洲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</si>
  <si>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深圳市洪珊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</si>
  <si>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开胃酒;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</si>
  <si>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中啤麦阳啤酒（广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</si>
  <si>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威士忌; 清酒（日本米酒）;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</si>
  <si>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r>
      <t>史中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</si>
  <si>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张颖</t>
    </r>
    <r>
      <rPr>
        <sz val="11"/>
        <color theme="1"/>
        <rFont val="ＭＳ Ｐゴシック"/>
        <family val="3"/>
        <charset val="128"/>
        <scheme val="minor"/>
      </rPr>
      <t>欣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</si>
  <si>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威士忌;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</si>
  <si>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社</t>
    </r>
  </si>
  <si>
    <r>
      <t>果酒（含酒精）; 葡萄酒;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</si>
  <si>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妙礼妙物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</si>
  <si>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美未来科技有限公司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</si>
  <si>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柑香酒; 蜂蜜酒;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</si>
  <si>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震育堂</t>
  </si>
  <si>
    <r>
      <t>吉林震育堂医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</si>
  <si>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</si>
  <si>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宝之瑞</t>
  </si>
  <si>
    <r>
      <t>南京宝之瑞生物技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</si>
  <si>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白酒; 葡萄酒; 汽酒; 食用酒精; 开胃酒; 果酒（含酒精）; 黄酒; 米酒</t>
    </r>
  </si>
  <si>
    <r>
      <t>杏井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</si>
  <si>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山西杏花古井酒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</si>
  <si>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</si>
  <si>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KUMELKALEN</t>
  </si>
  <si>
    <r>
      <t>中成国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</si>
  <si>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伏特加酒; 威士忌; 葡萄酒; 米酒</t>
    </r>
  </si>
  <si>
    <t>思到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</si>
  <si>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威士忌;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</si>
  <si>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芳</t>
    </r>
    <r>
      <rPr>
        <sz val="11"/>
        <color theme="1"/>
        <rFont val="ＭＳ Ｐゴシック"/>
        <family val="3"/>
        <charset val="129"/>
        <scheme val="minor"/>
      </rPr>
      <t>姬</t>
    </r>
  </si>
  <si>
    <t>酸酒（低等葡萄酒）; 威士忌; 高粱酒; 梅酒; 果酒（含酒精）; 烈酒; 米酒; 清酒; 甜酒; 白酒</t>
  </si>
  <si>
    <t>舒可曼 SUGARMAN</t>
  </si>
  <si>
    <r>
      <t>广州福正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海食品有限公司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</si>
  <si>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</si>
  <si>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勿凡</t>
  </si>
  <si>
    <r>
      <t xml:space="preserve">威士忌;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伏特加酒</t>
    </r>
  </si>
  <si>
    <t>斯力金</t>
  </si>
  <si>
    <r>
      <t>威士忌; 黄酒; 清酒; 果酒（含酒精）; 高粱酒;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</si>
  <si>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章恭</t>
  </si>
  <si>
    <r>
      <t>米酒;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</si>
  <si>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梦扎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</si>
  <si>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</si>
  <si>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曦酒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</si>
  <si>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清海</t>
    </r>
  </si>
  <si>
    <r>
      <t xml:space="preserve">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</si>
  <si>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</si>
  <si>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南瑞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配件有限公司</t>
    </r>
  </si>
  <si>
    <r>
      <t>白酒; 米酒; 果酒; 利口酒; 葡萄酒;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</si>
  <si>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是何集</t>
  </si>
  <si>
    <r>
      <t>世合（沈阳）文化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</si>
  <si>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米酒;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</si>
  <si>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鸟</t>
    </r>
    <r>
      <rPr>
        <sz val="11"/>
        <color theme="1"/>
        <rFont val="ＭＳ Ｐゴシック"/>
        <family val="3"/>
        <charset val="128"/>
        <scheme val="minor"/>
      </rPr>
      <t>吟</t>
    </r>
  </si>
  <si>
    <t>白酒; 米酒; 甜酒; 清酒; 草莓酒; 梅酒; 烈酒; 高粱酒; 酸酒（低等葡萄酒）; 果酒（含酒精）</t>
  </si>
  <si>
    <r>
      <t>彩陶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</si>
  <si>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河南仰韶文化</t>
    </r>
    <r>
      <rPr>
        <sz val="11"/>
        <color theme="1"/>
        <rFont val="ＭＳ Ｐゴシック"/>
        <family val="3"/>
        <charset val="134"/>
        <scheme val="minor"/>
      </rPr>
      <t>艺术传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</si>
  <si>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食用酒精;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</si>
  <si>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赐华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</si>
  <si>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黄酒; 米酒</t>
    </r>
  </si>
  <si>
    <r>
      <t>海南省金叶供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</si>
  <si>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</si>
  <si>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匠世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</si>
  <si>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白酒; 米酒; 伏特加酒;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</si>
  <si>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翡立</t>
    </r>
    <r>
      <rPr>
        <sz val="11"/>
        <color theme="1"/>
        <rFont val="ＭＳ Ｐゴシック"/>
        <family val="3"/>
        <charset val="134"/>
        <scheme val="minor"/>
      </rPr>
      <t>纳</t>
    </r>
  </si>
  <si>
    <t>朱益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</si>
  <si>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白葡萄酒; 阿蒙蒂拉多白葡萄酒;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</t>
    </r>
  </si>
  <si>
    <t>冰渊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</si>
  <si>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州鼎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</si>
  <si>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</si>
  <si>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雪狼</t>
    </r>
    <r>
      <rPr>
        <sz val="11"/>
        <color theme="1"/>
        <rFont val="ＭＳ Ｐゴシック"/>
        <family val="3"/>
        <charset val="134"/>
        <scheme val="minor"/>
      </rPr>
      <t>啸</t>
    </r>
  </si>
  <si>
    <r>
      <t>南岸区佳禾酒水坊（个体工商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</si>
  <si>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白酒; 葡萄酒; 果酒（含酒精）; 开胃酒;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</si>
  <si>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科吉仕</t>
  </si>
  <si>
    <t>科滋智能科技（上海）有限公司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</si>
  <si>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</si>
  <si>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t>岐合</t>
  </si>
  <si>
    <t>惠州市岐合生物科技有限公司</t>
  </si>
  <si>
    <r>
      <t>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黄酒</t>
    </r>
  </si>
  <si>
    <t>箕山清</t>
  </si>
  <si>
    <r>
      <t>箕山文化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</si>
  <si>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</si>
  <si>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仁巷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</si>
  <si>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</si>
  <si>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</si>
  <si>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宋洼子</t>
  </si>
  <si>
    <r>
      <t>王</t>
    </r>
    <r>
      <rPr>
        <sz val="11"/>
        <color theme="1"/>
        <rFont val="ＭＳ Ｐゴシック"/>
        <family val="3"/>
        <charset val="134"/>
        <scheme val="minor"/>
      </rPr>
      <t>济东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</si>
  <si>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薄荷酒</t>
    </r>
  </si>
  <si>
    <t>实垦</t>
  </si>
  <si>
    <r>
      <t xml:space="preserve">果酒（含酒精）; 伏特加酒; 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</t>
    </r>
  </si>
  <si>
    <t>TIANFUWENJUN</t>
  </si>
  <si>
    <r>
      <t>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</si>
  <si>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开胃酒;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</si>
  <si>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禹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</si>
  <si>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西天越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</si>
  <si>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朗姆酒;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白酒; 果酒（含酒精）; 葡萄酒; 威士忌</t>
    </r>
  </si>
  <si>
    <r>
      <t>米酒; 白酒; 黄酒; 果酒（含酒精）; 葡萄酒; 朗姆酒; 蒸煮提取物（利口酒和烈酒）; 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</si>
  <si>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聃清</t>
    </r>
    <r>
      <rPr>
        <sz val="11"/>
        <color theme="1"/>
        <rFont val="ＭＳ Ｐゴシック"/>
        <family val="3"/>
        <charset val="134"/>
        <scheme val="minor"/>
      </rPr>
      <t>净</t>
    </r>
  </si>
  <si>
    <t>曹慧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</si>
  <si>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含酒精的气泡水; 果酒（含酒精）; 白酒; 米酒; 果酒</t>
    </r>
  </si>
  <si>
    <r>
      <t>欧宝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</si>
  <si>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广堂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</si>
  <si>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</si>
  <si>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筱</t>
    </r>
  </si>
  <si>
    <r>
      <t>于俊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</si>
  <si>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利口酒; 米酒; 黄酒; 白酒; 果酒（含酒精）</t>
    </r>
  </si>
  <si>
    <t>京皇口</t>
  </si>
  <si>
    <r>
      <t>葛</t>
    </r>
    <r>
      <rPr>
        <sz val="11"/>
        <color theme="1"/>
        <rFont val="ＭＳ Ｐゴシック"/>
        <family val="3"/>
        <charset val="134"/>
        <scheme val="minor"/>
      </rPr>
      <t>亚飞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</si>
  <si>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葡萄酒; 威士忌; 白酒; 黄酒</t>
    </r>
  </si>
  <si>
    <t>畛巷</t>
  </si>
  <si>
    <t>石佳慧</t>
  </si>
  <si>
    <r>
      <t>利口酒; 葡萄酒;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食用酒精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</si>
  <si>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粮意</t>
    </r>
  </si>
  <si>
    <t>付梦深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</si>
  <si>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米酒</t>
    </r>
  </si>
  <si>
    <t>星友康</t>
  </si>
  <si>
    <r>
      <t>淄博</t>
    </r>
    <r>
      <rPr>
        <sz val="11"/>
        <color theme="1"/>
        <rFont val="ＭＳ Ｐゴシック"/>
        <family val="3"/>
        <charset val="134"/>
        <scheme val="minor"/>
      </rPr>
      <t>陨</t>
    </r>
    <r>
      <rPr>
        <sz val="11"/>
        <color theme="1"/>
        <rFont val="ＭＳ Ｐゴシック"/>
        <family val="3"/>
        <charset val="128"/>
        <scheme val="minor"/>
      </rPr>
      <t>石文化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</si>
  <si>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黄酒; 高粱酒</t>
    </r>
  </si>
  <si>
    <t>共献</t>
  </si>
  <si>
    <r>
      <t>米酒;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</si>
  <si>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望舟辞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</si>
  <si>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清酒（日本米酒）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</si>
  <si>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皮泰姆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</si>
  <si>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文彬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</si>
  <si>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威士忌; 果酒（含酒精）; 葡萄酒</t>
    </r>
  </si>
  <si>
    <t>鸟乡</t>
  </si>
  <si>
    <t>白酒; 米酒; 酸酒（低等葡萄酒）; 威士忌; 甜酒; 高粱酒; 清酒; 果酒（含酒精）; 烈酒; 梅酒</t>
  </si>
  <si>
    <t>九迎河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</si>
  <si>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</si>
  <si>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禹蔬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</si>
  <si>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>俞</t>
    </r>
    <r>
      <rPr>
        <sz val="11"/>
        <color theme="1"/>
        <rFont val="ＭＳ Ｐゴシック"/>
        <family val="3"/>
        <charset val="128"/>
        <scheme val="minor"/>
      </rPr>
      <t>酒（重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）品牌管理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</si>
  <si>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米酒;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</t>
    </r>
  </si>
  <si>
    <t>花天女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</si>
  <si>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莞市大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盟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的供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</si>
  <si>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酸酒（低等葡萄酒）; 白酒; 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</si>
  <si>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崖清醇</t>
    </r>
  </si>
  <si>
    <r>
      <t>宋学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</si>
  <si>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</si>
  <si>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帆达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</si>
  <si>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门齐</t>
    </r>
    <r>
      <rPr>
        <sz val="11"/>
        <color theme="1"/>
        <rFont val="ＭＳ Ｐゴシック"/>
        <family val="3"/>
        <charset val="128"/>
        <scheme val="minor"/>
      </rPr>
      <t>帆达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</si>
  <si>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</si>
  <si>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悠甑韵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</si>
  <si>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</si>
  <si>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明柔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</si>
  <si>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白酒; 食用酒精; 米酒</t>
    </r>
  </si>
  <si>
    <t>椰承罐</t>
  </si>
  <si>
    <r>
      <t>琼</t>
    </r>
    <r>
      <rPr>
        <sz val="11"/>
        <color theme="1"/>
        <rFont val="ＭＳ Ｐゴシック"/>
        <family val="3"/>
        <charset val="128"/>
        <scheme val="minor"/>
      </rPr>
      <t>海玲</t>
    </r>
    <r>
      <rPr>
        <sz val="11"/>
        <color theme="1"/>
        <rFont val="ＭＳ Ｐゴシック"/>
        <family val="3"/>
        <charset val="134"/>
        <scheme val="minor"/>
      </rPr>
      <t>珑软</t>
    </r>
    <r>
      <rPr>
        <sz val="11"/>
        <color theme="1"/>
        <rFont val="ＭＳ Ｐゴシック"/>
        <family val="3"/>
        <charset val="128"/>
        <scheme val="minor"/>
      </rPr>
      <t>件有限公司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</si>
  <si>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威士忌; 白酒;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烈酒; 白干酒（中国白酒）; 果酒</t>
    </r>
  </si>
  <si>
    <r>
      <t>九辰灵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</si>
  <si>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北京玖重壹空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灵物生物科技有限公司</t>
    </r>
  </si>
  <si>
    <r>
      <t>白酒;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</si>
  <si>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r>
      <t>野</t>
    </r>
    <r>
      <rPr>
        <sz val="11"/>
        <color theme="1"/>
        <rFont val="ＭＳ Ｐゴシック"/>
        <family val="3"/>
        <charset val="134"/>
        <scheme val="minor"/>
      </rPr>
      <t>栛</t>
    </r>
  </si>
  <si>
    <t>侯博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</si>
  <si>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</si>
  <si>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葡利世家</t>
  </si>
  <si>
    <r>
      <t>柯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</si>
  <si>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 xml:space="preserve">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开胃酒;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</si>
  <si>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箕山</t>
    </r>
    <r>
      <rPr>
        <sz val="11"/>
        <color theme="1"/>
        <rFont val="ＭＳ Ｐゴシック"/>
        <family val="3"/>
        <charset val="134"/>
        <scheme val="minor"/>
      </rPr>
      <t>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</si>
  <si>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</si>
  <si>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r>
      <t>五六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</si>
  <si>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布正商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</si>
  <si>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</si>
  <si>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清河洛</t>
  </si>
  <si>
    <t>岳宗翰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</si>
  <si>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</si>
  <si>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天汗魂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</si>
  <si>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</si>
  <si>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璞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</si>
  <si>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</si>
  <si>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瑞社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</si>
  <si>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</si>
  <si>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</si>
  <si>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广粤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</si>
  <si>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广西黑帝斯投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</si>
  <si>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</si>
  <si>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丹林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儒</t>
    </r>
  </si>
  <si>
    <t>沈茂林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</si>
  <si>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开胃酒; 水果汽酒; 刺五加酒; 食用酒精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</si>
  <si>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彩</t>
    </r>
    <r>
      <rPr>
        <sz val="11"/>
        <color theme="1"/>
        <rFont val="ＭＳ Ｐゴシック"/>
        <family val="3"/>
        <charset val="134"/>
        <scheme val="minor"/>
      </rPr>
      <t>缤纷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</si>
  <si>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</si>
  <si>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</si>
  <si>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曌洲</t>
  </si>
  <si>
    <r>
      <t>西安天洲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</si>
  <si>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清酒（日本米酒）;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</si>
  <si>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YINGKANI</t>
  </si>
  <si>
    <r>
      <t>伏特加酒; 白酒; 果酒（含酒精）; 汽酒; 含酒精的气泡水;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</si>
  <si>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溢悠坊</t>
  </si>
  <si>
    <r>
      <t>合肥祝余商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</si>
  <si>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白酒;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</si>
  <si>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永叙酒坊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</si>
  <si>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州民</t>
    </r>
    <r>
      <rPr>
        <sz val="11"/>
        <color theme="1"/>
        <rFont val="ＭＳ Ｐゴシック"/>
        <family val="3"/>
        <charset val="134"/>
        <scheme val="minor"/>
      </rPr>
      <t>间传统酿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</si>
  <si>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清酒（日本米酒）; 米酒; 黄酒; 高粱酒; 果酒;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</si>
  <si>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祝</t>
    </r>
  </si>
  <si>
    <r>
      <t>青稞酒;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</si>
  <si>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将离愁</t>
  </si>
  <si>
    <r>
      <t>中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农农业</t>
    </r>
    <r>
      <rPr>
        <sz val="11"/>
        <color theme="1"/>
        <rFont val="ＭＳ Ｐゴシック"/>
        <family val="3"/>
        <charset val="128"/>
        <scheme val="minor"/>
      </rPr>
      <t>科技（湖北）有限公司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</si>
  <si>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果酒（含酒精）; 白酒; 黄酒; 开胃酒; 米酒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</si>
  <si>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社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</si>
  <si>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</si>
  <si>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</si>
  <si>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医生大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房 SINGLE DOCTOR PHARMACY</t>
    </r>
  </si>
  <si>
    <r>
      <t>湖南御挺兄弟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</si>
  <si>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开胃酒;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白酒;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果酒（含酒精）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</si>
  <si>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君成名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</si>
  <si>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</si>
  <si>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召令</t>
    </r>
  </si>
  <si>
    <t>李海鑫</t>
  </si>
  <si>
    <r>
      <t>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</si>
  <si>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涡红</t>
    </r>
    <r>
      <rPr>
        <sz val="11"/>
        <color theme="1"/>
        <rFont val="ＭＳ Ｐゴシック"/>
        <family val="3"/>
        <charset val="128"/>
        <scheme val="minor"/>
      </rPr>
      <t>透</t>
    </r>
  </si>
  <si>
    <r>
      <t>开胃酒;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</si>
  <si>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比个七</t>
  </si>
  <si>
    <t>河北七淼七科技有限公司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</si>
  <si>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果酒; 蜂蜜酒;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</si>
  <si>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仙客洞</t>
  </si>
  <si>
    <r>
      <t>中国品牌之星文化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</si>
  <si>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</t>
    </r>
  </si>
  <si>
    <t>艾焰</t>
  </si>
  <si>
    <r>
      <t>奎屯年年丰果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</si>
  <si>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</si>
  <si>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咔咔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管理（浙江）有限公司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</si>
  <si>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果酒（含酒精）;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</si>
  <si>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久久壹心</t>
  </si>
  <si>
    <r>
      <t>上海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久科技有限公司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</si>
  <si>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</si>
  <si>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上海金</t>
    </r>
    <r>
      <rPr>
        <sz val="11"/>
        <color theme="1"/>
        <rFont val="ＭＳ Ｐゴシック"/>
        <family val="3"/>
        <charset val="134"/>
        <scheme val="minor"/>
      </rPr>
      <t>钥</t>
    </r>
    <r>
      <rPr>
        <sz val="11"/>
        <color theme="1"/>
        <rFont val="ＭＳ Ｐゴシック"/>
        <family val="3"/>
        <charset val="128"/>
        <scheme val="minor"/>
      </rPr>
      <t>匙健康管理有限公司</t>
    </r>
  </si>
  <si>
    <r>
      <t xml:space="preserve">米酒; 汽酒; 清酒（日本米酒）;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</si>
  <si>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柏状元</t>
  </si>
  <si>
    <r>
      <t>班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</si>
  <si>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</si>
  <si>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降堂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</si>
  <si>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良裕田食品有限公司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</si>
  <si>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</si>
  <si>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晋醉江</t>
  </si>
  <si>
    <r>
      <t>汾阳市晋醉江酒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</si>
  <si>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米酒;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清酒; 薄荷酒;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</si>
  <si>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路上甲</t>
  </si>
  <si>
    <r>
      <t>凉城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岱海白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</si>
  <si>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白酒; 开胃酒; 食用酒精;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</t>
    </r>
  </si>
  <si>
    <r>
      <t>梅乃</t>
    </r>
    <r>
      <rPr>
        <sz val="11"/>
        <color theme="1"/>
        <rFont val="ＭＳ Ｐゴシック"/>
        <family val="3"/>
        <charset val="134"/>
        <scheme val="minor"/>
      </rPr>
      <t>岛</t>
    </r>
  </si>
  <si>
    <t>草莓酒; 清酒; 米酒; 梅酒; 果酒（含酒精）; 甜酒; 白酒; 酸酒（低等葡萄酒）; 烈酒; 高粱酒</t>
  </si>
  <si>
    <t>田道尹</t>
  </si>
  <si>
    <t>徐士昌</t>
  </si>
  <si>
    <r>
      <t>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利口酒;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</si>
  <si>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t>DONG JIAO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</si>
  <si>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聚米网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</si>
  <si>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开胃酒</t>
    </r>
  </si>
  <si>
    <t>一念草木中</t>
  </si>
  <si>
    <r>
      <t>上海仁真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</si>
  <si>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蜂蜜酒</t>
    </r>
  </si>
  <si>
    <r>
      <t>更</t>
    </r>
    <r>
      <rPr>
        <sz val="11"/>
        <color theme="1"/>
        <rFont val="ＭＳ Ｐゴシック"/>
        <family val="3"/>
        <charset val="134"/>
        <scheme val="minor"/>
      </rPr>
      <t>简</t>
    </r>
  </si>
  <si>
    <r>
      <t>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</si>
  <si>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阿斯牛牛</t>
  </si>
  <si>
    <r>
      <t>凉山阿斯牛牛春天旅游集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</si>
  <si>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蒸煮提取物（利口酒和烈酒）; 米酒; 白酒; 开胃酒;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</si>
  <si>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牛城</t>
    </r>
    <r>
      <rPr>
        <sz val="11"/>
        <color theme="1"/>
        <rFont val="ＭＳ Ｐゴシック"/>
        <family val="3"/>
        <charset val="129"/>
        <scheme val="minor"/>
      </rPr>
      <t>湡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</si>
  <si>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河北金薯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</si>
  <si>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</si>
  <si>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止今</t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</si>
  <si>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</si>
  <si>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持运</t>
  </si>
  <si>
    <r>
      <t xml:space="preserve">米酒; 黄酒; 果酒（含酒精）;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</t>
    </r>
  </si>
  <si>
    <t>酩羌</t>
  </si>
  <si>
    <t>何新明</t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</si>
  <si>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</t>
    </r>
  </si>
  <si>
    <r>
      <t>源丰宝湖酒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</si>
  <si>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宝湖酒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（福建）有限公司</t>
    </r>
  </si>
  <si>
    <r>
      <t>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</si>
  <si>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狂</t>
    </r>
    <r>
      <rPr>
        <sz val="11"/>
        <color theme="1"/>
        <rFont val="ＭＳ Ｐゴシック"/>
        <family val="3"/>
        <charset val="134"/>
        <scheme val="minor"/>
      </rPr>
      <t>风啸</t>
    </r>
  </si>
  <si>
    <r>
      <t>黄酒; 开胃酒;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</si>
  <si>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解育</t>
  </si>
  <si>
    <t>糖克先生（北京）健康科技有限公司</t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</si>
  <si>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含酒精蛋奶酒;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青稞酒; 清酒; 起泡白葡萄酒</t>
    </r>
  </si>
  <si>
    <t>理想或</t>
  </si>
  <si>
    <r>
      <t>湖南理想国文化旅游开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</si>
  <si>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清酒;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</si>
  <si>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祈煌</t>
    </r>
    <r>
      <rPr>
        <sz val="11"/>
        <color theme="1"/>
        <rFont val="ＭＳ Ｐゴシック"/>
        <family val="3"/>
        <charset val="134"/>
        <scheme val="minor"/>
      </rPr>
      <t>酿</t>
    </r>
  </si>
  <si>
    <t>李国平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</si>
  <si>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果酒（含酒精）; 白干酒（中国白酒）; 高粱酒</t>
    </r>
  </si>
  <si>
    <t>田和坊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</si>
  <si>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西秦源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</si>
  <si>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利口酒;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</si>
  <si>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壮美广溪</t>
  </si>
  <si>
    <r>
      <t>广西壮美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</si>
  <si>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清酒（日本米酒）; 白葡萄酒; 甜酒; 白干酒（中国白酒）</t>
    </r>
  </si>
  <si>
    <t>醉美金陵皇帝酒</t>
  </si>
  <si>
    <r>
      <t>南京美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</si>
  <si>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蜂蜜酒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</si>
  <si>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九帝</t>
    </r>
  </si>
  <si>
    <t>章欣</t>
  </si>
  <si>
    <r>
      <t>清酒（日本米酒）; 威士忌; 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</si>
  <si>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君典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</si>
  <si>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利口酒; 白酒; 开胃酒; 黄酒</t>
    </r>
  </si>
  <si>
    <r>
      <t>喜桃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</si>
  <si>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大姚御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</si>
  <si>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葡萄酒; 白酒; 烈酒; 甜酒;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</si>
  <si>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最美川</t>
  </si>
  <si>
    <r>
      <t xml:space="preserve">梅酒; 松叶酒;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杜松子酒; 高粱酒; 白酒; 苹果酒</t>
    </r>
  </si>
  <si>
    <t>聆春</t>
  </si>
  <si>
    <t>付荣</t>
  </si>
  <si>
    <r>
      <t>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</t>
    </r>
  </si>
  <si>
    <r>
      <t>大昭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</si>
  <si>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t>西藏圣美家超市有限公司</t>
  </si>
  <si>
    <r>
      <t>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朗姆酒; 果酒</t>
    </r>
  </si>
  <si>
    <t>禾澈</t>
  </si>
  <si>
    <r>
      <t>梁嘉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</si>
  <si>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米酒; 白酒; 苹果酒;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</si>
  <si>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天存天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</si>
  <si>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白干酒（中国白酒）; 高粱酒;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</si>
  <si>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以界</t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</si>
  <si>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方寸桃心品牌管理有限公司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</si>
  <si>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薄荷酒; 梨酒</t>
    </r>
  </si>
  <si>
    <r>
      <t>天存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</si>
  <si>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 xml:space="preserve">白酒; 白干酒（中国白酒）; 甜果酒;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</si>
  <si>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遵阳街</t>
  </si>
  <si>
    <t>林春</t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</si>
  <si>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</si>
  <si>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杏林广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</si>
  <si>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南京广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</si>
  <si>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露酒; 果酒</t>
    </r>
  </si>
  <si>
    <t>王小恋</t>
  </si>
  <si>
    <r>
      <t>王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茂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</si>
  <si>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</si>
  <si>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礼自在</t>
  </si>
  <si>
    <r>
      <t>张</t>
    </r>
    <r>
      <rPr>
        <sz val="11"/>
        <color theme="1"/>
        <rFont val="ＭＳ Ｐゴシック"/>
        <family val="3"/>
        <charset val="128"/>
        <scheme val="minor"/>
      </rPr>
      <t>沐琳</t>
    </r>
  </si>
  <si>
    <r>
      <t>果酒（含酒精）;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</si>
  <si>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骐</t>
    </r>
    <r>
      <rPr>
        <sz val="11"/>
        <color theme="1"/>
        <rFont val="ＭＳ Ｐゴシック"/>
        <family val="3"/>
        <charset val="128"/>
        <scheme val="minor"/>
      </rPr>
      <t>智健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</si>
  <si>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信宏仁医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</si>
  <si>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白酒; 米酒; 食用酒精; 五加皮酒（中国混合烈酒）</t>
    </r>
  </si>
  <si>
    <r>
      <t>亮</t>
    </r>
    <r>
      <rPr>
        <sz val="11"/>
        <color theme="1"/>
        <rFont val="ＭＳ Ｐゴシック"/>
        <family val="3"/>
        <charset val="134"/>
        <scheme val="minor"/>
      </rPr>
      <t>剑铁马长风</t>
    </r>
  </si>
  <si>
    <r>
      <t>上海亮</t>
    </r>
    <r>
      <rPr>
        <sz val="11"/>
        <color theme="1"/>
        <rFont val="ＭＳ Ｐゴシック"/>
        <family val="3"/>
        <charset val="134"/>
        <scheme val="minor"/>
      </rPr>
      <t>剑军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</si>
  <si>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米酒; 伏特加酒;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</si>
  <si>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野小</t>
    </r>
    <r>
      <rPr>
        <sz val="11"/>
        <color theme="1"/>
        <rFont val="ＭＳ Ｐゴシック"/>
        <family val="3"/>
        <charset val="134"/>
        <scheme val="minor"/>
      </rPr>
      <t>唤</t>
    </r>
  </si>
  <si>
    <r>
      <t>福州品草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</si>
  <si>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梅酒; 白干酒（中国白酒）; 白酒; 黄酒; 米酒</t>
    </r>
  </si>
  <si>
    <r>
      <t>辈</t>
    </r>
    <r>
      <rPr>
        <sz val="11"/>
        <color theme="1"/>
        <rFont val="ＭＳ Ｐゴシック"/>
        <family val="3"/>
        <charset val="128"/>
        <scheme val="minor"/>
      </rPr>
      <t>代品</t>
    </r>
  </si>
  <si>
    <r>
      <t>十堰市臣双黄酒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</si>
  <si>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</si>
  <si>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旺君安</t>
  </si>
  <si>
    <t>上海君常安健康科技有限公司</t>
  </si>
  <si>
    <r>
      <t>蒸煮提取物（利口酒和烈酒）; 食用酒精; 白酒;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</si>
  <si>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高山</t>
    </r>
    <r>
      <rPr>
        <sz val="11"/>
        <color theme="1"/>
        <rFont val="ＭＳ Ｐゴシック"/>
        <family val="3"/>
        <charset val="134"/>
        <scheme val="minor"/>
      </rPr>
      <t>热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</si>
  <si>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高山服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</si>
  <si>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</si>
  <si>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魅存</t>
  </si>
  <si>
    <r>
      <t>深圳市互雨国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</si>
  <si>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白葡萄酒; 葡萄酒;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</si>
  <si>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瓶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聚</t>
    </r>
  </si>
  <si>
    <t>王杰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</si>
  <si>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</si>
  <si>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猛能</t>
  </si>
  <si>
    <r>
      <t>包</t>
    </r>
    <r>
      <rPr>
        <sz val="11"/>
        <color theme="1"/>
        <rFont val="ＭＳ Ｐゴシック"/>
        <family val="3"/>
        <charset val="134"/>
        <scheme val="minor"/>
      </rPr>
      <t>艳军</t>
    </r>
  </si>
  <si>
    <t>白酒; 甜酒; 葡萄酒; 果酒; 威士忌; 汽酒; 米酒; 黄酒; 草本型利口酒; 清酒</t>
  </si>
  <si>
    <r>
      <t>口中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</si>
  <si>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上海神</t>
    </r>
    <r>
      <rPr>
        <sz val="11"/>
        <color theme="1"/>
        <rFont val="ＭＳ Ｐゴシック"/>
        <family val="3"/>
        <charset val="134"/>
        <scheme val="minor"/>
      </rPr>
      <t>鼋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</si>
  <si>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清酒（日本米酒）;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</si>
  <si>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信拜廷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</si>
  <si>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米酒; 蜂蜜酒; 高粱酒; 黄酒; 白酒</t>
    </r>
  </si>
  <si>
    <r>
      <t>黄塘</t>
    </r>
    <r>
      <rPr>
        <sz val="11"/>
        <color theme="1"/>
        <rFont val="ＭＳ Ｐゴシック"/>
        <family val="3"/>
        <charset val="134"/>
        <scheme val="minor"/>
      </rPr>
      <t>队</t>
    </r>
    <r>
      <rPr>
        <sz val="11"/>
        <color theme="1"/>
        <rFont val="ＭＳ Ｐゴシック"/>
        <family val="3"/>
        <charset val="128"/>
        <scheme val="minor"/>
      </rPr>
      <t xml:space="preserve"> HUANGTANG TEAM</t>
    </r>
  </si>
  <si>
    <t>四川留意家食品有限公司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</si>
  <si>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</si>
  <si>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广州偏差和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</si>
  <si>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蒸煮提取物（利口酒和烈酒）; 苦味酒;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</si>
  <si>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芝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曲</t>
    </r>
  </si>
  <si>
    <r>
      <t>王一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</si>
  <si>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 xml:space="preserve">果酒（含酒精）; 米酒; 葡萄酒; 白酒; 梅酒;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</si>
  <si>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锦绣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</si>
  <si>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建波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</si>
  <si>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果酒（含酒精）</t>
    </r>
  </si>
  <si>
    <t>皇府脉</t>
  </si>
  <si>
    <t>相海峰</t>
  </si>
  <si>
    <r>
      <t xml:space="preserve">烈酒;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</si>
  <si>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记忆蔺</t>
  </si>
  <si>
    <r>
      <t>萍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市星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</si>
  <si>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</si>
  <si>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</si>
  <si>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甜果酒; 高粱酒;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青稞酒;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</si>
  <si>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SOCIALSMITHS</t>
  </si>
  <si>
    <r>
      <t>中山市新文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</si>
  <si>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餐后酒（利口酒和烈酒）</t>
    </r>
  </si>
  <si>
    <t>GM</t>
  </si>
  <si>
    <t>潘宇航</t>
  </si>
  <si>
    <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青稞酒; 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</si>
  <si>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湖北神</t>
    </r>
    <r>
      <rPr>
        <sz val="11"/>
        <color theme="1"/>
        <rFont val="ＭＳ Ｐゴシック"/>
        <family val="3"/>
        <charset val="134"/>
        <scheme val="minor"/>
      </rPr>
      <t>农酿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</si>
  <si>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</si>
  <si>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奈凰</t>
  </si>
  <si>
    <r>
      <t>南京云柿供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</si>
  <si>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露酒;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</si>
  <si>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聚星运ALWAYS LUCKY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</si>
  <si>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琴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得宜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</si>
  <si>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汽酒; 茴芹酒（利口酒）; 餐后酒（利口酒和烈酒）; 利口酒; 威士忌; 果酒（含酒精）</t>
    </r>
  </si>
  <si>
    <t>张红</t>
  </si>
  <si>
    <r>
      <t>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黄酒; 高粱酒</t>
    </r>
  </si>
  <si>
    <t>如叙</t>
  </si>
  <si>
    <t>杭州熠燃品牌管理有限公司</t>
  </si>
  <si>
    <r>
      <t xml:space="preserve">甜酒; 清酒（日本米酒）;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梅酒;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</si>
  <si>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OWLPRINCE</t>
  </si>
  <si>
    <r>
      <t>广州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象文化用品有限公司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</si>
  <si>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黄酒</t>
    </r>
  </si>
  <si>
    <t>蝶彩源</t>
  </si>
  <si>
    <r>
      <t>张</t>
    </r>
    <r>
      <rPr>
        <sz val="11"/>
        <color theme="1"/>
        <rFont val="ＭＳ Ｐゴシック"/>
        <family val="3"/>
        <charset val="128"/>
        <scheme val="minor"/>
      </rPr>
      <t>才明******************</t>
    </r>
  </si>
  <si>
    <r>
      <t xml:space="preserve">白酒;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</si>
  <si>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叶氏同禾堂</t>
  </si>
  <si>
    <t>叶林梅</t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</si>
  <si>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果酒（含酒精）; 白酒; 食用酒精</t>
    </r>
  </si>
  <si>
    <t>修亭</t>
  </si>
  <si>
    <r>
      <t>汽酒; 食用酒精;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</si>
  <si>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PXHD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</si>
  <si>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苦味酒; 果酒（含酒精）;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</si>
  <si>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带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</si>
  <si>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</si>
  <si>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威士忌; 葡萄酒; 黄酒; 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米酒; 梅酒</t>
    </r>
  </si>
  <si>
    <r>
      <t>同</t>
    </r>
    <r>
      <rPr>
        <sz val="11"/>
        <color theme="1"/>
        <rFont val="ＭＳ Ｐゴシック"/>
        <family val="3"/>
        <charset val="134"/>
        <scheme val="minor"/>
      </rPr>
      <t>频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</si>
  <si>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想未来（成都）酒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</si>
  <si>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</si>
  <si>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山川</t>
    </r>
    <r>
      <rPr>
        <sz val="11"/>
        <color theme="1"/>
        <rFont val="ＭＳ Ｐゴシック"/>
        <family val="3"/>
        <charset val="134"/>
        <scheme val="minor"/>
      </rPr>
      <t>诀</t>
    </r>
  </si>
  <si>
    <r>
      <t>清酒（日本米酒）; 威士忌;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烈酒; 白酒; 葡萄酒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</si>
  <si>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方古堡文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</si>
  <si>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黄酒; 开胃酒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</si>
  <si>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勒</t>
    </r>
  </si>
  <si>
    <r>
      <t>上海酒来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</si>
  <si>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烈酒; 甜酒; 黄酒</t>
    </r>
  </si>
  <si>
    <t>正玥点</t>
  </si>
  <si>
    <r>
      <t>佛山市南海玥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食品配送部（普通合伙）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</si>
  <si>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餐后酒（利口酒和烈酒）; 威士忌;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</si>
  <si>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蒙字宝</t>
  </si>
  <si>
    <r>
      <t>二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浩特蒙俄</t>
    </r>
    <r>
      <rPr>
        <sz val="11"/>
        <color theme="1"/>
        <rFont val="ＭＳ Ｐゴシック"/>
        <family val="3"/>
        <charset val="134"/>
        <scheme val="minor"/>
      </rPr>
      <t>对</t>
    </r>
    <r>
      <rPr>
        <sz val="11"/>
        <color theme="1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</si>
  <si>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</si>
  <si>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常寿道</t>
  </si>
  <si>
    <r>
      <t>任宏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</si>
  <si>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</si>
  <si>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花冠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</si>
  <si>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</si>
  <si>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珊点芭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</si>
  <si>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傅友文化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</si>
  <si>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苹果酒; 烈酒; 葡萄酒</t>
    </r>
  </si>
  <si>
    <r>
      <t>洞氿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</si>
  <si>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民安酒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</si>
  <si>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葡萄酒;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威士忌; 黄酒; 白酒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</si>
  <si>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</si>
  <si>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</si>
  <si>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汽酒;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青稞酒</t>
    </r>
  </si>
  <si>
    <t>信宏仁</t>
  </si>
  <si>
    <r>
      <t xml:space="preserve">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食用酒精;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</si>
  <si>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漫步芳</t>
    </r>
    <r>
      <rPr>
        <sz val="11"/>
        <color theme="1"/>
        <rFont val="ＭＳ Ｐゴシック"/>
        <family val="3"/>
        <charset val="134"/>
        <scheme val="minor"/>
      </rPr>
      <t>华</t>
    </r>
  </si>
  <si>
    <t>岩温叫</t>
  </si>
  <si>
    <r>
      <t>米酒; 伏特加酒; 果酒（含酒精）;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</si>
  <si>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存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</si>
  <si>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五加皮酒（中国混合烈酒）;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白葡萄酒; 白干酒（中国白酒）; 白酒</t>
    </r>
  </si>
  <si>
    <t>融牛</t>
  </si>
  <si>
    <t>沈阳市融牛食品有限公司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</si>
  <si>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露酒; 米酒; 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</si>
  <si>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三分原</t>
  </si>
  <si>
    <t>李嘉阳</t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</si>
  <si>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</si>
  <si>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</si>
  <si>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</si>
  <si>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衡昌合天下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</si>
  <si>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青稞酒;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高粱酒; 甜果酒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</si>
  <si>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龚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</si>
  <si>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</si>
  <si>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苹果酒</t>
    </r>
  </si>
  <si>
    <t>O’ER THE MOOON</t>
  </si>
  <si>
    <r>
      <t>上海澳佑翰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</si>
  <si>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黑覆盆子酒; 露酒;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佐餐酒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</si>
  <si>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壬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</si>
  <si>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果酒（含酒精）;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威士忌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</si>
  <si>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品冠</t>
    </r>
  </si>
  <si>
    <t>曾其春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</si>
  <si>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葡萄酒; 黄酒</t>
    </r>
  </si>
  <si>
    <r>
      <t>桓供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</si>
  <si>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桓仁裕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</si>
  <si>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</si>
  <si>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从花</t>
  </si>
  <si>
    <r>
      <t>鞠香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</si>
  <si>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伏特加酒;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黄酒; 果酒（含酒精）</t>
    </r>
  </si>
  <si>
    <t>SSAW BLOSSOMS</t>
  </si>
  <si>
    <r>
      <t>君亭酒店集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</si>
  <si>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</si>
  <si>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君亭繁会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</si>
  <si>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威士忌; 开胃酒;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</si>
  <si>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京方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</si>
  <si>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焦作市解放区旺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食品店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</si>
  <si>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果酒（含酒精）; 白酒; 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</si>
  <si>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KAKTOS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</si>
  <si>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大沿海出版工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</si>
  <si>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伏特加酒</t>
    </r>
  </si>
  <si>
    <t>MOUNTAIN FEVER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</si>
  <si>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果酒（含酒精）</t>
    </r>
  </si>
  <si>
    <t>初茶人家</t>
  </si>
  <si>
    <r>
      <t>叶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</si>
  <si>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</si>
  <si>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入凡</t>
  </si>
  <si>
    <t>吴茜</t>
  </si>
  <si>
    <r>
      <t xml:space="preserve">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梅酒;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梨酒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</si>
  <si>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华坛</t>
    </r>
  </si>
  <si>
    <r>
      <t xml:space="preserve">果酒（含酒精）;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</si>
  <si>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飞龙</t>
    </r>
  </si>
  <si>
    <r>
      <t xml:space="preserve">利口酒;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甜果酒;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白干酒（中国白酒）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</si>
  <si>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坊合天下</t>
    </r>
  </si>
  <si>
    <r>
      <t xml:space="preserve">白酒;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甜果酒;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</t>
    </r>
  </si>
  <si>
    <t>苗存</t>
  </si>
  <si>
    <r>
      <t xml:space="preserve">白酒; 五加皮酒（中国混合烈酒）; 葡萄酒; 高粱酒; 米酒;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</si>
  <si>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t>阿母吉依</t>
  </si>
  <si>
    <t>云南阿母吉依生物科技有限公司</t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</si>
  <si>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蜂蜜酒; 白酒; 高粱酒;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草莓酒</t>
    </r>
  </si>
  <si>
    <t>粮皇叔</t>
  </si>
  <si>
    <r>
      <t>王玉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</si>
  <si>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</si>
  <si>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滁</t>
    </r>
  </si>
  <si>
    <r>
      <t>南京市八两酒酒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</si>
  <si>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开胃酒; 食用酒精; 葡萄酒; 果酒（含酒精）;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</t>
    </r>
  </si>
  <si>
    <t>大昭万福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</si>
  <si>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青稞酒;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</t>
    </r>
  </si>
  <si>
    <t>禄天承</t>
  </si>
  <si>
    <t>周奇松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</si>
  <si>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米酒</t>
    </r>
  </si>
  <si>
    <t>望花雨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</si>
  <si>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</t>
    </r>
  </si>
  <si>
    <t>蕊而</t>
  </si>
  <si>
    <r>
      <t>广州蕊而科技服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</si>
  <si>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含酒精的气泡水; 白酒</t>
    </r>
  </si>
  <si>
    <t>阳光情王</t>
  </si>
  <si>
    <r>
      <t>蓬莱</t>
    </r>
    <r>
      <rPr>
        <sz val="11"/>
        <color theme="1"/>
        <rFont val="ＭＳ Ｐゴシック"/>
        <family val="3"/>
        <charset val="134"/>
        <scheme val="minor"/>
      </rPr>
      <t>腾鸿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</si>
  <si>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烈酒;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</si>
  <si>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</si>
  <si>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</si>
  <si>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太和</t>
    </r>
    <r>
      <rPr>
        <sz val="11"/>
        <color theme="1"/>
        <rFont val="ＭＳ Ｐゴシック"/>
        <family val="3"/>
        <charset val="134"/>
        <scheme val="minor"/>
      </rPr>
      <t>铨</t>
    </r>
  </si>
  <si>
    <r>
      <t xml:space="preserve">高粱酒;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</si>
  <si>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史耐欧</t>
  </si>
  <si>
    <t>瑞雪私人有限公司</t>
  </si>
  <si>
    <r>
      <t>葡萄酒; 苹果酒;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开胃酒</t>
    </r>
  </si>
  <si>
    <t>在次</t>
  </si>
  <si>
    <r>
      <t>亳州市阳燿生物科技有限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</si>
  <si>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</t>
    </r>
  </si>
  <si>
    <t>酉状元</t>
  </si>
  <si>
    <r>
      <t xml:space="preserve">高粱酒; 松叶酒;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果酒; 梅酒; 白酒; 苹果酒; 杜松子酒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</si>
  <si>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里</t>
    </r>
  </si>
  <si>
    <t>朱秀梅</t>
  </si>
  <si>
    <r>
      <t xml:space="preserve">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葡萄酒; 高粱酒; 果酒（含酒精）; 黄酒; 烈酒</t>
    </r>
  </si>
  <si>
    <r>
      <t>自在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和元炁</t>
    </r>
  </si>
  <si>
    <r>
      <t>露酒;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威士忌; 开胃酒</t>
    </r>
  </si>
  <si>
    <t>恒舟</t>
  </si>
  <si>
    <r>
      <t>陈</t>
    </r>
    <r>
      <rPr>
        <sz val="11"/>
        <color theme="1"/>
        <rFont val="ＭＳ Ｐゴシック"/>
        <family val="3"/>
        <charset val="128"/>
        <scheme val="minor"/>
      </rPr>
      <t>琳</t>
    </r>
  </si>
  <si>
    <r>
      <t xml:space="preserve">威士忌; 白酒; 葡萄酒; 果酒（含酒精）; 清酒（日本米酒）; 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</si>
  <si>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龄</t>
    </r>
    <r>
      <rPr>
        <sz val="11"/>
        <color theme="1"/>
        <rFont val="ＭＳ Ｐゴシック"/>
        <family val="3"/>
        <charset val="128"/>
        <scheme val="minor"/>
      </rPr>
      <t>草集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</si>
  <si>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五加皮酒（中国混合烈酒）;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</si>
  <si>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平安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</si>
  <si>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五加皮酒（中国混合烈酒）;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蜂蜜酒;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</si>
  <si>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瑞必得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</si>
  <si>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高粱酒; 五加皮酒（中国混合烈酒）;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</si>
  <si>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龙诵</t>
  </si>
  <si>
    <r>
      <t>伏特加酒;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黄酒; 葡萄酒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</si>
  <si>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飞龙</t>
    </r>
  </si>
  <si>
    <r>
      <t xml:space="preserve">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利口酒;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</si>
  <si>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团圆</t>
    </r>
    <r>
      <rPr>
        <sz val="11"/>
        <color theme="1"/>
        <rFont val="ＭＳ Ｐゴシック"/>
        <family val="3"/>
        <charset val="128"/>
        <scheme val="minor"/>
      </rPr>
      <t>脉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</si>
  <si>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</si>
  <si>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古匠潭</t>
  </si>
  <si>
    <t>王明会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</si>
  <si>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</si>
  <si>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可雅典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</si>
  <si>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裕葡萄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</si>
  <si>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</si>
  <si>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醇小</t>
    </r>
    <r>
      <rPr>
        <sz val="11"/>
        <color theme="1"/>
        <rFont val="ＭＳ Ｐゴシック"/>
        <family val="3"/>
        <charset val="134"/>
        <scheme val="minor"/>
      </rPr>
      <t>迈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</si>
  <si>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榕朴企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</si>
  <si>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米酒; 黄酒; 威士忌; 含酒精蛋奶酒;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</si>
  <si>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贵汉</t>
    </r>
    <r>
      <rPr>
        <sz val="11"/>
        <color theme="1"/>
        <rFont val="ＭＳ Ｐゴシック"/>
        <family val="3"/>
        <charset val="128"/>
        <scheme val="minor"/>
      </rPr>
      <t>乾</t>
    </r>
  </si>
  <si>
    <t>梁至燕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</si>
  <si>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</t>
    </r>
  </si>
  <si>
    <r>
      <t xml:space="preserve">白酒; 利口酒; 高粱酒;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白干酒（中国白酒）</t>
    </r>
  </si>
  <si>
    <t>阿恋部落</t>
  </si>
  <si>
    <r>
      <t>高粱酒;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</si>
  <si>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旮旯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</si>
  <si>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福建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邦抖城科技有限公司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</si>
  <si>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</si>
  <si>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月陶然</t>
    </r>
  </si>
  <si>
    <r>
      <t>露酒;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佐餐酒; 黑覆盆子酒;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</si>
  <si>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五岳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</si>
  <si>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</si>
  <si>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郸</t>
    </r>
  </si>
  <si>
    <r>
      <t>周口市老家丹成商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</si>
  <si>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高粱酒; 甜酒; 果酒; 开胃酒; 葡萄酒;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</si>
  <si>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水蕖清</t>
  </si>
  <si>
    <r>
      <t>柳永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</si>
  <si>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</si>
  <si>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山湖水蕖清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</si>
  <si>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</si>
  <si>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静酒仙</t>
  </si>
  <si>
    <r>
      <t>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清酒（日本米酒）; 威士忌; 米酒; 白酒</t>
    </r>
  </si>
  <si>
    <t>晋熊猫</t>
  </si>
  <si>
    <r>
      <t>沈祝</t>
    </r>
    <r>
      <rPr>
        <sz val="11"/>
        <color theme="1"/>
        <rFont val="ＭＳ Ｐゴシック"/>
        <family val="3"/>
        <charset val="134"/>
        <scheme val="minor"/>
      </rPr>
      <t>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</si>
  <si>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</t>
    </r>
  </si>
  <si>
    <t>和平万聚源</t>
  </si>
  <si>
    <r>
      <t>山西和平酒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</si>
  <si>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高粱酒;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果酒（含酒精）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</si>
  <si>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</si>
  <si>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</si>
  <si>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白酒</t>
    </r>
  </si>
  <si>
    <t>帝兆</t>
  </si>
  <si>
    <r>
      <t xml:space="preserve">开胃酒;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</si>
  <si>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t>GD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</si>
  <si>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</si>
  <si>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老板的酒</t>
    </r>
  </si>
  <si>
    <r>
      <t>天下第一庄食品科技（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庄）有限公司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</si>
  <si>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</si>
  <si>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艾薇拉</t>
  </si>
  <si>
    <r>
      <t>山西酒悦惠国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</si>
  <si>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葡萄酒; 青梅酒;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</si>
  <si>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林城雷家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</si>
  <si>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炽</t>
    </r>
    <r>
      <rPr>
        <sz val="11"/>
        <color theme="1"/>
        <rFont val="ＭＳ Ｐゴシック"/>
        <family val="3"/>
        <charset val="128"/>
        <scheme val="minor"/>
      </rPr>
      <t>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</si>
  <si>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餐后酒（利口酒和烈酒）;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</si>
  <si>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半步</t>
    </r>
    <r>
      <rPr>
        <sz val="11"/>
        <color theme="1"/>
        <rFont val="ＭＳ Ｐゴシック"/>
        <family val="3"/>
        <charset val="134"/>
        <scheme val="minor"/>
      </rPr>
      <t>颠</t>
    </r>
  </si>
  <si>
    <r>
      <t>包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先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</si>
  <si>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果酒(含酒精); 米酒;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</si>
  <si>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r>
      <t>书剑问</t>
    </r>
    <r>
      <rPr>
        <sz val="11"/>
        <color theme="1"/>
        <rFont val="ＭＳ Ｐゴシック"/>
        <family val="3"/>
        <charset val="129"/>
        <scheme val="minor"/>
      </rPr>
      <t>篱</t>
    </r>
  </si>
  <si>
    <t>成都妙牌照明科技有限公司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</si>
  <si>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食用酒精; 米酒; 葡萄酒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</si>
  <si>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醉仙</t>
    </r>
  </si>
  <si>
    <r>
      <t xml:space="preserve">葡萄酒; 梅酒;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高粱酒; 松叶酒; 白酒; 果酒</t>
    </r>
  </si>
  <si>
    <t>秘醉仙</t>
  </si>
  <si>
    <r>
      <t xml:space="preserve">松叶酒; 杜松子酒;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梅酒; 白酒; 高粱酒; 果酒; 葡萄酒</t>
    </r>
  </si>
  <si>
    <t>盛世侯</t>
  </si>
  <si>
    <t>胡晨妍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</si>
  <si>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</si>
  <si>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涛祥喜</t>
  </si>
  <si>
    <r>
      <t>内蒙古同心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</si>
  <si>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</si>
  <si>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筑社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</si>
  <si>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</si>
  <si>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鄂航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</si>
  <si>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</si>
  <si>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君开万世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</si>
  <si>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</si>
  <si>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高粱酒; 黄酒; 利口酒;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甜果酒</t>
    </r>
  </si>
  <si>
    <t>丹霞禧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</si>
  <si>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威士忌</t>
    </r>
  </si>
  <si>
    <t>迎春光大</t>
  </si>
  <si>
    <r>
      <t>山西迎春光大商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</si>
  <si>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</si>
  <si>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GUO HU FEI SONG</t>
  </si>
  <si>
    <r>
      <t>国</t>
    </r>
    <r>
      <rPr>
        <sz val="11"/>
        <color theme="1"/>
        <rFont val="ＭＳ Ｐゴシック"/>
        <family val="3"/>
        <charset val="134"/>
        <scheme val="minor"/>
      </rPr>
      <t>鹄</t>
    </r>
    <r>
      <rPr>
        <sz val="11"/>
        <color theme="1"/>
        <rFont val="ＭＳ Ｐゴシック"/>
        <family val="3"/>
        <charset val="128"/>
        <scheme val="minor"/>
      </rPr>
      <t>航空有限公司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</si>
  <si>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</si>
  <si>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WING YIP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</si>
  <si>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</si>
  <si>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酸酒（低等葡萄酒）;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</t>
    </r>
  </si>
  <si>
    <t>孝酒仙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</si>
  <si>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威士忌; 伏特加酒; 果酒（含酒精）</t>
    </r>
  </si>
  <si>
    <r>
      <t>北宋糖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</si>
  <si>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眉山市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坡区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坡园食品厂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</si>
  <si>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葡萄酒; 米酒; 青梅酒</t>
    </r>
  </si>
  <si>
    <r>
      <t>霁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</si>
  <si>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上海辰漪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</si>
  <si>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米酒; 开胃酒</t>
    </r>
  </si>
  <si>
    <t>神泉草</t>
  </si>
  <si>
    <r>
      <t>高粱酒; 白酒; 五加皮酒（中国混合烈酒）;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</si>
  <si>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眠</t>
    </r>
  </si>
  <si>
    <t>安徽首丰生物科技有限公司</t>
  </si>
  <si>
    <r>
      <t>薄荷酒;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葡萄酒;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</si>
  <si>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葆婷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</si>
  <si>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五加皮酒（中国混合烈酒）; 白酒; 黄酒; 蜂蜜酒; 米酒; 高粱酒;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</si>
  <si>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</si>
  <si>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食用酒精; 白酒</t>
    </r>
  </si>
  <si>
    <t>儒川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</si>
  <si>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伏特加酒; 黄酒; 开胃酒; 威士忌; 葡萄酒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</si>
  <si>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</si>
  <si>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港市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丰供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</si>
  <si>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食用酒精; 果酒（含酒精）; 白酒; 高粱酒; 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</si>
  <si>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津桂</t>
  </si>
  <si>
    <t>四川阳宝食品有限公司</t>
  </si>
  <si>
    <r>
      <t>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</si>
  <si>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情御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</si>
  <si>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坊至高金点商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</si>
  <si>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白葡萄酒;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</t>
    </r>
  </si>
  <si>
    <t>JYDRT</t>
  </si>
  <si>
    <r>
      <t>津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达仁堂集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</si>
  <si>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白酒;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</si>
  <si>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r>
      <t>言</t>
    </r>
    <r>
      <rPr>
        <sz val="11"/>
        <color theme="1"/>
        <rFont val="ＭＳ Ｐゴシック"/>
        <family val="3"/>
        <charset val="134"/>
        <scheme val="minor"/>
      </rPr>
      <t>谦</t>
    </r>
  </si>
  <si>
    <r>
      <t>湖南民族酒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</si>
  <si>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黄酒</t>
    </r>
  </si>
  <si>
    <t>塔思琪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</si>
  <si>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</si>
  <si>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利口酒;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</si>
  <si>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润选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</si>
  <si>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州珍君子酒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</si>
  <si>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露酒;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</si>
  <si>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仙老灵</t>
  </si>
  <si>
    <r>
      <t>南充果州酒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</si>
  <si>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</si>
  <si>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毛</t>
    </r>
    <r>
      <rPr>
        <sz val="11"/>
        <color theme="1"/>
        <rFont val="ＭＳ Ｐゴシック"/>
        <family val="3"/>
        <charset val="134"/>
        <scheme val="minor"/>
      </rPr>
      <t>鸬</t>
    </r>
  </si>
  <si>
    <r>
      <t>吴雨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</si>
  <si>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米酒; 葡萄酒; 烈酒</t>
    </r>
  </si>
  <si>
    <r>
      <t>丝</t>
    </r>
    <r>
      <rPr>
        <sz val="11"/>
        <color theme="1"/>
        <rFont val="ＭＳ Ｐゴシック"/>
        <family val="3"/>
        <charset val="128"/>
        <scheme val="minor"/>
      </rPr>
      <t>路甘源</t>
    </r>
  </si>
  <si>
    <r>
      <t>石泉</t>
    </r>
    <r>
      <rPr>
        <sz val="11"/>
        <color theme="1"/>
        <rFont val="ＭＳ Ｐゴシック"/>
        <family val="3"/>
        <charset val="134"/>
        <scheme val="minor"/>
      </rPr>
      <t>县汉</t>
    </r>
    <r>
      <rPr>
        <sz val="11"/>
        <color theme="1"/>
        <rFont val="ＭＳ Ｐゴシック"/>
        <family val="3"/>
        <charset val="128"/>
        <scheme val="minor"/>
      </rPr>
      <t>泉水</t>
    </r>
    <r>
      <rPr>
        <sz val="11"/>
        <color theme="1"/>
        <rFont val="ＭＳ Ｐゴシック"/>
        <family val="3"/>
        <charset val="134"/>
        <scheme val="minor"/>
      </rPr>
      <t>务发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</si>
  <si>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果酒; 开胃酒; 高粱酒; 烈酒</t>
    </r>
  </si>
  <si>
    <t>固善健</t>
  </si>
  <si>
    <t>黄荣达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</si>
  <si>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米酒; 清酒（日本米酒）; 食用酒精; 黄酒</t>
    </r>
  </si>
  <si>
    <t>桑万能</t>
  </si>
  <si>
    <t>岑溪市明智云科技有限公司</t>
  </si>
  <si>
    <r>
      <t xml:space="preserve">葡萄酒;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开胃酒; 甜酒; 露酒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</si>
  <si>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圣浮云池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</si>
  <si>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威士忌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</si>
  <si>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侪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</si>
  <si>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</si>
  <si>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</si>
  <si>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序</t>
    </r>
  </si>
  <si>
    <t>蔡李素</t>
  </si>
  <si>
    <r>
      <t xml:space="preserve">黄酒;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梅酒;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</si>
  <si>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梦黔山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</si>
  <si>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果酒（含酒精）; 威士忌; 梅酒;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</si>
  <si>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蛮江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</si>
  <si>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安徽中拓餐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</si>
  <si>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清酒（日本米酒）; 葡萄酒;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</si>
  <si>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毛嵩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</si>
  <si>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青稞酒; 烈酒</t>
    </r>
  </si>
  <si>
    <r>
      <t>十三新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</si>
  <si>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广州十三兄弟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</si>
  <si>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混合威士忌酒; 果酒（含酒精）;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</si>
  <si>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归隐庐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</si>
  <si>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</si>
  <si>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威士忌; 白酒;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</si>
  <si>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利浦康</t>
  </si>
  <si>
    <t>利浦康食品有限公司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</si>
  <si>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朗姆酒</t>
    </r>
  </si>
  <si>
    <r>
      <t>脉</t>
    </r>
    <r>
      <rPr>
        <sz val="11"/>
        <color theme="1"/>
        <rFont val="ＭＳ Ｐゴシック"/>
        <family val="3"/>
        <charset val="134"/>
        <scheme val="minor"/>
      </rPr>
      <t>门</t>
    </r>
  </si>
  <si>
    <t>娄永祥</t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</si>
  <si>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白酒</t>
    </r>
  </si>
  <si>
    <t>ZNMW</t>
  </si>
  <si>
    <r>
      <t>东</t>
    </r>
    <r>
      <rPr>
        <sz val="11"/>
        <color theme="1"/>
        <rFont val="ＭＳ Ｐゴシック"/>
        <family val="3"/>
        <charset val="128"/>
        <scheme val="minor"/>
      </rPr>
      <t>阳市永忠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</si>
  <si>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黄酒; 甜酒; 葡萄酒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</si>
  <si>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</si>
  <si>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和源（宁波）酒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</si>
  <si>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</si>
  <si>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盘</t>
    </r>
    <r>
      <rPr>
        <sz val="11"/>
        <color theme="1"/>
        <rFont val="ＭＳ Ｐゴシック"/>
        <family val="3"/>
        <charset val="128"/>
        <scheme val="minor"/>
      </rPr>
      <t>关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</si>
  <si>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蜂蜜酒; 烈酒;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</si>
  <si>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灵酒仙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</si>
  <si>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伏特加酒;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</t>
    </r>
  </si>
  <si>
    <r>
      <t>西海</t>
    </r>
    <r>
      <rPr>
        <sz val="11"/>
        <color theme="1"/>
        <rFont val="ＭＳ Ｐゴシック"/>
        <family val="3"/>
        <charset val="134"/>
        <scheme val="minor"/>
      </rPr>
      <t>龙宫</t>
    </r>
  </si>
  <si>
    <r>
      <t>孟祥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</si>
  <si>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果酒（含酒精）; 黄酒; 清酒; 高粱酒; 杜松子酒;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</si>
  <si>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言慈</t>
  </si>
  <si>
    <r>
      <t>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米酒; 蒸煮提取物（利口酒和烈酒）; 黄酒</t>
    </r>
  </si>
  <si>
    <r>
      <t>叙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廷</t>
    </r>
  </si>
  <si>
    <t>沈群森</t>
  </si>
  <si>
    <r>
      <t xml:space="preserve">葡萄酒; 清酒（日本米酒）; 白酒; 米酒; 食用酒精;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</si>
  <si>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凌志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</si>
  <si>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</si>
  <si>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t>神羲膳</t>
  </si>
  <si>
    <t>湖南省湘青研学旅行社有限公司</t>
  </si>
  <si>
    <r>
      <t>米酒;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威士忌;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</si>
  <si>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观谋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</si>
  <si>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尔滨问</t>
    </r>
    <r>
      <rPr>
        <sz val="11"/>
        <color theme="1"/>
        <rFont val="ＭＳ Ｐゴシック"/>
        <family val="3"/>
        <charset val="128"/>
        <scheme val="minor"/>
      </rPr>
      <t>天品牌管理有限公司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</si>
  <si>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露酒</t>
    </r>
  </si>
  <si>
    <t>观龙腾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</si>
  <si>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威士忌; 黄酒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</si>
  <si>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同渡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</si>
  <si>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葡萄酒控股有限公司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</si>
  <si>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</t>
    </r>
  </si>
  <si>
    <t>史翠英</t>
  </si>
  <si>
    <t>宁波史家阿嫂食品有限公司</t>
  </si>
  <si>
    <r>
      <t>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汽酒; 食用酒精</t>
    </r>
  </si>
  <si>
    <t>SALIGIA</t>
  </si>
  <si>
    <r>
      <t>亚</t>
    </r>
    <r>
      <rPr>
        <sz val="11"/>
        <color theme="1"/>
        <rFont val="ＭＳ Ｐゴシック"/>
        <family val="3"/>
        <charset val="128"/>
        <scheme val="minor"/>
      </rPr>
      <t>奎那（上海）科技有限公司</t>
    </r>
  </si>
  <si>
    <r>
      <t>白酒; 烈酒; 杜松子酒;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</si>
  <si>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三羊寐美</t>
  </si>
  <si>
    <r>
      <t>河北捷</t>
    </r>
    <r>
      <rPr>
        <sz val="11"/>
        <color theme="1"/>
        <rFont val="ＭＳ Ｐゴシック"/>
        <family val="3"/>
        <charset val="134"/>
        <scheme val="minor"/>
      </rPr>
      <t>聪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</si>
  <si>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</si>
  <si>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禾味游耕</t>
  </si>
  <si>
    <t>李运献</t>
  </si>
  <si>
    <r>
      <t xml:space="preserve">高粱酒; 开胃酒; 米酒;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</si>
  <si>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友叙</t>
    </r>
  </si>
  <si>
    <r>
      <t>河南省名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</si>
  <si>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蒸煮提取物（利口酒和烈酒）;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</si>
  <si>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醉梦梁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</si>
  <si>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</si>
  <si>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奶奶</t>
    </r>
  </si>
  <si>
    <r>
      <t>宁波奇名商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</si>
  <si>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</si>
  <si>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鹿神仙</t>
  </si>
  <si>
    <r>
      <t>邹</t>
    </r>
    <r>
      <rPr>
        <sz val="11"/>
        <color theme="1"/>
        <rFont val="ＭＳ Ｐゴシック"/>
        <family val="3"/>
        <charset val="128"/>
        <scheme val="minor"/>
      </rPr>
      <t>九妹</t>
    </r>
  </si>
  <si>
    <r>
      <t>梅酒;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</si>
  <si>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坪</t>
    </r>
  </si>
  <si>
    <r>
      <t>湖北祥康生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</si>
  <si>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梅酒; 米酒;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</si>
  <si>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金典酒庄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</si>
  <si>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州百年金典酒庄有限公司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</si>
  <si>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苦味酒; 白酒;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蒸煮提取物（利口酒和烈酒）; 葡萄酒</t>
    </r>
  </si>
  <si>
    <t>杜甫九寨醇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</si>
  <si>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清酒（日本米酒）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</si>
  <si>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苑中</t>
    </r>
  </si>
  <si>
    <r>
      <t xml:space="preserve">黄酒;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</si>
  <si>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萱和谷</t>
  </si>
  <si>
    <t>福建省萱和谷本草科技有限公司</t>
  </si>
  <si>
    <r>
      <t>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</si>
  <si>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今良造天府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</si>
  <si>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今良造制酒有限公司</t>
    </r>
  </si>
  <si>
    <r>
      <t>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汽酒; 果酒; 食用酒精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</si>
  <si>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诱</t>
    </r>
  </si>
  <si>
    <r>
      <t>周凌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</si>
  <si>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清酒; 果酒</t>
    </r>
  </si>
  <si>
    <t>喜博士</t>
  </si>
  <si>
    <t>冰豹有限公司</t>
  </si>
  <si>
    <r>
      <t xml:space="preserve">白酒; 黄酒; 清酒（日本米酒）; 利口酒;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</si>
  <si>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喜色天香</t>
  </si>
  <si>
    <r>
      <t xml:space="preserve">黄酒; 青稞酒;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</si>
  <si>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r>
      <t>父</t>
    </r>
    <r>
      <rPr>
        <sz val="11"/>
        <color theme="1"/>
        <rFont val="ＭＳ Ｐゴシック"/>
        <family val="3"/>
        <charset val="134"/>
        <scheme val="minor"/>
      </rPr>
      <t>邺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</si>
  <si>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</si>
  <si>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葡萄酒; 烈酒;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</si>
  <si>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立汛</t>
    </r>
  </si>
  <si>
    <r>
      <t>安徽妙可威医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</si>
  <si>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白酒; 蒸煮提取物（利口酒和烈酒）; 黄酒;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</si>
  <si>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宗老先生</t>
  </si>
  <si>
    <r>
      <t>合肥百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</si>
  <si>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烈酒;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</si>
  <si>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梁王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</si>
  <si>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心源酒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</si>
  <si>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烈酒; 白干酒（中国白酒）;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果酒; 米酒; 白酒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</si>
  <si>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愿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</si>
  <si>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</t>
    </r>
  </si>
  <si>
    <t>悟底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</si>
  <si>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伏特加酒; 果酒（含酒精）; 威士忌; 米酒; 葡萄酒; 蜂蜜酒</t>
    </r>
  </si>
  <si>
    <r>
      <t>墨</t>
    </r>
    <r>
      <rPr>
        <sz val="11"/>
        <color theme="1"/>
        <rFont val="ＭＳ Ｐゴシック"/>
        <family val="3"/>
        <charset val="134"/>
        <scheme val="minor"/>
      </rPr>
      <t>骓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</si>
  <si>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千城（杭州）新零售有限公司</t>
    </r>
  </si>
  <si>
    <r>
      <t>开胃酒; 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</si>
  <si>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大工匠香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</si>
  <si>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</si>
  <si>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白酒;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</si>
  <si>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祥迎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</si>
  <si>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青稞酒; 葡萄酒</t>
    </r>
  </si>
  <si>
    <t>依宝路EXPOOL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</si>
  <si>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</si>
  <si>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</si>
  <si>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贺兰</t>
    </r>
    <r>
      <rPr>
        <sz val="11"/>
        <color theme="1"/>
        <rFont val="ＭＳ Ｐゴシック"/>
        <family val="3"/>
        <charset val="128"/>
        <scheme val="minor"/>
      </rPr>
      <t>山宿集旅游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</si>
  <si>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</si>
  <si>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早山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</si>
  <si>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四川悦己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</si>
  <si>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</si>
  <si>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想界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</si>
  <si>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</si>
  <si>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耕守道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</si>
  <si>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海之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海洋生物科技有限公司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</si>
  <si>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</si>
  <si>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君仙吟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</si>
  <si>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烈酒;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青稞酒; 黄酒</t>
    </r>
  </si>
  <si>
    <t>芭蜂</t>
  </si>
  <si>
    <r>
      <t>杭州超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</si>
  <si>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葡萄酒; 开胃酒</t>
    </r>
  </si>
  <si>
    <t>箐萃甜园</t>
  </si>
  <si>
    <t>河北青城食品有限公司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</si>
  <si>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</si>
  <si>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聚淼禧</t>
  </si>
  <si>
    <r>
      <t>刘云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</si>
  <si>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</si>
  <si>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羡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</si>
  <si>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</si>
  <si>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果酒; 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</si>
  <si>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伊金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</si>
  <si>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伊金霍洛旗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干呼都嘎音希里昌</t>
    </r>
    <r>
      <rPr>
        <sz val="11"/>
        <color theme="1"/>
        <rFont val="ＭＳ Ｐゴシック"/>
        <family val="3"/>
        <charset val="134"/>
        <scheme val="minor"/>
      </rPr>
      <t>庆农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</si>
  <si>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麦芽威士忌; 松叶酒;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</t>
    </r>
  </si>
  <si>
    <r>
      <t>百草堂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厨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</si>
  <si>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</si>
  <si>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</si>
  <si>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金典天下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</si>
  <si>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白酒; 甜酒; 苦味酒; 葡萄酒; 蒸煮提取物（利口酒和烈酒）</t>
    </r>
  </si>
  <si>
    <r>
      <t>瀚昆</t>
    </r>
    <r>
      <rPr>
        <sz val="11"/>
        <color theme="1"/>
        <rFont val="ＭＳ Ｐゴシック"/>
        <family val="3"/>
        <charset val="134"/>
        <scheme val="minor"/>
      </rPr>
      <t>烧</t>
    </r>
  </si>
  <si>
    <t>念洪昆*****************X</t>
  </si>
  <si>
    <r>
      <t xml:space="preserve">苦味酒; 开胃酒;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烈酒;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</si>
  <si>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杜甫九寨</t>
  </si>
  <si>
    <r>
      <t>黄酒; 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</si>
  <si>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瞩江山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</si>
  <si>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</si>
  <si>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t>家鼐</t>
  </si>
  <si>
    <r>
      <t>刘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</si>
  <si>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薄荷酒; 葡萄酒; 伏特加酒; 白酒;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</si>
  <si>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司斯蒂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</si>
  <si>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多昂文化科技有限公司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</si>
  <si>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白酒; 烈酒</t>
    </r>
  </si>
  <si>
    <t>醉山妃</t>
  </si>
  <si>
    <t>吴崇金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</si>
  <si>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餐后酒（利口酒和烈酒）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</si>
  <si>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山魂</t>
    </r>
  </si>
  <si>
    <r>
      <t>内蒙古谷与稻酒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</si>
  <si>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</si>
  <si>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火介</t>
  </si>
  <si>
    <r>
      <t>惠州市嘉宝酒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</si>
  <si>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蒸煮提取物（利口酒和烈酒）;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</si>
  <si>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甜小</t>
    </r>
    <r>
      <rPr>
        <sz val="11"/>
        <color theme="1"/>
        <rFont val="ＭＳ Ｐゴシック"/>
        <family val="3"/>
        <charset val="129"/>
        <scheme val="minor"/>
      </rPr>
      <t>噗</t>
    </r>
  </si>
  <si>
    <r>
      <t>岳阳市雨威商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</si>
  <si>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加烈葡萄酒;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</si>
  <si>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聚福元露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</si>
  <si>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</si>
  <si>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苑幸</t>
  </si>
  <si>
    <t>广州元星品牌管理有限公司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</si>
  <si>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汽酒; 葡萄酒; 清酒（日本米酒）; 黄酒; 梨酒</t>
    </r>
  </si>
  <si>
    <t>述西域</t>
  </si>
  <si>
    <t>李春蓉</t>
  </si>
  <si>
    <r>
      <t xml:space="preserve">烈酒; 葡萄酒; 黄酒; 清酒（日本米酒）;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</t>
    </r>
  </si>
  <si>
    <r>
      <t>骑</t>
    </r>
    <r>
      <rPr>
        <sz val="11"/>
        <color theme="1"/>
        <rFont val="ＭＳ Ｐゴシック"/>
        <family val="3"/>
        <charset val="128"/>
        <scheme val="minor"/>
      </rPr>
      <t>遇奇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</si>
  <si>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管</t>
    </r>
    <r>
      <rPr>
        <sz val="11"/>
        <color theme="1"/>
        <rFont val="ＭＳ Ｐゴシック"/>
        <family val="3"/>
        <charset val="134"/>
        <scheme val="minor"/>
      </rPr>
      <t>华军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</si>
  <si>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</si>
  <si>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福倒翁</t>
  </si>
  <si>
    <r>
      <t>贾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</si>
  <si>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</si>
  <si>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星星知我心</t>
  </si>
  <si>
    <r>
      <t>青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峡市旺福种植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</si>
  <si>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</si>
  <si>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信宝堂</t>
    </r>
  </si>
  <si>
    <r>
      <t>沈阳</t>
    </r>
    <r>
      <rPr>
        <sz val="11"/>
        <color theme="1"/>
        <rFont val="ＭＳ Ｐゴシック"/>
        <family val="3"/>
        <charset val="134"/>
        <scheme val="minor"/>
      </rPr>
      <t>卢</t>
    </r>
    <r>
      <rPr>
        <sz val="11"/>
        <color theme="1"/>
        <rFont val="ＭＳ Ｐゴシック"/>
        <family val="3"/>
        <charset val="128"/>
        <scheme val="minor"/>
      </rPr>
      <t>氏信宝堂土畜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</si>
  <si>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</si>
  <si>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鑫晋峰</t>
  </si>
  <si>
    <t>山西鑫晋峰新能源科技有限公司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</si>
  <si>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白酒; 开胃酒; 葡萄酒</t>
    </r>
  </si>
  <si>
    <t>三谷里</t>
  </si>
  <si>
    <r>
      <t>贾</t>
    </r>
    <r>
      <rPr>
        <sz val="11"/>
        <color theme="1"/>
        <rFont val="ＭＳ Ｐゴシック"/>
        <family val="3"/>
        <charset val="128"/>
        <scheme val="minor"/>
      </rPr>
      <t>春光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</si>
  <si>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</si>
  <si>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绿骓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</si>
  <si>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</si>
  <si>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漠上先生</t>
  </si>
  <si>
    <r>
      <t>北京雷</t>
    </r>
    <r>
      <rPr>
        <sz val="11"/>
        <color theme="1"/>
        <rFont val="ＭＳ Ｐゴシック"/>
        <family val="3"/>
        <charset val="134"/>
        <scheme val="minor"/>
      </rPr>
      <t>动时</t>
    </r>
    <r>
      <rPr>
        <sz val="11"/>
        <color theme="1"/>
        <rFont val="ＭＳ Ｐゴシック"/>
        <family val="3"/>
        <charset val="128"/>
        <scheme val="minor"/>
      </rPr>
      <t>代科技有限公司</t>
    </r>
  </si>
  <si>
    <r>
      <t>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</si>
  <si>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陌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</si>
  <si>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烈酒; 黄酒; 清酒（日本米酒）; 果酒（含酒精）</t>
    </r>
  </si>
  <si>
    <t>久日升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</si>
  <si>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莞好克五金塑料制品有限公司</t>
    </r>
  </si>
  <si>
    <r>
      <t>黄酒; 米酒; 白干酒（中国白酒）;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</si>
  <si>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坝峁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</si>
  <si>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西欧睿聚源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</si>
  <si>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梨酒;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</si>
  <si>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肥而</t>
  </si>
  <si>
    <r>
      <t>四川壹生</t>
    </r>
    <r>
      <rPr>
        <sz val="11"/>
        <color theme="1"/>
        <rFont val="ＭＳ Ｐゴシック"/>
        <family val="3"/>
        <charset val="134"/>
        <scheme val="minor"/>
      </rPr>
      <t>严选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</si>
  <si>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白酒; 利口酒;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</si>
  <si>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山梦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</si>
  <si>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威士忌</t>
    </r>
  </si>
  <si>
    <r>
      <t>幽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</si>
  <si>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莆田市知秋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</si>
  <si>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黄酒; 高粱酒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</si>
  <si>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半生关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</si>
  <si>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白酒; 黄酒; 果酒（含酒精）;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</si>
  <si>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享福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</si>
  <si>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</si>
  <si>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</si>
  <si>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田面匠</t>
  </si>
  <si>
    <r>
      <t>山西猴子山下餐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</si>
  <si>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果酒（含酒精）; 米酒; 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葡萄酒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</si>
  <si>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汽酒; 含酒精的气泡水; 米酒;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</si>
  <si>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</si>
  <si>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</si>
  <si>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葡萄酒; 米酒; 黄酒; 高粱酒</t>
    </r>
  </si>
  <si>
    <t>厚老司</t>
  </si>
  <si>
    <r>
      <t>叶</t>
    </r>
    <r>
      <rPr>
        <sz val="11"/>
        <color theme="1"/>
        <rFont val="ＭＳ Ｐゴシック"/>
        <family val="3"/>
        <charset val="134"/>
        <scheme val="minor"/>
      </rPr>
      <t>张</t>
    </r>
  </si>
  <si>
    <r>
      <t xml:space="preserve">葡萄酒; 清酒;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</si>
  <si>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攀登无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</si>
  <si>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 xml:space="preserve">白酒; 果酒（含酒精）; 葡萄酒; 清酒（日本米酒）;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</si>
  <si>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隐</t>
    </r>
  </si>
  <si>
    <t>西安智可程信息科技有限公司</t>
  </si>
  <si>
    <r>
      <t>果酒; 黄酒; 白酒; 蜂蜜酒;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</si>
  <si>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LOUIS SIMON</t>
  </si>
  <si>
    <t>原英</t>
  </si>
  <si>
    <r>
      <t xml:space="preserve">果酒（含酒精）; 苦味酒; 杜松子酒; 苹果酒;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</si>
  <si>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卡辣蜜</t>
  </si>
  <si>
    <t>安立冬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</si>
  <si>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薄荷酒;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</si>
  <si>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飘</t>
    </r>
  </si>
  <si>
    <t>刘崇占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</si>
  <si>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</si>
  <si>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r>
      <t>中国南航集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媒股份有限公司</t>
    </r>
  </si>
  <si>
    <r>
      <t>伏特加酒; 米酒; 清酒（日本米酒）;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烈酒; 青稞酒; 黄酒;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</si>
  <si>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雨丹</t>
  </si>
  <si>
    <r>
      <t>上海有</t>
    </r>
    <r>
      <rPr>
        <sz val="11"/>
        <color theme="1"/>
        <rFont val="ＭＳ Ｐゴシック"/>
        <family val="3"/>
        <charset val="134"/>
        <scheme val="minor"/>
      </rPr>
      <t>弹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</si>
  <si>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葡萄酒; 米酒; 果酒（含酒精）; 伏特加酒; 威士忌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</si>
  <si>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骓</t>
    </r>
  </si>
  <si>
    <r>
      <t>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</si>
  <si>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骓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</si>
  <si>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米酒; 葡萄酒; 白酒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</si>
  <si>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骓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</si>
  <si>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开胃酒; 米酒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</si>
  <si>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人心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</si>
  <si>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</si>
  <si>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山夫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</si>
  <si>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县凤</t>
    </r>
    <r>
      <rPr>
        <sz val="11"/>
        <color theme="1"/>
        <rFont val="ＭＳ Ｐゴシック"/>
        <family val="3"/>
        <charset val="128"/>
        <scheme val="minor"/>
      </rPr>
      <t>行山养殖家庭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</si>
  <si>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葡萄酒; 白酒; 青稞酒; 清酒; 露酒; 高粱酒; 果酒;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</si>
  <si>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金典天下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</si>
  <si>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甜酒; 餐后酒（利口酒和烈酒）; 蒸煮提取物（利口酒和烈酒）; 苦味酒;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</si>
  <si>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t>超越无尽</t>
  </si>
  <si>
    <r>
      <t>威士忌; 清酒（日本米酒）; 米酒; 伏特加酒;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</si>
  <si>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利浦康 LIPCO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</si>
  <si>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白酒; 威士忌; 果酒（含酒精）; 葡萄酒;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</si>
  <si>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云海山鼎天下</t>
    </r>
    <r>
      <rPr>
        <sz val="11"/>
        <color theme="1"/>
        <rFont val="ＭＳ Ｐゴシック"/>
        <family val="3"/>
        <charset val="134"/>
        <scheme val="minor"/>
      </rPr>
      <t>绿岛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</si>
  <si>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云海山鼎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</si>
  <si>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</si>
  <si>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唐水秋</t>
    </r>
    <r>
      <rPr>
        <sz val="11"/>
        <color theme="1"/>
        <rFont val="ＭＳ Ｐゴシック"/>
        <family val="3"/>
        <charset val="134"/>
        <scheme val="minor"/>
      </rPr>
      <t>风</t>
    </r>
  </si>
  <si>
    <t>定州市森焱木材加工有限公司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</si>
  <si>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</si>
  <si>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文中文九坊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</si>
  <si>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</si>
  <si>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黄酒; 青稞酒; 果酒; 白干酒（中国白酒）</t>
    </r>
  </si>
  <si>
    <r>
      <t>窕味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</si>
  <si>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良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</si>
  <si>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果酒（含酒精）; 米酒</t>
    </r>
  </si>
  <si>
    <t>GDMUERS</t>
  </si>
  <si>
    <r>
      <t>葡萄酒; 威士忌; 朗姆酒; 白干酒（中国白酒）; 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</si>
  <si>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临门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</si>
  <si>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果酒（含酒精）</t>
    </r>
  </si>
  <si>
    <t>杜甫九寨酒</t>
  </si>
  <si>
    <r>
      <t>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</si>
  <si>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广州富氧康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</si>
  <si>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</si>
  <si>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独智</t>
  </si>
  <si>
    <r>
      <t>米酒; 葡萄酒; 清酒（日本米酒）; 威士忌;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</si>
  <si>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瞩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</si>
  <si>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果酒（含酒精）</t>
    </r>
  </si>
  <si>
    <t>江南漪</t>
  </si>
  <si>
    <r>
      <t>南京凡俗雅百</t>
    </r>
    <r>
      <rPr>
        <sz val="11"/>
        <color theme="1"/>
        <rFont val="ＭＳ Ｐゴシック"/>
        <family val="3"/>
        <charset val="134"/>
        <scheme val="minor"/>
      </rPr>
      <t>货贸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</si>
  <si>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米酒; 清酒;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</si>
  <si>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碧香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</si>
  <si>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仁珍******************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</si>
  <si>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米酒; 葡萄酒; 白酒; 开胃酒;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</si>
  <si>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聚淼福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</si>
  <si>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</si>
  <si>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贾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</si>
  <si>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海霞</t>
    </r>
  </si>
  <si>
    <r>
      <t xml:space="preserve">苹果酒; 白酒;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</si>
  <si>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大越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坪洲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</si>
  <si>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</si>
  <si>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苦味酒; 黄酒; 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米酒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</si>
  <si>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骓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</si>
  <si>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米酒</t>
    </r>
  </si>
  <si>
    <t>嫡裔</t>
  </si>
  <si>
    <r>
      <t>清酒（日本米酒）; 果酒（含酒精）; 米酒; 伏特加酒;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</si>
  <si>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萱和和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</si>
  <si>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利口酒; 米酒; 白酒; 食用酒精; 果酒（含酒精）;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</si>
  <si>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言</t>
    </r>
    <r>
      <rPr>
        <sz val="11"/>
        <color theme="1"/>
        <rFont val="ＭＳ Ｐゴシック"/>
        <family val="3"/>
        <charset val="134"/>
        <scheme val="minor"/>
      </rPr>
      <t>俭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</si>
  <si>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</si>
  <si>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宝翰增</t>
    </r>
    <r>
      <rPr>
        <sz val="11"/>
        <color theme="1"/>
        <rFont val="ＭＳ Ｐゴシック"/>
        <family val="3"/>
        <charset val="134"/>
        <scheme val="minor"/>
      </rPr>
      <t>辉</t>
    </r>
  </si>
  <si>
    <t>曲荣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</si>
  <si>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</si>
  <si>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百吉鹿</t>
  </si>
  <si>
    <t>李雪松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</si>
  <si>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米酒; 利口酒; 白酒;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</si>
  <si>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金典九九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一</t>
    </r>
  </si>
  <si>
    <r>
      <t>高粱酒; 蒸煮提取物（利口酒和烈酒）; 甜酒; 白酒; 餐后酒（利口酒和烈酒）;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苦味酒</t>
    </r>
  </si>
  <si>
    <t>兔和浩特</t>
  </si>
  <si>
    <t>贺军</t>
  </si>
  <si>
    <r>
      <t xml:space="preserve">含酒精蛋奶酒;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</si>
  <si>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梁九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</si>
  <si>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金芳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</si>
  <si>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白酒; 黄酒</t>
    </r>
  </si>
  <si>
    <t>峰界</t>
  </si>
  <si>
    <r>
      <t>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</si>
  <si>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曦鼎窖</t>
  </si>
  <si>
    <r>
      <t>四川曦若商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</si>
  <si>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</t>
    </r>
  </si>
  <si>
    <r>
      <t>观历</t>
    </r>
    <r>
      <rPr>
        <sz val="11"/>
        <color theme="1"/>
        <rFont val="ＭＳ Ｐゴシック"/>
        <family val="3"/>
        <charset val="128"/>
        <scheme val="minor"/>
      </rPr>
      <t>史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</si>
  <si>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</si>
  <si>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关兆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</si>
  <si>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29"/>
        <scheme val="minor"/>
      </rPr>
      <t>嗨</t>
    </r>
    <r>
      <rPr>
        <sz val="11"/>
        <color theme="1"/>
        <rFont val="ＭＳ Ｐゴシック"/>
        <family val="3"/>
        <charset val="134"/>
        <scheme val="minor"/>
      </rPr>
      <t>飞电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</si>
  <si>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</si>
  <si>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周仲翔</t>
  </si>
  <si>
    <t>徐天耀</t>
  </si>
  <si>
    <r>
      <t xml:space="preserve">黄酒; 甘蔗制烈酒;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</si>
  <si>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醉乙侠</t>
  </si>
  <si>
    <t>翁梦茹</t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</si>
  <si>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</si>
  <si>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杜甫九寨酒庄</t>
  </si>
  <si>
    <r>
      <t>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薄荷酒;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</si>
  <si>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沛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</si>
  <si>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</si>
  <si>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帝格局</t>
  </si>
  <si>
    <r>
      <t xml:space="preserve">葡萄酒; 威士忌;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</si>
  <si>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宴天下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</si>
  <si>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果酒; 烈酒; 白酒; 露酒; 白干酒（中国白酒）; 果酒（含酒精）; 米酒</t>
    </r>
  </si>
  <si>
    <t>双泉溪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</si>
  <si>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</si>
  <si>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</si>
  <si>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晋享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大</t>
    </r>
  </si>
  <si>
    <r>
      <t>山西晋享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</si>
  <si>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白酒; 黄酒;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</si>
  <si>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四川怡谷春酒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</si>
  <si>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青稞酒; 开胃酒; 果酒; 威士忌;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</si>
  <si>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元形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物</t>
    </r>
  </si>
  <si>
    <r>
      <t>节</t>
    </r>
    <r>
      <rPr>
        <sz val="11"/>
        <color theme="1"/>
        <rFont val="ＭＳ Ｐゴシック"/>
        <family val="3"/>
        <charset val="128"/>
        <scheme val="minor"/>
      </rPr>
      <t>气森林（杭州）供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</si>
  <si>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果酒（含酒精）; 开胃酒; 白酒</t>
    </r>
  </si>
  <si>
    <t>豫健慧宝</t>
  </si>
  <si>
    <r>
      <t>河南睢卅酒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</si>
  <si>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佐餐酒; 伏特加酒; 黄酒; 白干酒（中国白酒）</t>
    </r>
  </si>
  <si>
    <t>通思密</t>
  </si>
  <si>
    <r>
      <t>潘</t>
    </r>
    <r>
      <rPr>
        <sz val="11"/>
        <color theme="1"/>
        <rFont val="ＭＳ Ｐゴシック"/>
        <family val="3"/>
        <charset val="134"/>
        <scheme val="minor"/>
      </rPr>
      <t>丽华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</si>
  <si>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薄荷酒; 威士忌;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</si>
  <si>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</si>
  <si>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姜</t>
    </r>
    <r>
      <rPr>
        <sz val="11"/>
        <color theme="1"/>
        <rFont val="ＭＳ Ｐゴシック"/>
        <family val="3"/>
        <charset val="134"/>
        <scheme val="minor"/>
      </rPr>
      <t>晓军</t>
    </r>
  </si>
  <si>
    <r>
      <t xml:space="preserve">白酒; 清酒（日本米酒）;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</si>
  <si>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味大厨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</si>
  <si>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州三</t>
    </r>
    <r>
      <rPr>
        <sz val="11"/>
        <color theme="1"/>
        <rFont val="ＭＳ Ｐゴシック"/>
        <family val="3"/>
        <charset val="134"/>
        <scheme val="minor"/>
      </rPr>
      <t>涧酿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</si>
  <si>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制好的黄酒; 伏特加酒;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</si>
  <si>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r>
      <t>荔小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女</t>
    </r>
  </si>
  <si>
    <t>茂名市声屏科技有限公司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</si>
  <si>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</si>
  <si>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沁怡森</t>
  </si>
  <si>
    <r>
      <t>祁朝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</si>
  <si>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</si>
  <si>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淮庭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</si>
  <si>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五和坊（北京）餐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</si>
  <si>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</si>
  <si>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岳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</si>
  <si>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庆贺</t>
    </r>
  </si>
  <si>
    <r>
      <t xml:space="preserve">白酒;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开胃酒</t>
    </r>
  </si>
  <si>
    <r>
      <t>植物</t>
    </r>
    <r>
      <rPr>
        <sz val="11"/>
        <color theme="1"/>
        <rFont val="ＭＳ Ｐゴシック"/>
        <family val="3"/>
        <charset val="134"/>
        <scheme val="minor"/>
      </rPr>
      <t>娴</t>
    </r>
  </si>
  <si>
    <t>曾冬梅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</si>
  <si>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</si>
  <si>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臣双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</si>
  <si>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</t>
    </r>
  </si>
  <si>
    <t>喂疆来</t>
  </si>
  <si>
    <r>
      <t>新疆冠君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</si>
  <si>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</t>
    </r>
  </si>
  <si>
    <r>
      <t>暿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</si>
  <si>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朗姆酒; 葡萄酒; 青稞酒</t>
    </r>
  </si>
  <si>
    <t>黔任春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</si>
  <si>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南中糖文化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</si>
  <si>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高粱酒; 白酒; 葡萄酒</t>
    </r>
  </si>
  <si>
    <r>
      <t>宏香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</si>
  <si>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漳州市宏香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</si>
  <si>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薄荷酒; 开胃酒; 果酒（含酒精）; 威士忌;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朗姆酒;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</si>
  <si>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州季煦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</si>
  <si>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</si>
  <si>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禾全良</t>
  </si>
  <si>
    <r>
      <t>太和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税</t>
    </r>
    <r>
      <rPr>
        <sz val="11"/>
        <color theme="1"/>
        <rFont val="ＭＳ Ｐゴシック"/>
        <family val="3"/>
        <charset val="134"/>
        <scheme val="minor"/>
      </rPr>
      <t>镇镇</t>
    </r>
    <r>
      <rPr>
        <sz val="11"/>
        <color theme="1"/>
        <rFont val="ＭＳ Ｐゴシック"/>
        <family val="3"/>
        <charset val="128"/>
        <scheme val="minor"/>
      </rPr>
      <t>粮全粮酒坊</t>
    </r>
  </si>
  <si>
    <r>
      <t>青稞酒; 白干酒（中国白酒）;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</si>
  <si>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梦紫</t>
    </r>
  </si>
  <si>
    <r>
      <t>舒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</si>
  <si>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食用酒精;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</si>
  <si>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</si>
  <si>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客网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</si>
  <si>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朗姆酒; 黄酒; 果酒（含酒精）; 米酒</t>
    </r>
  </si>
  <si>
    <r>
      <t>云水葱</t>
    </r>
    <r>
      <rPr>
        <sz val="11"/>
        <color theme="1"/>
        <rFont val="ＭＳ Ｐゴシック"/>
        <family val="3"/>
        <charset val="134"/>
        <scheme val="minor"/>
      </rPr>
      <t>茏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</si>
  <si>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全通文化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</si>
  <si>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开胃酒; 清酒（日本米酒）; 果酒（含酒精）</t>
    </r>
  </si>
  <si>
    <r>
      <t>古酒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</si>
  <si>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泰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康山百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</si>
  <si>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米酒; 白酒</t>
    </r>
  </si>
  <si>
    <r>
      <t>浙南云</t>
    </r>
    <r>
      <rPr>
        <sz val="11"/>
        <color theme="1"/>
        <rFont val="ＭＳ Ｐゴシック"/>
        <family val="3"/>
        <charset val="134"/>
        <scheme val="minor"/>
      </rPr>
      <t>颠</t>
    </r>
  </si>
  <si>
    <r>
      <t>浙江上坪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</si>
  <si>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混合威士忌酒;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</si>
  <si>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福心台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</si>
  <si>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州博尊酒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</si>
  <si>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伏特加酒;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</t>
    </r>
  </si>
  <si>
    <t>将君道</t>
  </si>
  <si>
    <t>王瑜</t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</si>
  <si>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</si>
  <si>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r>
      <t>诗经丝</t>
    </r>
    <r>
      <rPr>
        <sz val="11"/>
        <color theme="1"/>
        <rFont val="ＭＳ Ｐゴシック"/>
        <family val="3"/>
        <charset val="128"/>
        <scheme val="minor"/>
      </rPr>
      <t>衣</t>
    </r>
  </si>
  <si>
    <r>
      <t>诗经</t>
    </r>
    <r>
      <rPr>
        <sz val="11"/>
        <color theme="1"/>
        <rFont val="ＭＳ Ｐゴシック"/>
        <family val="3"/>
        <charset val="128"/>
        <scheme val="minor"/>
      </rPr>
      <t>采薇文化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展（北京）有限公司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</si>
  <si>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白酒; 果酒（含酒精）; 利口酒;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</si>
  <si>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黄海弟</t>
  </si>
  <si>
    <t>黄德泗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</si>
  <si>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日式甜米酒; 果酒; 食用酒精;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</si>
  <si>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楚大鼎</t>
  </si>
  <si>
    <r>
      <t>安徽水之佳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</si>
  <si>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</si>
  <si>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曲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</si>
  <si>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晓泽</t>
    </r>
  </si>
  <si>
    <r>
      <t xml:space="preserve">白酒;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</si>
  <si>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米藜金</t>
  </si>
  <si>
    <r>
      <t>山西大晋哥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</si>
  <si>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>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蜂蜜酒; 梨酒; 清酒（日本米酒）; 葡萄酒; 黄酒;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苹果酒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</si>
  <si>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</si>
  <si>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赵庙</t>
    </r>
    <r>
      <rPr>
        <sz val="11"/>
        <color theme="1"/>
        <rFont val="ＭＳ Ｐゴシック"/>
        <family val="3"/>
        <charset val="128"/>
        <scheme val="minor"/>
      </rPr>
      <t>粉</t>
    </r>
  </si>
  <si>
    <r>
      <t>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果酒; 利口酒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</si>
  <si>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</si>
  <si>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</si>
  <si>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果酒; 高粱酒;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</si>
  <si>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</si>
  <si>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湖南太阳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</si>
  <si>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米酒; 葡萄酒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</si>
  <si>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和有</t>
    </r>
  </si>
  <si>
    <t>李松阳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</si>
  <si>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</t>
    </r>
  </si>
  <si>
    <t>双黔</t>
  </si>
  <si>
    <r>
      <t>华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</si>
  <si>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伏特加酒;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</si>
  <si>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喂疆莱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</si>
  <si>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</si>
  <si>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何少武</t>
  </si>
  <si>
    <r>
      <t xml:space="preserve">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</si>
  <si>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香十理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</si>
  <si>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孵投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</si>
  <si>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米酒;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</si>
  <si>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斗</t>
    </r>
    <r>
      <rPr>
        <sz val="11"/>
        <color theme="1"/>
        <rFont val="ＭＳ Ｐゴシック"/>
        <family val="3"/>
        <charset val="134"/>
        <scheme val="minor"/>
      </rPr>
      <t>们</t>
    </r>
    <r>
      <rPr>
        <sz val="11"/>
        <color theme="1"/>
        <rFont val="ＭＳ Ｐゴシック"/>
        <family val="3"/>
        <charset val="128"/>
        <scheme val="minor"/>
      </rPr>
      <t>埠</t>
    </r>
  </si>
  <si>
    <r>
      <t>珠海森</t>
    </r>
    <r>
      <rPr>
        <sz val="11"/>
        <color theme="1"/>
        <rFont val="ＭＳ Ｐゴシック"/>
        <family val="3"/>
        <charset val="134"/>
        <scheme val="minor"/>
      </rPr>
      <t>润电</t>
    </r>
    <r>
      <rPr>
        <sz val="11"/>
        <color theme="1"/>
        <rFont val="ＭＳ Ｐゴシック"/>
        <family val="3"/>
        <charset val="128"/>
        <scheme val="minor"/>
      </rPr>
      <t>商有限公司</t>
    </r>
  </si>
  <si>
    <r>
      <t>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清酒;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</si>
  <si>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江仙柔</t>
  </si>
  <si>
    <r>
      <t>葡萄酒; 果酒（含酒精）;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</si>
  <si>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稻仙梁</t>
  </si>
  <si>
    <r>
      <t>葡萄酒; 白酒;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黄酒; 威士忌</t>
    </r>
  </si>
  <si>
    <r>
      <t>京姑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</si>
  <si>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昌市魏都区秦然百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</si>
  <si>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</si>
  <si>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唐引牌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</si>
  <si>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唐生物科技（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</si>
  <si>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</si>
  <si>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t>荷花·悦荷雅集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</si>
  <si>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</si>
  <si>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旺吉</t>
    </r>
  </si>
  <si>
    <r>
      <t>张伟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</si>
  <si>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青梅酒;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米酒; 白酒; 烈酒;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</si>
  <si>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之祖</t>
    </r>
  </si>
  <si>
    <t>胡乃念</t>
  </si>
  <si>
    <r>
      <t>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</si>
  <si>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</si>
  <si>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米酒; 利口酒</t>
    </r>
  </si>
  <si>
    <t>是物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</si>
  <si>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州祥合号商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</si>
  <si>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葡萄酒;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</si>
  <si>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r>
      <t>金探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</si>
  <si>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市漫稞日用百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</si>
  <si>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米酒; 清酒（日本米酒）; 葡萄酒; 薄荷酒</t>
    </r>
  </si>
  <si>
    <r>
      <t>虎</t>
    </r>
    <r>
      <rPr>
        <sz val="11"/>
        <color theme="1"/>
        <rFont val="ＭＳ Ｐゴシック"/>
        <family val="3"/>
        <charset val="134"/>
        <scheme val="minor"/>
      </rPr>
      <t>啸</t>
    </r>
    <r>
      <rPr>
        <sz val="11"/>
        <color theme="1"/>
        <rFont val="ＭＳ Ｐゴシック"/>
        <family val="3"/>
        <charset val="128"/>
        <scheme val="minor"/>
      </rPr>
      <t>八荒</t>
    </r>
  </si>
  <si>
    <r>
      <t>练</t>
    </r>
    <r>
      <rPr>
        <sz val="11"/>
        <color theme="1"/>
        <rFont val="ＭＳ Ｐゴシック"/>
        <family val="3"/>
        <charset val="128"/>
        <scheme val="minor"/>
      </rPr>
      <t>俊柳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</si>
  <si>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果酒（含酒精）;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</si>
  <si>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猫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</si>
  <si>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节</t>
    </r>
    <r>
      <rPr>
        <sz val="11"/>
        <color theme="1"/>
        <rFont val="ＭＳ Ｐゴシック"/>
        <family val="3"/>
        <charset val="128"/>
        <scheme val="minor"/>
      </rPr>
      <t>尚礼文化科技有限公司</t>
    </r>
  </si>
  <si>
    <r>
      <t>米酒; 白干酒（中国白酒）;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蜂蜜酒; 果酒（含酒精）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</si>
  <si>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唐扶牌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</si>
  <si>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蒸煮提取物（利口酒和烈酒）; 黄酒; 葡萄酒</t>
    </r>
  </si>
  <si>
    <r>
      <t>腾龙</t>
    </r>
    <r>
      <rPr>
        <sz val="11"/>
        <color theme="1"/>
        <rFont val="ＭＳ Ｐゴシック"/>
        <family val="3"/>
        <charset val="128"/>
        <scheme val="minor"/>
      </rPr>
      <t>洞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</si>
  <si>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老字号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</si>
  <si>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葡萄汽酒; 奶油利口酒; 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甜酒; 起泡白葡萄酒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</si>
  <si>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骏</t>
    </r>
  </si>
  <si>
    <r>
      <t>谢发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</si>
  <si>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清酒（日本米酒）;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利口酒; 米酒; 青稞酒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</si>
  <si>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</si>
  <si>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白酒;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</si>
  <si>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t>溪游故礼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</si>
  <si>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利口酒;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</si>
  <si>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理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</si>
  <si>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米酒;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清酒</t>
    </r>
  </si>
  <si>
    <t>余菊仙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</si>
  <si>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开胃酒;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</si>
  <si>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脉</t>
    </r>
  </si>
  <si>
    <r>
      <t>葡萄酒;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</si>
  <si>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t>俏流年</t>
  </si>
  <si>
    <r>
      <t>壶</t>
    </r>
    <r>
      <rPr>
        <sz val="11"/>
        <color theme="1"/>
        <rFont val="ＭＳ Ｐゴシック"/>
        <family val="3"/>
        <charset val="128"/>
        <scheme val="minor"/>
      </rPr>
      <t>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栗氏番茄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</si>
  <si>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果酒（含酒精）; 甜果酒;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</si>
  <si>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索托丘</t>
  </si>
  <si>
    <r>
      <t>蔻</t>
    </r>
    <r>
      <rPr>
        <sz val="11"/>
        <color theme="1"/>
        <rFont val="ＭＳ Ｐゴシック"/>
        <family val="3"/>
        <charset val="134"/>
        <scheme val="minor"/>
      </rPr>
      <t>乐玛萨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股份公司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</si>
  <si>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</si>
  <si>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匠仙梦</t>
  </si>
  <si>
    <t>王学荣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</si>
  <si>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</t>
    </r>
  </si>
  <si>
    <t>兀潭</t>
  </si>
  <si>
    <r>
      <t>程利</t>
    </r>
    <r>
      <rPr>
        <sz val="11"/>
        <color theme="1"/>
        <rFont val="ＭＳ Ｐゴシック"/>
        <family val="3"/>
        <charset val="134"/>
        <scheme val="minor"/>
      </rPr>
      <t>请</t>
    </r>
  </si>
  <si>
    <r>
      <t xml:space="preserve">汽酒; 果酒（含酒精）; 餐后酒（利口酒和烈酒）; 葡萄酒;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</si>
  <si>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星河瑜</t>
  </si>
  <si>
    <t>广瑜数字科技（云南）有限公司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</si>
  <si>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白酒; 果酒（含酒精）;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</si>
  <si>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裕福禄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</si>
  <si>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</si>
  <si>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果酒（含酒精）;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果酒</t>
    </r>
  </si>
  <si>
    <t>清酩溪</t>
  </si>
  <si>
    <r>
      <t>果酒（含酒精）; 开胃酒;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烈酒; 葡萄酒; 白酒</t>
    </r>
  </si>
  <si>
    <t>囤健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</si>
  <si>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州遵医堂健康管理有限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</si>
  <si>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果酒; 烈酒; 白酒; 米酒;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</si>
  <si>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周舍</t>
  </si>
  <si>
    <r>
      <t>河南周舍毛河小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</si>
  <si>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</si>
  <si>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斗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埠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</si>
  <si>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果酒（含酒精）; 葡萄酒; 清酒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</si>
  <si>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点一刻</t>
    </r>
  </si>
  <si>
    <t>康玉良</t>
  </si>
  <si>
    <r>
      <t xml:space="preserve">葡萄酒; 汽酒;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</si>
  <si>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德民鑫</t>
  </si>
  <si>
    <r>
      <t>深圳市榕易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</si>
  <si>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食用酒精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</si>
  <si>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歆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</si>
  <si>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歆（浙江）健康科技有限公司</t>
    </r>
  </si>
  <si>
    <r>
      <t>果酒（含酒精）; 薄荷酒; 威士忌;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</si>
  <si>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薏十三</t>
  </si>
  <si>
    <r>
      <t>贵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区本捷百</t>
    </r>
    <r>
      <rPr>
        <sz val="11"/>
        <color theme="1"/>
        <rFont val="ＭＳ Ｐゴシック"/>
        <family val="3"/>
        <charset val="134"/>
        <scheme val="minor"/>
      </rPr>
      <t>货经营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</si>
  <si>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</si>
  <si>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地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择</t>
    </r>
  </si>
  <si>
    <t>冀唐生物科技有限公司</t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</si>
  <si>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</si>
  <si>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君思量</t>
  </si>
  <si>
    <r>
      <t xml:space="preserve">黄酒; 葡萄酒; 清酒（日本米酒）; 果酒（含酒精）; 威士忌;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</si>
  <si>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水笙韵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</si>
  <si>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金翅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</si>
  <si>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清酒</t>
    </r>
  </si>
  <si>
    <t>爽魂</t>
  </si>
  <si>
    <r>
      <t>衢州浙一坊酒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</si>
  <si>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苦味酒;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白酒; 果酒（含酒精）; 黄酒; 清酒（日本米酒）</t>
    </r>
  </si>
  <si>
    <r>
      <t>君越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</si>
  <si>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黄酒;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</si>
  <si>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季煦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</si>
  <si>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</si>
  <si>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宾顺</t>
    </r>
  </si>
  <si>
    <r>
      <t>邓铭</t>
    </r>
    <r>
      <rPr>
        <sz val="11"/>
        <color theme="1"/>
        <rFont val="ＭＳ Ｐゴシック"/>
        <family val="3"/>
        <charset val="128"/>
        <scheme val="minor"/>
      </rPr>
      <t>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</si>
  <si>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伏特加酒;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</si>
  <si>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超滋</t>
  </si>
  <si>
    <r>
      <t>侯</t>
    </r>
    <r>
      <rPr>
        <sz val="11"/>
        <color theme="1"/>
        <rFont val="ＭＳ Ｐゴシック"/>
        <family val="3"/>
        <charset val="134"/>
        <scheme val="minor"/>
      </rPr>
      <t>现鹤</t>
    </r>
  </si>
  <si>
    <t>黄酒; 甜酒; 草本型利口酒; 白酒; 米酒; 汽酒; 威士忌; 果酒; 清酒; 葡萄酒</t>
  </si>
  <si>
    <t>龙贵赋</t>
  </si>
  <si>
    <r>
      <t xml:space="preserve">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利口酒; 果酒; 白酒</t>
    </r>
  </si>
  <si>
    <t>季路侍</t>
  </si>
  <si>
    <r>
      <t>广西南宁安</t>
    </r>
    <r>
      <rPr>
        <sz val="11"/>
        <color theme="1"/>
        <rFont val="ＭＳ Ｐゴシック"/>
        <family val="3"/>
        <charset val="134"/>
        <scheme val="minor"/>
      </rPr>
      <t>软软</t>
    </r>
    <r>
      <rPr>
        <sz val="11"/>
        <color theme="1"/>
        <rFont val="ＭＳ Ｐゴシック"/>
        <family val="3"/>
        <charset val="128"/>
        <scheme val="minor"/>
      </rPr>
      <t>件科技有限公司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</si>
  <si>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白干酒（中国白酒）;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料...</t>
    </r>
  </si>
  <si>
    <t>猫爵</t>
  </si>
  <si>
    <r>
      <t>北京前</t>
    </r>
    <r>
      <rPr>
        <sz val="11"/>
        <color theme="1"/>
        <rFont val="ＭＳ Ｐゴシック"/>
        <family val="3"/>
        <charset val="134"/>
        <scheme val="minor"/>
      </rPr>
      <t>营晓</t>
    </r>
    <r>
      <rPr>
        <sz val="11"/>
        <color theme="1"/>
        <rFont val="ＭＳ Ｐゴシック"/>
        <family val="3"/>
        <charset val="128"/>
        <scheme val="minor"/>
      </rPr>
      <t>苑文化有限公司</t>
    </r>
  </si>
  <si>
    <t>米酒; 开胃酒; 清酒（日本米酒）; 果酒（含酒精）; 含酒精的气泡水; 黄酒; 葡萄酒; 白酒</t>
  </si>
  <si>
    <t>洛神山庄粉金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</si>
  <si>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餐后酒（利口酒和烈酒）; 葡萄酒; 起泡白葡萄酒;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葡萄汽酒;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</si>
  <si>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洛神山庄</t>
    </r>
    <r>
      <rPr>
        <sz val="11"/>
        <color theme="1"/>
        <rFont val="ＭＳ Ｐゴシック"/>
        <family val="3"/>
        <charset val="134"/>
        <scheme val="minor"/>
      </rPr>
      <t>哑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</si>
  <si>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加烈葡萄酒;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</si>
  <si>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夏琦方</t>
    </r>
  </si>
  <si>
    <t>宋恒</t>
  </si>
  <si>
    <r>
      <t xml:space="preserve">米酒;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食用酒精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</si>
  <si>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吟八荒</t>
    </r>
  </si>
  <si>
    <r>
      <t xml:space="preserve">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</si>
  <si>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</si>
  <si>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米酒;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利口酒</t>
    </r>
  </si>
  <si>
    <t>易旭祝康</t>
  </si>
  <si>
    <t>甄永正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</si>
  <si>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</si>
  <si>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钦</t>
    </r>
    <r>
      <rPr>
        <sz val="11"/>
        <color theme="1"/>
        <rFont val="ＭＳ Ｐゴシック"/>
        <family val="3"/>
        <charset val="128"/>
        <scheme val="minor"/>
      </rPr>
      <t>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</si>
  <si>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芮</t>
    </r>
    <r>
      <rPr>
        <sz val="11"/>
        <color theme="1"/>
        <rFont val="ＭＳ Ｐゴシック"/>
        <family val="3"/>
        <charset val="134"/>
        <scheme val="minor"/>
      </rPr>
      <t>绮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</si>
  <si>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食用酒精; 白酒; 葡萄酒; 威士忌; 黄酒; 朗姆酒</t>
    </r>
  </si>
  <si>
    <r>
      <t>重信大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</si>
  <si>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州重信酒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</si>
  <si>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开胃酒; 清酒（日本米酒）;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</si>
  <si>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沏</t>
    </r>
    <r>
      <rPr>
        <sz val="11"/>
        <color theme="1"/>
        <rFont val="ＭＳ Ｐゴシック"/>
        <family val="3"/>
        <charset val="128"/>
        <scheme val="minor"/>
      </rPr>
      <t>益</t>
    </r>
  </si>
  <si>
    <r>
      <t>泉州</t>
    </r>
    <r>
      <rPr>
        <sz val="11"/>
        <color theme="1"/>
        <rFont val="ＭＳ Ｐゴシック"/>
        <family val="3"/>
        <charset val="129"/>
        <scheme val="minor"/>
      </rPr>
      <t>沏</t>
    </r>
    <r>
      <rPr>
        <sz val="11"/>
        <color theme="1"/>
        <rFont val="ＭＳ Ｐゴシック"/>
        <family val="3"/>
        <charset val="128"/>
        <scheme val="minor"/>
      </rPr>
      <t>益茶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</si>
  <si>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黄酒;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</si>
  <si>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南京金</t>
    </r>
    <r>
      <rPr>
        <sz val="11"/>
        <color theme="1"/>
        <rFont val="ＭＳ Ｐゴシック"/>
        <family val="3"/>
        <charset val="134"/>
        <scheme val="minor"/>
      </rPr>
      <t>丝鸟</t>
    </r>
    <r>
      <rPr>
        <sz val="11"/>
        <color theme="1"/>
        <rFont val="ＭＳ Ｐゴシック"/>
        <family val="3"/>
        <charset val="128"/>
        <scheme val="minor"/>
      </rPr>
      <t>粮油食品有限公司</t>
    </r>
  </si>
  <si>
    <r>
      <t xml:space="preserve">果酒; 甜酒;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</t>
    </r>
  </si>
  <si>
    <r>
      <t>望</t>
    </r>
    <r>
      <rPr>
        <sz val="11"/>
        <color theme="1"/>
        <rFont val="ＭＳ Ｐゴシック"/>
        <family val="3"/>
        <charset val="134"/>
        <scheme val="minor"/>
      </rPr>
      <t>终</t>
    </r>
    <r>
      <rPr>
        <sz val="11"/>
        <color theme="1"/>
        <rFont val="ＭＳ Ｐゴシック"/>
        <family val="3"/>
        <charset val="128"/>
        <scheme val="minor"/>
      </rPr>
      <t>南</t>
    </r>
  </si>
  <si>
    <r>
      <t>西安酌客部落互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</si>
  <si>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高粱酒;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威士忌; 食用酒精; 葡萄酒</t>
    </r>
  </si>
  <si>
    <r>
      <t>力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工程管理咨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（昆明）有限公司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</si>
  <si>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苦味酒; 葡萄酒; 清酒（日本米酒）; 米酒</t>
    </r>
  </si>
  <si>
    <t>璞修</t>
  </si>
  <si>
    <r>
      <t>泉州丰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</si>
  <si>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米酒;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</t>
    </r>
  </si>
  <si>
    <t>九州泰斗</t>
  </si>
  <si>
    <r>
      <t>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</si>
  <si>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利口酒; 烈酒; 高粱酒;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</si>
  <si>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t>三格堂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</si>
  <si>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州苗特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</si>
  <si>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</si>
  <si>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r>
      <t>游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出海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</si>
  <si>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威士忌; 利口酒;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</si>
  <si>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藏管宋大</t>
  </si>
  <si>
    <r>
      <t>河南礼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瓷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</si>
  <si>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</si>
  <si>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千金王子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</si>
  <si>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薄荷酒;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果酒（含酒精）</t>
    </r>
  </si>
  <si>
    <t>仓诉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</si>
  <si>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</si>
  <si>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露小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</si>
  <si>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山西省广宸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</si>
  <si>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果酒（含酒精）; 葡萄酒; 白酒</t>
    </r>
  </si>
  <si>
    <r>
      <t>槟</t>
    </r>
    <r>
      <rPr>
        <sz val="11"/>
        <color theme="1"/>
        <rFont val="ＭＳ Ｐゴシック"/>
        <family val="3"/>
        <charset val="128"/>
        <scheme val="minor"/>
      </rPr>
      <t>气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</si>
  <si>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槟</t>
    </r>
    <r>
      <rPr>
        <sz val="11"/>
        <color theme="1"/>
        <rFont val="ＭＳ Ｐゴシック"/>
        <family val="3"/>
        <charset val="128"/>
        <scheme val="minor"/>
      </rPr>
      <t>气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</si>
  <si>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果酒; 清酒; 葡萄酒; 威士忌;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</si>
  <si>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荷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</si>
  <si>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刘水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</si>
  <si>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食用酒精; 米酒; 青稞酒; 果酒（含酒精）; 蒸煮提取物（利口酒和烈酒）;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</si>
  <si>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</si>
  <si>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南宁市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</si>
  <si>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</si>
  <si>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靖山台</t>
  </si>
  <si>
    <t>曹春来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</si>
  <si>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清酒（日本米酒）; 黄酒; 威士忌;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</si>
  <si>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金六</t>
    </r>
    <r>
      <rPr>
        <sz val="11"/>
        <color theme="1"/>
        <rFont val="ＭＳ Ｐゴシック"/>
        <family val="3"/>
        <charset val="134"/>
        <scheme val="minor"/>
      </rPr>
      <t>泸</t>
    </r>
  </si>
  <si>
    <t>王新生</t>
  </si>
  <si>
    <r>
      <t xml:space="preserve">利口酒;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</si>
  <si>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九什</t>
    </r>
  </si>
  <si>
    <r>
      <t>湖南曼巴切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</si>
  <si>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青稞酒;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</t>
    </r>
  </si>
  <si>
    <r>
      <t>白酒;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黄酒; 果酒; 高粱酒</t>
    </r>
  </si>
  <si>
    <t>箐源征</t>
  </si>
  <si>
    <t>潘基超</t>
  </si>
  <si>
    <r>
      <t xml:space="preserve">青稞酒;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</si>
  <si>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君明六十六酒坊</t>
  </si>
  <si>
    <r>
      <t>大邑君明酒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</si>
  <si>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米酒; 果酒（含酒精）; 苹果酒; 青稞酒</t>
    </r>
  </si>
  <si>
    <t>画箭</t>
  </si>
  <si>
    <r>
      <t>杭州刀耕火种网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</si>
  <si>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食用酒精; 白酒; 葡萄酒; 威士忌;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</si>
  <si>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世匠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</si>
  <si>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利口酒; 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果酒; 威士忌</t>
    </r>
  </si>
  <si>
    <r>
      <t>起泡白葡萄酒;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五加皮酒（中国混合烈酒）;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苦艾酒;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混合威士忌酒; 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</si>
  <si>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金斗埠</t>
  </si>
  <si>
    <r>
      <t>清酒;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</si>
  <si>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伊伊的小玥</t>
  </si>
  <si>
    <t>李超磊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</si>
  <si>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食用酒精;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</si>
  <si>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台西京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</si>
  <si>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市星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</si>
  <si>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葡萄酒; 杜松子酒;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</si>
  <si>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探和</t>
  </si>
  <si>
    <r>
      <t>会野俱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部（深圳）有限公司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</si>
  <si>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</si>
  <si>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世承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</si>
  <si>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州智广益教育咨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</si>
  <si>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</si>
  <si>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刻啦提斯</t>
  </si>
  <si>
    <t>管延英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</si>
  <si>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米酒;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白酒</t>
    </r>
  </si>
  <si>
    <r>
      <t>谪</t>
    </r>
    <r>
      <rPr>
        <sz val="11"/>
        <color theme="1"/>
        <rFont val="ＭＳ Ｐゴシック"/>
        <family val="3"/>
        <charset val="128"/>
        <scheme val="minor"/>
      </rPr>
      <t>仙基</t>
    </r>
  </si>
  <si>
    <r>
      <t>青稞酒;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梨酒;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</si>
  <si>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南金仁</t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</si>
  <si>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开胃酒; 高粱酒; 米酒; 烈酒</t>
    </r>
  </si>
  <si>
    <t>遇美姐</t>
  </si>
  <si>
    <r>
      <t>三都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恩德米酒加工厂</t>
    </r>
  </si>
  <si>
    <r>
      <t>白酒; 果酒（含酒精）; 黄酒; 葡萄酒;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</si>
  <si>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尕</t>
    </r>
    <r>
      <rPr>
        <sz val="11"/>
        <color theme="1"/>
        <rFont val="ＭＳ Ｐゴシック"/>
        <family val="3"/>
        <charset val="128"/>
        <scheme val="minor"/>
      </rPr>
      <t>叔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</si>
  <si>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绵枣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</si>
  <si>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蜂蜜酒; 梅酒;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</si>
  <si>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大院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</si>
  <si>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全会</t>
    </r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</si>
  <si>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</si>
  <si>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艶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</si>
  <si>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寺堡区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</si>
  <si>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</si>
  <si>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t>豪辰小王子</t>
  </si>
  <si>
    <r>
      <t>王</t>
    </r>
    <r>
      <rPr>
        <sz val="11"/>
        <color theme="1"/>
        <rFont val="ＭＳ Ｐゴシック"/>
        <family val="3"/>
        <charset val="134"/>
        <scheme val="minor"/>
      </rPr>
      <t>顺辉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</si>
  <si>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烈性干酒; 白酒; 米酒; 青梅酒;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</si>
  <si>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天福黔</t>
  </si>
  <si>
    <r>
      <t>王</t>
    </r>
    <r>
      <rPr>
        <sz val="11"/>
        <color theme="1"/>
        <rFont val="ＭＳ Ｐゴシック"/>
        <family val="3"/>
        <charset val="134"/>
        <scheme val="minor"/>
      </rPr>
      <t>应</t>
    </r>
  </si>
  <si>
    <r>
      <t>开胃酒;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</si>
  <si>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佬友哈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</si>
  <si>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州名匠台酒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</si>
  <si>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烈酒;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</si>
  <si>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寿星梦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</si>
  <si>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赵铺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</si>
  <si>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梨酒; 果酒（含酒精）;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梅酒; 甜果酒;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</si>
  <si>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小香哥</t>
  </si>
  <si>
    <r>
      <t>黄酒;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高粱酒</t>
    </r>
  </si>
  <si>
    <r>
      <t>鹏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臻礼</t>
    </r>
  </si>
  <si>
    <r>
      <t>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黄酒</t>
    </r>
  </si>
  <si>
    <r>
      <t>京疆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品（新疆）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</si>
  <si>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白酒;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</si>
  <si>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香尼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</si>
  <si>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严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</si>
  <si>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</t>
    </r>
  </si>
  <si>
    <t>驱驰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</si>
  <si>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</si>
  <si>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曈曈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</si>
  <si>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控股（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</si>
  <si>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开胃酒;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伏特加酒</t>
    </r>
  </si>
  <si>
    <t>八步紫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</si>
  <si>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</si>
  <si>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倒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恬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</si>
  <si>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庆华</t>
    </r>
  </si>
  <si>
    <r>
      <t>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白酒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</si>
  <si>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</si>
  <si>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广州市隆品洋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</si>
  <si>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薄荷酒; 威士忌</t>
    </r>
  </si>
  <si>
    <r>
      <t>兄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</si>
  <si>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北京水晶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</si>
  <si>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威士忌; 开胃酒; 果酒（含酒精）; 清酒（日本米酒）; 黄酒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</si>
  <si>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未来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</si>
  <si>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州刺梨家科技有限公司</t>
    </r>
  </si>
  <si>
    <r>
      <t xml:space="preserve">梨酒; 米酒; 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</si>
  <si>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绪</t>
    </r>
    <r>
      <rPr>
        <sz val="11"/>
        <color theme="1"/>
        <rFont val="ＭＳ Ｐゴシック"/>
        <family val="3"/>
        <charset val="128"/>
        <scheme val="minor"/>
      </rPr>
      <t>山河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</si>
  <si>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顺飞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</si>
  <si>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</si>
  <si>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</si>
  <si>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黄酒; 梨酒;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</si>
  <si>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明醇和景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</si>
  <si>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</si>
  <si>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汽酒; 开胃酒</t>
    </r>
  </si>
  <si>
    <t>康本慧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</si>
  <si>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众健康科技有限公司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</si>
  <si>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白酒;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</t>
    </r>
  </si>
  <si>
    <t>孟将客</t>
  </si>
  <si>
    <r>
      <t>永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生物科学有限公司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</si>
  <si>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</si>
  <si>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t>NIAN FEN JING DIAN</t>
  </si>
  <si>
    <r>
      <t>杨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</si>
  <si>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</si>
  <si>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映奎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</si>
  <si>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州荣霄古窖酒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</si>
  <si>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开胃酒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</si>
  <si>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欣</t>
    </r>
  </si>
  <si>
    <r>
      <t>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</si>
  <si>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鹏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派</t>
    </r>
  </si>
  <si>
    <r>
      <t>苹果酒; 果酒（含酒精）; 开胃酒;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</t>
    </r>
  </si>
  <si>
    <t>仙帝川</t>
  </si>
  <si>
    <r>
      <t>周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</si>
  <si>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威士忌; 青稞酒; 葡萄酒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</si>
  <si>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兰泽</t>
    </r>
    <r>
      <rPr>
        <sz val="11"/>
        <color theme="1"/>
        <rFont val="ＭＳ Ｐゴシック"/>
        <family val="3"/>
        <charset val="128"/>
        <scheme val="minor"/>
      </rPr>
      <t>雨</t>
    </r>
  </si>
  <si>
    <t>董静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</si>
  <si>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</si>
  <si>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全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</si>
  <si>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胡忠</t>
    </r>
    <r>
      <rPr>
        <sz val="11"/>
        <color theme="1"/>
        <rFont val="ＭＳ Ｐゴシック"/>
        <family val="3"/>
        <charset val="134"/>
        <scheme val="minor"/>
      </rPr>
      <t>艺</t>
    </r>
  </si>
  <si>
    <t>黄酒; 清酒; 汽酒; 果酒; 甜酒; 威士忌; 葡萄酒; 米酒; 白酒; 草本型利口酒</t>
  </si>
  <si>
    <t>劲约</t>
  </si>
  <si>
    <r>
      <t>崔海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</si>
  <si>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葡萄酒;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</si>
  <si>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龙汇陈</t>
  </si>
  <si>
    <r>
      <t>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山******************</t>
    </r>
  </si>
  <si>
    <r>
      <t xml:space="preserve">果酒（含酒精）; 伏特加酒;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清酒; 白酒; 米酒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</si>
  <si>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福尊</t>
    </r>
  </si>
  <si>
    <r>
      <t>山西百年青瓷老酒坊酒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</si>
  <si>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</si>
  <si>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</si>
  <si>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梨酒;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</si>
  <si>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圣意美</t>
  </si>
  <si>
    <r>
      <t>北京中生奥普寡</t>
    </r>
    <r>
      <rPr>
        <sz val="11"/>
        <color theme="1"/>
        <rFont val="ＭＳ Ｐゴシック"/>
        <family val="3"/>
        <charset val="134"/>
        <scheme val="minor"/>
      </rPr>
      <t>肽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研究所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</si>
  <si>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伏特加酒; 烈酒</t>
    </r>
  </si>
  <si>
    <r>
      <t>伏特加酒; 烈酒;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</si>
  <si>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t>雅韵知己</t>
  </si>
  <si>
    <r>
      <t>山西晋康酒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</si>
  <si>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利口酒; 葡萄酒;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</si>
  <si>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治邑尊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</si>
  <si>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</si>
  <si>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果酒（含酒精）; 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</si>
  <si>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南尊</t>
    </r>
  </si>
  <si>
    <r>
      <t>安徽天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地露生物科技有限公司</t>
    </r>
  </si>
  <si>
    <r>
      <t>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</si>
  <si>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小狸猫</t>
  </si>
  <si>
    <r>
      <t>许</t>
    </r>
    <r>
      <rPr>
        <sz val="11"/>
        <color theme="1"/>
        <rFont val="ＭＳ Ｐゴシック"/>
        <family val="3"/>
        <charset val="128"/>
        <scheme val="minor"/>
      </rPr>
      <t>民玉</t>
    </r>
  </si>
  <si>
    <r>
      <t>烈酒;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伏特加酒; 朗姆酒;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</si>
  <si>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</si>
  <si>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梨酒; 果酒; 甜果酒</t>
    </r>
  </si>
  <si>
    <t>胖如意</t>
  </si>
  <si>
    <r>
      <t>蒙城</t>
    </r>
    <r>
      <rPr>
        <sz val="11"/>
        <color theme="1"/>
        <rFont val="ＭＳ Ｐゴシック"/>
        <family val="3"/>
        <charset val="134"/>
        <scheme val="minor"/>
      </rPr>
      <t>县绿</t>
    </r>
    <r>
      <rPr>
        <sz val="11"/>
        <color theme="1"/>
        <rFont val="ＭＳ Ｐゴシック"/>
        <family val="3"/>
        <charset val="128"/>
        <scheme val="minor"/>
      </rPr>
      <t>色天成生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</si>
  <si>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蜂蜜酒; 米酒; 果酒;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甜酒; 梅酒; 葡萄酒</t>
    </r>
  </si>
  <si>
    <t>向云谷</t>
  </si>
  <si>
    <r>
      <t>南宁市良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区云谷餐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工作室（个体工商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</si>
  <si>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甜酒; 开胃酒; 果酒（含酒精）</t>
    </r>
  </si>
  <si>
    <t>薯老大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</si>
  <si>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家侠酒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</si>
  <si>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</si>
  <si>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史策</t>
  </si>
  <si>
    <t>王永青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</si>
  <si>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</si>
  <si>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常寿村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</si>
  <si>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</si>
  <si>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书剑说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</si>
  <si>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果酒（含酒精）</t>
    </r>
  </si>
  <si>
    <r>
      <t>寐美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</si>
  <si>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梨酒; 黄酒; 米酒; 白酒; 露酒;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</si>
  <si>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三湘名</t>
  </si>
  <si>
    <t>潘俊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</si>
  <si>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</si>
  <si>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r>
      <t>苗厂</t>
    </r>
    <r>
      <rPr>
        <sz val="11"/>
        <color theme="1"/>
        <rFont val="ＭＳ Ｐゴシック"/>
        <family val="3"/>
        <charset val="134"/>
        <scheme val="minor"/>
      </rPr>
      <t>长</t>
    </r>
  </si>
  <si>
    <t>刘金翠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</si>
  <si>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葡萄酒; 餐后酒（利口酒和烈酒）</t>
    </r>
  </si>
  <si>
    <r>
      <t>樽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</si>
  <si>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州樽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</si>
  <si>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</si>
  <si>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四川仁寿雅尊植保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急中心(有限合伙)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</si>
  <si>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</t>
    </r>
  </si>
  <si>
    <t>映奎古窖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</si>
  <si>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葡萄酒; 米酒; 威士忌;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</t>
    </r>
  </si>
  <si>
    <t>EN-HARMONY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</si>
  <si>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和生物科技有限公司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</si>
  <si>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</si>
  <si>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南京市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耀国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</si>
  <si>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</si>
  <si>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巧太医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</si>
  <si>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州萱嘉苗方堂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</si>
  <si>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果酒（含酒精）; 白酒; 食用酒精;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</si>
  <si>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珍品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酒君典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</si>
  <si>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黄酒; 开胃酒; 米酒; 白酒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</si>
  <si>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花河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</si>
  <si>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鲒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</si>
  <si>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</si>
  <si>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码头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</si>
  <si>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</si>
  <si>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赊</t>
    </r>
    <r>
      <rPr>
        <sz val="11"/>
        <color theme="1"/>
        <rFont val="ＭＳ Ｐゴシック"/>
        <family val="3"/>
        <charset val="128"/>
        <scheme val="minor"/>
      </rPr>
      <t>掌柜</t>
    </r>
  </si>
  <si>
    <r>
      <t xml:space="preserve">果酒（含酒精）; 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</si>
  <si>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成事小滋</t>
  </si>
  <si>
    <t>北京中云信合科技有限公司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</si>
  <si>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</si>
  <si>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</si>
  <si>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召德福</t>
  </si>
  <si>
    <r>
      <t>许</t>
    </r>
    <r>
      <rPr>
        <sz val="11"/>
        <color theme="1"/>
        <rFont val="ＭＳ Ｐゴシック"/>
        <family val="3"/>
        <charset val="128"/>
        <scheme val="minor"/>
      </rPr>
      <t>秀珍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</si>
  <si>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</si>
  <si>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江潮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</si>
  <si>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江潮控股集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</si>
  <si>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葡萄酒; 青稞酒; 含酒精的气泡水; 白酒; 汽酒; 黄酒; 食用酒精;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</si>
  <si>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北北</t>
    </r>
  </si>
  <si>
    <t>上海元味科技有限公司</t>
  </si>
  <si>
    <r>
      <t>葡萄酒; 朗姆酒;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餐后酒（利口酒和烈酒）;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</si>
  <si>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三晋牛三哥</t>
  </si>
  <si>
    <r>
      <t>张</t>
    </r>
    <r>
      <rPr>
        <sz val="11"/>
        <color theme="1"/>
        <rFont val="ＭＳ Ｐゴシック"/>
        <family val="3"/>
        <charset val="128"/>
        <scheme val="minor"/>
      </rPr>
      <t>会珍</t>
    </r>
  </si>
  <si>
    <r>
      <t xml:space="preserve">开胃酒;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白酒; 葡萄酒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</si>
  <si>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</si>
  <si>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餐后酒（利口酒和烈酒）;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</si>
  <si>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容天下</t>
    </r>
  </si>
  <si>
    <t>尹鑫磊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</si>
  <si>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</si>
  <si>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</si>
  <si>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</si>
  <si>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寒易春</t>
  </si>
  <si>
    <r>
      <t>安丘金泉酒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</si>
  <si>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</t>
    </r>
  </si>
  <si>
    <t>村粒香</t>
  </si>
  <si>
    <r>
      <t>温岭市碧露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用水有限公司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</si>
  <si>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</si>
  <si>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余味</t>
    </r>
    <r>
      <rPr>
        <sz val="11"/>
        <color theme="1"/>
        <rFont val="ＭＳ Ｐゴシック"/>
        <family val="3"/>
        <charset val="134"/>
        <scheme val="minor"/>
      </rPr>
      <t>乡</t>
    </r>
  </si>
  <si>
    <t>余登周</t>
  </si>
  <si>
    <t>青稞酒; 果酒; 开胃酒; 黄酒; 葡萄酒; 米酒; 果酒（含酒精）; 利口酒; 白酒; 高粱酒</t>
  </si>
  <si>
    <t>儒黛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</si>
  <si>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儒念家居有限公司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</si>
  <si>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</si>
  <si>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炽马</t>
    </r>
    <r>
      <rPr>
        <sz val="11"/>
        <color theme="1"/>
        <rFont val="ＭＳ Ｐゴシック"/>
        <family val="3"/>
        <charset val="128"/>
        <scheme val="minor"/>
      </rPr>
      <t>酒庄</t>
    </r>
  </si>
  <si>
    <t>屈浪</t>
  </si>
  <si>
    <r>
      <t xml:space="preserve">开胃酒; 葡萄酒; 威士忌;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</si>
  <si>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果酒（含酒精）; 米酒;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</si>
  <si>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语论风</t>
    </r>
    <r>
      <rPr>
        <sz val="11"/>
        <color theme="1"/>
        <rFont val="ＭＳ Ｐゴシック"/>
        <family val="3"/>
        <charset val="128"/>
        <scheme val="minor"/>
      </rPr>
      <t>儒</t>
    </r>
  </si>
  <si>
    <r>
      <t>肖燕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</si>
  <si>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青稞酒; 果酒; 苦味酒;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茴香酒; 清酒; 蜂蜜酒; 开胃酒; 白酒</t>
    </r>
  </si>
  <si>
    <t>新玫</t>
  </si>
  <si>
    <r>
      <t>清圣（北京）酒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</si>
  <si>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</si>
  <si>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宴迹</t>
  </si>
  <si>
    <t>翟文斌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</si>
  <si>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白酒; 餐后酒（利口酒和烈酒）;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</si>
  <si>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闯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</si>
  <si>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</si>
  <si>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寿</t>
    </r>
    <r>
      <rPr>
        <sz val="11"/>
        <color theme="1"/>
        <rFont val="ＭＳ Ｐゴシック"/>
        <family val="3"/>
        <charset val="134"/>
        <scheme val="minor"/>
      </rPr>
      <t>谨济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</si>
  <si>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威士忌; 果酒（含酒精）; 朗姆酒; 黄酒</t>
    </r>
  </si>
  <si>
    <t>万理条条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</si>
  <si>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揽</t>
    </r>
    <r>
      <rPr>
        <sz val="11"/>
        <color theme="1"/>
        <rFont val="ＭＳ Ｐゴシック"/>
        <family val="3"/>
        <charset val="128"/>
        <scheme val="minor"/>
      </rPr>
      <t>道学园教育咨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</si>
  <si>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</si>
  <si>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瀑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青商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</si>
  <si>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市青年企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家商会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</si>
  <si>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威士忌</t>
    </r>
  </si>
  <si>
    <r>
      <t>潮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界</t>
    </r>
  </si>
  <si>
    <t>何浪</t>
  </si>
  <si>
    <t>白酒; 草本型利口酒; 黄酒; 葡萄酒; 甜酒; 汽酒; 威士忌; 米酒; 果酒; 清酒</t>
  </si>
  <si>
    <r>
      <t>阁</t>
    </r>
    <r>
      <rPr>
        <sz val="11"/>
        <color theme="1"/>
        <rFont val="ＭＳ Ｐゴシック"/>
        <family val="3"/>
        <charset val="128"/>
        <scheme val="minor"/>
      </rPr>
      <t>雨</t>
    </r>
  </si>
  <si>
    <t>彭梁</t>
  </si>
  <si>
    <r>
      <t xml:space="preserve">白酒; 米酒; 甜酒; 露酒;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佐餐酒;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</si>
  <si>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茗歌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</si>
  <si>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心品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</si>
  <si>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食用酒精; 蒸煮提取物（利口酒和烈酒）;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</si>
  <si>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JIANGMENRONGYAO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</si>
  <si>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州五星酒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五星酒厂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</si>
  <si>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开胃酒;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</si>
  <si>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祝台</t>
    </r>
  </si>
  <si>
    <r>
      <t xml:space="preserve">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</si>
  <si>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肆拾玖坊吉祥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</si>
  <si>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肆拾玖坊（天津）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</si>
  <si>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</si>
  <si>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语论鲁齐</t>
  </si>
  <si>
    <r>
      <t>青稞酒;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苦味酒; 清酒; 蜂蜜酒; 茴香酒; 白酒</t>
    </r>
  </si>
  <si>
    <r>
      <t>简单</t>
    </r>
    <r>
      <rPr>
        <sz val="11"/>
        <color theme="1"/>
        <rFont val="ＭＳ Ｐゴシック"/>
        <family val="3"/>
        <charset val="128"/>
        <scheme val="minor"/>
      </rPr>
      <t>零</t>
    </r>
  </si>
  <si>
    <t>刘池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</si>
  <si>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米酒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</si>
  <si>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小翔</t>
    </r>
  </si>
  <si>
    <r>
      <t>北京攀高教育投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</si>
  <si>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青稞酒; 食用酒精; 开胃酒; 朗姆酒;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</si>
  <si>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自来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</si>
  <si>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来自</t>
    </r>
    <r>
      <rPr>
        <sz val="11"/>
        <color theme="1"/>
        <rFont val="ＭＳ Ｐゴシック"/>
        <family val="3"/>
        <charset val="134"/>
        <scheme val="minor"/>
      </rPr>
      <t>购电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</si>
  <si>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葡萄酒; 黄酒; 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</si>
  <si>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珌公</t>
  </si>
  <si>
    <r>
      <t>程建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</si>
  <si>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</si>
  <si>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祖源地</t>
  </si>
  <si>
    <t>张维</t>
  </si>
  <si>
    <r>
      <t xml:space="preserve">利口酒;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烈酒; 苹果酒;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</si>
  <si>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和敬四方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</si>
  <si>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</si>
  <si>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千季白</t>
  </si>
  <si>
    <r>
      <t>舒</t>
    </r>
    <r>
      <rPr>
        <sz val="11"/>
        <color theme="1"/>
        <rFont val="ＭＳ Ｐゴシック"/>
        <family val="3"/>
        <charset val="134"/>
        <scheme val="minor"/>
      </rPr>
      <t>兴辉</t>
    </r>
  </si>
  <si>
    <r>
      <t xml:space="preserve">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黄酒; 葡萄酒; 果酒（含酒精）; 白酒</t>
    </r>
  </si>
  <si>
    <t>观谏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</si>
  <si>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</si>
  <si>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北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芳</t>
    </r>
  </si>
  <si>
    <t>廊坊奈特家具有限公司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</si>
  <si>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青稞酒; 米酒</t>
    </r>
  </si>
  <si>
    <t>宴蘸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</si>
  <si>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米酒</t>
    </r>
  </si>
  <si>
    <t>圤誓</t>
  </si>
  <si>
    <t>中汀科技（河北）有限公司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</si>
  <si>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葡萄酒; 食用酒精</t>
    </r>
  </si>
  <si>
    <t>考苑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</si>
  <si>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</si>
  <si>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阳光福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</si>
  <si>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四川天下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</si>
  <si>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</si>
  <si>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阳光四喜</t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</si>
  <si>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</si>
  <si>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衡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昌</t>
    </r>
  </si>
  <si>
    <t>任瑞海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</si>
  <si>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梅酒;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食用酒精;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</si>
  <si>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奏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</si>
  <si>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</si>
  <si>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吉开运</t>
  </si>
  <si>
    <t>李开运</t>
  </si>
  <si>
    <r>
      <t>葡萄酒; 黄酒; 甘蔗制烈酒;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</si>
  <si>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泉游明</t>
  </si>
  <si>
    <t>刘有明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</si>
  <si>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</si>
  <si>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女皇</t>
    </r>
  </si>
  <si>
    <t>曾知云</t>
  </si>
  <si>
    <r>
      <t>果酒（含酒精）; 威士忌; 清酒（日本米酒）; 黄酒; 梅酒;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</si>
  <si>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歌</t>
    </r>
    <r>
      <rPr>
        <sz val="11"/>
        <color theme="1"/>
        <rFont val="ＭＳ Ｐゴシック"/>
        <family val="3"/>
        <charset val="134"/>
        <scheme val="minor"/>
      </rPr>
      <t>啸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</si>
  <si>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现辉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</si>
  <si>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米酒; 高粱酒; 烈酒</t>
    </r>
  </si>
  <si>
    <r>
      <t>肆拾玖坊如意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</si>
  <si>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</si>
  <si>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津江融媒文化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</si>
  <si>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葡萄酒; 梨酒;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</si>
  <si>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三两秋</t>
  </si>
  <si>
    <t>周玉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</si>
  <si>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水果汽酒;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</si>
  <si>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贵觐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</si>
  <si>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</si>
  <si>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成峰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</si>
  <si>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州四浦</t>
    </r>
    <r>
      <rPr>
        <sz val="11"/>
        <color theme="1"/>
        <rFont val="ＭＳ Ｐゴシック"/>
        <family val="3"/>
        <charset val="129"/>
        <scheme val="minor"/>
      </rPr>
      <t>泵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</si>
  <si>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白干酒（中国白酒）; 葡萄酒;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</si>
  <si>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成峰台</t>
  </si>
  <si>
    <r>
      <t>清酒（日本米酒）; 开胃酒;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白干酒（中国白酒）</t>
    </r>
  </si>
  <si>
    <t>城大人</t>
  </si>
  <si>
    <r>
      <t>早安酒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(深圳)集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</si>
  <si>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米酒; 黄酒</t>
    </r>
  </si>
  <si>
    <t>西美仙</t>
  </si>
  <si>
    <t>吴新雨</t>
  </si>
  <si>
    <r>
      <t>葡萄酒; 果酒（含酒精）;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米酒;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</si>
  <si>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头侬</t>
    </r>
  </si>
  <si>
    <r>
      <t>广西几味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</si>
  <si>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</si>
  <si>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旧城周末</t>
  </si>
  <si>
    <r>
      <t>盈江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润农业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</si>
  <si>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葡萄酒;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</si>
  <si>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富力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欣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</si>
  <si>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市好敬吧酒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</si>
  <si>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</si>
  <si>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蹴鞠百夫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</si>
  <si>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南京百夫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</si>
  <si>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汽酒; 葡萄酒; 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</si>
  <si>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葵江湖</t>
  </si>
  <si>
    <t>刘丰赫</t>
  </si>
  <si>
    <r>
      <t>食用酒精; 米酒;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</si>
  <si>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骆驼临</t>
    </r>
    <r>
      <rPr>
        <sz val="11"/>
        <color theme="1"/>
        <rFont val="ＭＳ Ｐゴシック"/>
        <family val="3"/>
        <charset val="128"/>
        <scheme val="minor"/>
      </rPr>
      <t>溪春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</si>
  <si>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青稞酒;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</si>
  <si>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掌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</si>
  <si>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先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</si>
  <si>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</si>
  <si>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大成甲壹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</si>
  <si>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米酒; 高粱酒;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</si>
  <si>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康伏娜</t>
  </si>
  <si>
    <t>王玉芳</t>
  </si>
  <si>
    <r>
      <t xml:space="preserve">酸酒（低等葡萄酒）;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</si>
  <si>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漠江湖</t>
  </si>
  <si>
    <r>
      <t>孙</t>
    </r>
    <r>
      <rPr>
        <sz val="11"/>
        <color theme="1"/>
        <rFont val="ＭＳ Ｐゴシック"/>
        <family val="3"/>
        <charset val="128"/>
        <scheme val="minor"/>
      </rPr>
      <t>欣欣</t>
    </r>
  </si>
  <si>
    <r>
      <t xml:space="preserve">白酒; 食用酒精; 葡萄酒;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</si>
  <si>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思落</t>
  </si>
  <si>
    <t>上海方阡品牌管理有限公司</t>
  </si>
  <si>
    <r>
      <t>葡萄酒; 威士忌; 朗姆酒;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</si>
  <si>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棠邑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</si>
  <si>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 xml:space="preserve">清酒（日本米酒）; 葡萄酒;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</si>
  <si>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囍天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</si>
  <si>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四川振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为农业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</si>
  <si>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黄酒; 含酒精的气泡水;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</si>
  <si>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立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恒泰</t>
    </r>
  </si>
  <si>
    <r>
      <t>立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恒泰（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西）物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</si>
  <si>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黄酒; 蜂蜜酒;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果酒; 果酒（含酒精）; 米酒; 白酒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</si>
  <si>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</si>
  <si>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</si>
  <si>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</si>
  <si>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阿米巴</t>
  </si>
  <si>
    <r>
      <t>杭州河</t>
    </r>
    <r>
      <rPr>
        <sz val="11"/>
        <color theme="1"/>
        <rFont val="ＭＳ Ｐゴシック"/>
        <family val="3"/>
        <charset val="134"/>
        <scheme val="minor"/>
      </rPr>
      <t>马农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</si>
  <si>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清酒;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</si>
  <si>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YUNSOL</t>
  </si>
  <si>
    <r>
      <t>宁夏盛信酒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</si>
  <si>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葡萄酒; 混合威士忌酒; 开胃酒</t>
    </r>
  </si>
  <si>
    <t>新言</t>
  </si>
  <si>
    <t>何明******************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</si>
  <si>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果酒; 烈酒; 清酒; 咖啡利口酒; 天然汽酒;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葡萄酒</t>
    </r>
  </si>
  <si>
    <r>
      <t>悠</t>
    </r>
    <r>
      <rPr>
        <sz val="11"/>
        <color theme="1"/>
        <rFont val="ＭＳ Ｐゴシック"/>
        <family val="3"/>
        <charset val="134"/>
        <scheme val="minor"/>
      </rPr>
      <t>绪</t>
    </r>
  </si>
  <si>
    <r>
      <t>上海和振商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</si>
  <si>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米酒; 梅酒;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</si>
  <si>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敬行舟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</si>
  <si>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</si>
  <si>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溪江湖</t>
  </si>
  <si>
    <r>
      <t>乔</t>
    </r>
    <r>
      <rPr>
        <sz val="11"/>
        <color theme="1"/>
        <rFont val="ＭＳ Ｐゴシック"/>
        <family val="3"/>
        <charset val="128"/>
        <scheme val="minor"/>
      </rPr>
      <t>崇阳</t>
    </r>
  </si>
  <si>
    <r>
      <t>米酒;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</si>
  <si>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欧公源</t>
  </si>
  <si>
    <t>王文勇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</si>
  <si>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葡萄酒; 露酒;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</si>
  <si>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宋酩志</t>
  </si>
  <si>
    <r>
      <t>周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</si>
  <si>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白酒; 黄酒;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</si>
  <si>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几易</t>
  </si>
  <si>
    <r>
      <t>四川名</t>
    </r>
    <r>
      <rPr>
        <sz val="11"/>
        <color theme="1"/>
        <rFont val="ＭＳ Ｐゴシック"/>
        <family val="3"/>
        <charset val="134"/>
        <scheme val="minor"/>
      </rPr>
      <t>亿爱屿</t>
    </r>
    <r>
      <rPr>
        <sz val="11"/>
        <color theme="1"/>
        <rFont val="ＭＳ Ｐゴシック"/>
        <family val="3"/>
        <charset val="128"/>
        <scheme val="minor"/>
      </rPr>
      <t>家食品科技有限公司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</si>
  <si>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蜂蜜酒; 青稞酒; 黄酒; 果酒; 水果汽酒;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</si>
  <si>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泉泓流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</si>
  <si>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米酒;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</si>
  <si>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清通和</t>
  </si>
  <si>
    <t>濮阳清通和养健康科技有限公司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</si>
  <si>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利口酒; 葡萄酒</t>
    </r>
  </si>
  <si>
    <r>
      <t>小傲</t>
    </r>
    <r>
      <rPr>
        <sz val="11"/>
        <color theme="1"/>
        <rFont val="ＭＳ Ｐゴシック"/>
        <family val="3"/>
        <charset val="134"/>
        <scheme val="minor"/>
      </rPr>
      <t>编</t>
    </r>
    <r>
      <rPr>
        <sz val="11"/>
        <color theme="1"/>
        <rFont val="ＭＳ Ｐゴシック"/>
        <family val="3"/>
        <charset val="128"/>
        <scheme val="minor"/>
      </rPr>
      <t>号 187</t>
    </r>
  </si>
  <si>
    <r>
      <t>小傲江湖数字科技江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</si>
  <si>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青稞酒; 薄荷酒; 伏特加酒</t>
    </r>
  </si>
  <si>
    <t>豫湘帝</t>
  </si>
  <si>
    <r>
      <t>湖南香江酒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</si>
  <si>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</si>
  <si>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晶雪涌泉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</si>
  <si>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鑫光生物科技股份有限公司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</si>
  <si>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</t>
    </r>
  </si>
  <si>
    <t>沂蒙冠</t>
  </si>
  <si>
    <t>段又文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</si>
  <si>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</si>
  <si>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安念</t>
    </r>
  </si>
  <si>
    <r>
      <t xml:space="preserve">黄酒; 白酒; 伏特加酒; 薄荷酒; 青稞酒; 苦味酒;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</si>
  <si>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爆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</si>
  <si>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城大曲酒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</si>
  <si>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</t>
    </r>
  </si>
  <si>
    <t>永元祥</t>
  </si>
  <si>
    <r>
      <t>张</t>
    </r>
    <r>
      <rPr>
        <sz val="11"/>
        <color theme="1"/>
        <rFont val="ＭＳ Ｐゴシック"/>
        <family val="3"/>
        <charset val="128"/>
        <scheme val="minor"/>
      </rPr>
      <t>登朋</t>
    </r>
  </si>
  <si>
    <t>果酒; 甜酒; 葡萄酒; 清酒; 黄酒; 威士忌; 米酒; 草本型利口酒; 汽酒; 白酒</t>
  </si>
  <si>
    <r>
      <t>西域燕</t>
    </r>
    <r>
      <rPr>
        <sz val="11"/>
        <color theme="1"/>
        <rFont val="ＭＳ Ｐゴシック"/>
        <family val="3"/>
        <charset val="134"/>
        <scheme val="minor"/>
      </rPr>
      <t>乐</t>
    </r>
  </si>
  <si>
    <t>苟小利</t>
  </si>
  <si>
    <r>
      <t xml:space="preserve">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</t>
    </r>
  </si>
  <si>
    <t>包君成</t>
  </si>
  <si>
    <r>
      <t>威士忌; 米酒; 朗姆酒;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</si>
  <si>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头</t>
    </r>
    <r>
      <rPr>
        <sz val="11"/>
        <color theme="1"/>
        <rFont val="ＭＳ Ｐゴシック"/>
        <family val="3"/>
        <charset val="128"/>
        <scheme val="minor"/>
      </rPr>
      <t>条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</si>
  <si>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成都酒运恒通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</si>
  <si>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烈酒; 葡萄酒;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</si>
  <si>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</si>
  <si>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利捷新材料有限公司</t>
    </r>
  </si>
  <si>
    <r>
      <t>苹果酒; 薄荷酒; 伏特加酒; 利口酒; 餐后酒（利口酒和烈酒）; 白酒;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</si>
  <si>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相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很婉</t>
    </r>
  </si>
  <si>
    <r>
      <t>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甜酒; 果酒（含酒精）</t>
    </r>
  </si>
  <si>
    <t>便利嫂</t>
  </si>
  <si>
    <r>
      <t>北京益佳仁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</si>
  <si>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黄酒; 伏特加酒</t>
    </r>
  </si>
  <si>
    <r>
      <t>匠台手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</si>
  <si>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</si>
  <si>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九洵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</si>
  <si>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白酒; 果酒; 开胃酒</t>
    </r>
  </si>
  <si>
    <r>
      <t>解百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橙心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</si>
  <si>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</si>
  <si>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餐后酒（利口酒和烈酒）;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</si>
  <si>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湘祁欣</t>
  </si>
  <si>
    <r>
      <t>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合力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质农业发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</si>
  <si>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开胃酒;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蜂蜜酒</t>
    </r>
  </si>
  <si>
    <t>曲粮君</t>
  </si>
  <si>
    <r>
      <t>李冬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</si>
  <si>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葡萄酒; 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</si>
  <si>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</si>
  <si>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淄博市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花香酒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</si>
  <si>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葡萄酒;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</si>
  <si>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言</t>
    </r>
    <r>
      <rPr>
        <sz val="11"/>
        <color theme="1"/>
        <rFont val="ＭＳ Ｐゴシック"/>
        <family val="3"/>
        <charset val="134"/>
        <scheme val="minor"/>
      </rPr>
      <t>锵</t>
    </r>
  </si>
  <si>
    <r>
      <t>泰州市广达特种装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</si>
  <si>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</si>
  <si>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徍品江</t>
  </si>
  <si>
    <r>
      <t>聂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</si>
  <si>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</t>
    </r>
  </si>
  <si>
    <t>勾乘亭</t>
  </si>
  <si>
    <r>
      <t>上海越洋投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</si>
  <si>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高粱酒; 黄酒; 露酒;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</si>
  <si>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思玥翡</t>
  </si>
  <si>
    <t>揭阳市思玥翡珠宝有限公司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</si>
  <si>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葡萄酒; 白酒;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</si>
  <si>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市美</t>
  </si>
  <si>
    <r>
      <t>武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翔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</si>
  <si>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</t>
    </r>
  </si>
  <si>
    <r>
      <t>亿马</t>
    </r>
    <r>
      <rPr>
        <sz val="11"/>
        <color theme="1"/>
        <rFont val="ＭＳ Ｐゴシック"/>
        <family val="3"/>
        <charset val="128"/>
        <scheme val="minor"/>
      </rPr>
      <t>荷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</si>
  <si>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五道粱酒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</si>
  <si>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茴香酒（利口酒）</t>
    </r>
  </si>
  <si>
    <r>
      <t>贡济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</si>
  <si>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侯永</t>
    </r>
    <r>
      <rPr>
        <sz val="11"/>
        <color theme="1"/>
        <rFont val="ＭＳ Ｐゴシック"/>
        <family val="3"/>
        <charset val="134"/>
        <scheme val="minor"/>
      </rPr>
      <t>红</t>
    </r>
  </si>
  <si>
    <t>草本型利口酒; 葡萄酒; 米酒; 黄酒; 清酒; 甜酒; 威士忌; 果酒; 汽酒; 白酒</t>
  </si>
  <si>
    <r>
      <t>东</t>
    </r>
    <r>
      <rPr>
        <sz val="11"/>
        <color theme="1"/>
        <rFont val="ＭＳ Ｐゴシック"/>
        <family val="3"/>
        <charset val="128"/>
        <scheme val="minor"/>
      </rPr>
      <t>芳利君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</si>
  <si>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芳食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</si>
  <si>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黄酒; 伏特加酒; 白酒; 果酒（含酒精）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</si>
  <si>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天成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</si>
  <si>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甘蔗制烈酒;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</si>
  <si>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德望</t>
    </r>
  </si>
  <si>
    <r>
      <t xml:space="preserve">米酒;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苦味酒; 青稞酒</t>
    </r>
  </si>
  <si>
    <r>
      <t>喵</t>
    </r>
    <r>
      <rPr>
        <sz val="11"/>
        <color theme="1"/>
        <rFont val="ＭＳ Ｐゴシック"/>
        <family val="3"/>
        <charset val="128"/>
        <scheme val="minor"/>
      </rPr>
      <t>友客</t>
    </r>
  </si>
  <si>
    <r>
      <t>宁波汐然梦文化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</si>
  <si>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米酒; 水果汽酒;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日本梅子酒; 青梅酒</t>
    </r>
  </si>
  <si>
    <t>土林</t>
  </si>
  <si>
    <t>王惠敏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</si>
  <si>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果酒; 高粱酒;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</si>
  <si>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克斯</t>
    </r>
  </si>
  <si>
    <r>
      <t>华鉴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</si>
  <si>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</si>
  <si>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地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</si>
  <si>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商城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地龍山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</si>
  <si>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</si>
  <si>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解百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橙意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</si>
  <si>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</si>
  <si>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伊奔斯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 xml:space="preserve"> EBENSNA</t>
    </r>
  </si>
  <si>
    <t>阿卜来提·阿卜力克木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</si>
  <si>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</t>
    </r>
  </si>
  <si>
    <t>滦润涧</t>
  </si>
  <si>
    <r>
      <t>北京君</t>
    </r>
    <r>
      <rPr>
        <sz val="11"/>
        <color theme="1"/>
        <rFont val="ＭＳ Ｐゴシック"/>
        <family val="3"/>
        <charset val="134"/>
        <scheme val="minor"/>
      </rPr>
      <t>盏</t>
    </r>
    <r>
      <rPr>
        <sz val="11"/>
        <color theme="1"/>
        <rFont val="ＭＳ Ｐゴシック"/>
        <family val="3"/>
        <charset val="128"/>
        <scheme val="minor"/>
      </rPr>
      <t>茗早茶居文化科技有限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</si>
  <si>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烈酒; 果酒; 葡萄酒; 白酒;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</si>
  <si>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仄厘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</si>
  <si>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丽丽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</si>
  <si>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</si>
  <si>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巧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</si>
  <si>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t>何李江</t>
  </si>
  <si>
    <t>白酒; 威士忌; 甜酒; 清酒; 汽酒; 草本型利口酒; 葡萄酒; 米酒; 果酒; 黄酒</t>
  </si>
  <si>
    <t>彭城邑</t>
  </si>
  <si>
    <r>
      <t>孙</t>
    </r>
    <r>
      <rPr>
        <sz val="11"/>
        <color theme="1"/>
        <rFont val="ＭＳ Ｐゴシック"/>
        <family val="3"/>
        <charset val="128"/>
        <scheme val="minor"/>
      </rPr>
      <t>存喜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</si>
  <si>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</si>
  <si>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科窖 哈了大</t>
  </si>
  <si>
    <r>
      <t>科窖酒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（成都）有限公司</t>
    </r>
  </si>
  <si>
    <t>豹林仙耳</t>
  </si>
  <si>
    <t>山西心言生物科技有限公司</t>
  </si>
  <si>
    <r>
      <t>葡萄酒; 白酒; 清酒;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</si>
  <si>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江甄南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</si>
  <si>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电视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</si>
  <si>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 xml:space="preserve">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伏特加酒</t>
    </r>
  </si>
  <si>
    <r>
      <t>斛韵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愁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</si>
  <si>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金云</t>
    </r>
  </si>
  <si>
    <r>
      <t>白酒; 清酒（日本米酒）;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</si>
  <si>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捕味熊猫</t>
  </si>
  <si>
    <r>
      <t>杭州云柏文化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</si>
  <si>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食用酒精;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</si>
  <si>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广江湖</t>
  </si>
  <si>
    <r>
      <t>孙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</si>
  <si>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米酒;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</si>
  <si>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BLACKYLIN</t>
  </si>
  <si>
    <r>
      <t>西安迪迪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</si>
  <si>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</si>
  <si>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裕芳庭印象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</si>
  <si>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汽酒;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</si>
  <si>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悟空李</t>
  </si>
  <si>
    <r>
      <t>广州文通餐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</si>
  <si>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含酒精的气泡水;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</si>
  <si>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峻达建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</si>
  <si>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西安峻达建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建筑工程有限公司</t>
    </r>
  </si>
  <si>
    <r>
      <t>果酒（含酒精）;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</si>
  <si>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欧隆宝保利</t>
  </si>
  <si>
    <r>
      <t>烟台棕</t>
    </r>
    <r>
      <rPr>
        <sz val="11"/>
        <color theme="1"/>
        <rFont val="ＭＳ Ｐゴシック"/>
        <family val="3"/>
        <charset val="134"/>
        <scheme val="minor"/>
      </rPr>
      <t>榈树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</si>
  <si>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酸酒（低等葡萄酒）; 梨酒; 威士忌;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</si>
  <si>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滴筑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</si>
  <si>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</si>
  <si>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</si>
  <si>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罗丽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</si>
  <si>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梦翔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</si>
  <si>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</si>
  <si>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隆宸云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</si>
  <si>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云南隆宸云</t>
    </r>
    <r>
      <rPr>
        <sz val="11"/>
        <color theme="1"/>
        <rFont val="ＭＳ Ｐゴシック"/>
        <family val="3"/>
        <charset val="134"/>
        <scheme val="minor"/>
      </rPr>
      <t>华贸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</si>
  <si>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葡萄酒; 食用酒精; 果酒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</si>
  <si>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方君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</si>
  <si>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人忠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</si>
  <si>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</si>
  <si>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昼如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</si>
  <si>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湖南磐景建筑工程有限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</si>
  <si>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</t>
    </r>
  </si>
  <si>
    <r>
      <t>巅</t>
    </r>
    <r>
      <rPr>
        <sz val="11"/>
        <color theme="1"/>
        <rFont val="ＭＳ Ｐゴシック"/>
        <family val="3"/>
        <charset val="128"/>
        <scheme val="minor"/>
      </rPr>
      <t>峰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</si>
  <si>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</si>
  <si>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极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</si>
  <si>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</si>
  <si>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珍养道</t>
  </si>
  <si>
    <t>关永坤</t>
  </si>
  <si>
    <t>米酒; 甜酒; 清酒; 葡萄酒; 威士忌; 汽酒; 黄酒; 果酒; 草本型利口酒; 白酒</t>
  </si>
  <si>
    <t>古今呈祥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</si>
  <si>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伏特加酒; 白酒; 果酒（含酒精）; 葡萄酒; 米酒; 威士忌</t>
    </r>
  </si>
  <si>
    <t>段伯伯</t>
  </si>
  <si>
    <r>
      <t>宜都喜富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</si>
  <si>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米酒</t>
    </r>
  </si>
  <si>
    <r>
      <t>星元</t>
    </r>
    <r>
      <rPr>
        <sz val="11"/>
        <color theme="1"/>
        <rFont val="ＭＳ Ｐゴシック"/>
        <family val="3"/>
        <charset val="134"/>
        <scheme val="minor"/>
      </rPr>
      <t>单</t>
    </r>
  </si>
  <si>
    <t>上海萃达科技有限公司</t>
  </si>
  <si>
    <r>
      <t>含酒精的气泡水;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清酒; 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</si>
  <si>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嗨</t>
    </r>
    <r>
      <rPr>
        <sz val="11"/>
        <color theme="1"/>
        <rFont val="ＭＳ Ｐゴシック"/>
        <family val="3"/>
        <charset val="134"/>
        <scheme val="minor"/>
      </rPr>
      <t>咗</t>
    </r>
  </si>
  <si>
    <t>程广州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</si>
  <si>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果酒</t>
    </r>
  </si>
  <si>
    <t>聚一火</t>
  </si>
  <si>
    <r>
      <t>刘</t>
    </r>
    <r>
      <rPr>
        <sz val="11"/>
        <color theme="1"/>
        <rFont val="ＭＳ Ｐゴシック"/>
        <family val="3"/>
        <charset val="134"/>
        <scheme val="minor"/>
      </rPr>
      <t>军锋</t>
    </r>
  </si>
  <si>
    <r>
      <t>白酒;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</si>
  <si>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万寿湾</t>
  </si>
  <si>
    <r>
      <t>李必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</si>
  <si>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</si>
  <si>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钦闻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</si>
  <si>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葡萄酒; 汽酒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</si>
  <si>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</si>
  <si>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 xml:space="preserve">伏特加酒; 薄荷酒; 果酒（含酒精）; 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米酒</t>
    </r>
  </si>
  <si>
    <r>
      <t>瀑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</si>
  <si>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治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</si>
  <si>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开胃酒;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米酒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</si>
  <si>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峦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</si>
  <si>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弗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（杭州）文化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</si>
  <si>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果酒（含酒精）</t>
    </r>
  </si>
  <si>
    <t>一品韶州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</si>
  <si>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</si>
  <si>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杯映月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</si>
  <si>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哥食品有限公司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</si>
  <si>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白酒; 果酒; 黄酒</t>
    </r>
  </si>
  <si>
    <r>
      <t>砀</t>
    </r>
    <r>
      <rPr>
        <sz val="11"/>
        <color theme="1"/>
        <rFont val="ＭＳ Ｐゴシック"/>
        <family val="3"/>
        <charset val="128"/>
        <scheme val="minor"/>
      </rPr>
      <t>邑</t>
    </r>
  </si>
  <si>
    <r>
      <t>砀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</si>
  <si>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果酒（含酒精）; 食用酒精; 米酒; 黄酒</t>
    </r>
  </si>
  <si>
    <t>曲知己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</si>
  <si>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</si>
  <si>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海洲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</si>
  <si>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平原德通商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</si>
  <si>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</si>
  <si>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奔星</t>
  </si>
  <si>
    <r>
      <t>林志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</si>
  <si>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</si>
  <si>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t>十三瑶萃</t>
  </si>
  <si>
    <r>
      <t>广西菩江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</si>
  <si>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甜酒</t>
    </r>
  </si>
  <si>
    <t>紫韵大·紫韵淡雅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</si>
  <si>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陶坊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</si>
  <si>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</si>
  <si>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掌上明珠</t>
    </r>
  </si>
  <si>
    <r>
      <t>广州市茶</t>
    </r>
    <r>
      <rPr>
        <sz val="11"/>
        <color theme="1"/>
        <rFont val="ＭＳ Ｐゴシック"/>
        <family val="3"/>
        <charset val="134"/>
        <scheme val="minor"/>
      </rPr>
      <t>译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</si>
  <si>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柑香酒;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烈酒; 果酒</t>
    </r>
  </si>
  <si>
    <r>
      <t>汨</t>
    </r>
    <r>
      <rPr>
        <sz val="11"/>
        <color theme="1"/>
        <rFont val="ＭＳ Ｐゴシック"/>
        <family val="3"/>
        <charset val="129"/>
        <scheme val="minor"/>
      </rPr>
      <t>汩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</si>
  <si>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州市云泉酒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</si>
  <si>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</si>
  <si>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山月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</si>
  <si>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</si>
  <si>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</si>
  <si>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t>瓦尼堡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</si>
  <si>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高粱酒; 威士忌; 烈酒; 葡萄酒</t>
    </r>
  </si>
  <si>
    <r>
      <t>谢亚</t>
    </r>
    <r>
      <rPr>
        <sz val="11"/>
        <color theme="1"/>
        <rFont val="ＭＳ Ｐゴシック"/>
        <family val="3"/>
        <charset val="128"/>
        <scheme val="minor"/>
      </rPr>
      <t>先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</si>
  <si>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平芝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</si>
  <si>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高粱酒;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杜松子酒;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</si>
  <si>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尚小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</si>
  <si>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周口市尚</t>
    </r>
    <r>
      <rPr>
        <sz val="11"/>
        <color theme="1"/>
        <rFont val="ＭＳ Ｐゴシック"/>
        <family val="3"/>
        <charset val="134"/>
        <scheme val="minor"/>
      </rPr>
      <t>书实业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</si>
  <si>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果酒（含酒精）; 食用酒精; 烈酒;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</si>
  <si>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吉市惠</t>
  </si>
  <si>
    <t>刘娟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</si>
  <si>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黄酒; 茴香酒（利口酒）; 葡萄酒</t>
    </r>
  </si>
  <si>
    <t>丛乡龙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</si>
  <si>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</t>
    </r>
  </si>
  <si>
    <t>中筏</t>
  </si>
  <si>
    <t>蒋春燕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</si>
  <si>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烈酒; 白酒; 葡萄酒</t>
    </r>
  </si>
  <si>
    <t>陌上微你</t>
  </si>
  <si>
    <t>深圳市敦鼎健康科技有限公司</t>
  </si>
  <si>
    <r>
      <t>葡萄酒; 果酒;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白酒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</si>
  <si>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金亭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</si>
  <si>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香瑰宝酒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</si>
  <si>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伏特加酒</t>
    </r>
  </si>
  <si>
    <t>瑞宝平安</t>
  </si>
  <si>
    <t>禹城恩泰五五三医院有限公司</t>
  </si>
  <si>
    <r>
      <t>蜂蜜酒;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青稞酒; 食用酒精; 果酒;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</si>
  <si>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宏子潭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</si>
  <si>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利口酒;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</si>
  <si>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全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</si>
  <si>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葡萄酒; 汽酒; 果酒（含酒精）; 米酒</t>
    </r>
  </si>
  <si>
    <r>
      <t>礼泉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</si>
  <si>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葡萄酒</t>
    </r>
  </si>
  <si>
    <t>威特瓦</t>
  </si>
  <si>
    <r>
      <t>白酒; 烈酒;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</si>
  <si>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朋小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</si>
  <si>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湖南墨尚文化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</si>
  <si>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薄荷酒; 果酒（含酒精）;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</t>
    </r>
  </si>
  <si>
    <t>花在一起</t>
  </si>
  <si>
    <r>
      <t>上海柘火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</si>
  <si>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汽酒; 烈酒; 威士忌;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白葡萄酒</t>
    </r>
  </si>
  <si>
    <r>
      <t>紫韵大·紫韵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</si>
  <si>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</t>
    </r>
  </si>
  <si>
    <r>
      <t>昊瀚</t>
    </r>
    <r>
      <rPr>
        <sz val="11"/>
        <color theme="1"/>
        <rFont val="ＭＳ Ｐゴシック"/>
        <family val="3"/>
        <charset val="134"/>
        <scheme val="minor"/>
      </rPr>
      <t>锴</t>
    </r>
    <r>
      <rPr>
        <sz val="11"/>
        <color theme="1"/>
        <rFont val="ＭＳ Ｐゴシック"/>
        <family val="3"/>
        <charset val="128"/>
        <scheme val="minor"/>
      </rPr>
      <t>廷</t>
    </r>
  </si>
  <si>
    <r>
      <t>宿迁昊瀚</t>
    </r>
    <r>
      <rPr>
        <sz val="11"/>
        <color theme="1"/>
        <rFont val="ＭＳ Ｐゴシック"/>
        <family val="3"/>
        <charset val="134"/>
        <scheme val="minor"/>
      </rPr>
      <t>锴</t>
    </r>
    <r>
      <rPr>
        <sz val="11"/>
        <color theme="1"/>
        <rFont val="ＭＳ Ｐゴシック"/>
        <family val="3"/>
        <charset val="128"/>
        <scheme val="minor"/>
      </rPr>
      <t>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</si>
  <si>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白干酒（中国白酒）;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水果汽酒</t>
    </r>
  </si>
  <si>
    <t>岐在一起</t>
  </si>
  <si>
    <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露酒; 白葡萄酒; 加烈葡萄酒; 果酒（含酒精）; 白酒; 汽酒</t>
    </r>
  </si>
  <si>
    <r>
      <t>宁波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悦商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</si>
  <si>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开胃酒; 黄酒</t>
    </r>
  </si>
  <si>
    <t>上愿中福</t>
  </si>
  <si>
    <t>潘青</t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</si>
  <si>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米酒;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</si>
  <si>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俸君聚</t>
  </si>
  <si>
    <r>
      <t>田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建</t>
    </r>
  </si>
  <si>
    <r>
      <t>米酒; 威士忌;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含酒精的气泡水; 黄酒; 白酒</t>
    </r>
  </si>
  <si>
    <t>黑白兔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</si>
  <si>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</si>
  <si>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董小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</si>
  <si>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西安极速到家网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</si>
  <si>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</si>
  <si>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t>露慕</t>
  </si>
  <si>
    <r>
      <t>杨</t>
    </r>
    <r>
      <rPr>
        <sz val="11"/>
        <color theme="1"/>
        <rFont val="ＭＳ Ｐゴシック"/>
        <family val="3"/>
        <charset val="128"/>
        <scheme val="minor"/>
      </rPr>
      <t>亮亮</t>
    </r>
  </si>
  <si>
    <r>
      <t>白酒; 高粱酒;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甜酒; 烈酒; 果酒（含酒精）</t>
    </r>
  </si>
  <si>
    <r>
      <t>向阳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</si>
  <si>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深圳市璞衍企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</si>
  <si>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</si>
  <si>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梵雷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</si>
  <si>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利口酒;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餐后酒（利口酒和烈酒）; 威士忌; 葡萄酒</t>
    </r>
  </si>
  <si>
    <t>小福娃</t>
  </si>
  <si>
    <r>
      <t>宋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</si>
  <si>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米酒; 葡萄酒; 黄酒</t>
    </r>
  </si>
  <si>
    <t>璀云</t>
  </si>
  <si>
    <r>
      <t>吕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苹</t>
    </r>
  </si>
  <si>
    <r>
      <t>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白酒; 汽酒</t>
    </r>
  </si>
  <si>
    <t>荟团团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</si>
  <si>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东荟团团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</si>
  <si>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</si>
  <si>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威燕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</si>
  <si>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伏特加酒; 果酒（含酒精）; 高粱酒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</si>
  <si>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鹃</t>
    </r>
    <r>
      <rPr>
        <sz val="11"/>
        <color theme="1"/>
        <rFont val="ＭＳ Ｐゴシック"/>
        <family val="3"/>
        <charset val="128"/>
        <scheme val="minor"/>
      </rPr>
      <t>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</si>
  <si>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州博</t>
    </r>
    <r>
      <rPr>
        <sz val="11"/>
        <color theme="1"/>
        <rFont val="ＭＳ Ｐゴシック"/>
        <family val="3"/>
        <charset val="134"/>
        <scheme val="minor"/>
      </rPr>
      <t>润农业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</si>
  <si>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</si>
  <si>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成影</t>
  </si>
  <si>
    <r>
      <t>肃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水无影商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</si>
  <si>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高粱酒;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</si>
  <si>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蛋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</si>
  <si>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庆爱乐</t>
    </r>
    <r>
      <rPr>
        <sz val="11"/>
        <color theme="1"/>
        <rFont val="ＭＳ Ｐゴシック"/>
        <family val="3"/>
        <charset val="128"/>
        <scheme val="minor"/>
      </rPr>
      <t>迪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</si>
  <si>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威士忌; 麦芽威士忌</t>
    </r>
  </si>
  <si>
    <t>殷家岳河</t>
  </si>
  <si>
    <t>王秀萍</t>
  </si>
  <si>
    <r>
      <t xml:space="preserve">果酒;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葡萄酒; 汽酒</t>
    </r>
  </si>
  <si>
    <t>棠花胡同</t>
  </si>
  <si>
    <r>
      <t>北京小</t>
    </r>
    <r>
      <rPr>
        <sz val="11"/>
        <color theme="1"/>
        <rFont val="ＭＳ Ｐゴシック"/>
        <family val="3"/>
        <charset val="134"/>
        <scheme val="minor"/>
      </rPr>
      <t>买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</si>
  <si>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葡萄酒; 清酒; 烈酒</t>
    </r>
  </si>
  <si>
    <t>隆中凰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</si>
  <si>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</si>
  <si>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娃福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</si>
  <si>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米酒; 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</si>
  <si>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西双·云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</si>
  <si>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莲农业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</si>
  <si>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烈酒</t>
    </r>
  </si>
  <si>
    <t>奔摩</t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</si>
  <si>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高粱酒;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</si>
  <si>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关千小泉</t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</si>
  <si>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</t>
    </r>
  </si>
  <si>
    <t>大昌冠</t>
  </si>
  <si>
    <r>
      <t>诸剑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</si>
  <si>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果酒（含酒精）; 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</si>
  <si>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美芝</t>
    </r>
  </si>
  <si>
    <t>广州市福庭健康管理有限公司</t>
  </si>
  <si>
    <r>
      <t xml:space="preserve">薄荷酒; 茴芹酒（利口酒）; 茴香酒（利口酒）;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开胃酒; 柑香酒;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苦味酒;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</si>
  <si>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紫韵大·紫韵老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</si>
  <si>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</si>
  <si>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紫</t>
    </r>
    <r>
      <rPr>
        <sz val="11"/>
        <color theme="1"/>
        <rFont val="ＭＳ Ｐゴシック"/>
        <family val="3"/>
        <charset val="134"/>
        <scheme val="minor"/>
      </rPr>
      <t>谭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</si>
  <si>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</si>
  <si>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彩金亭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</si>
  <si>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</si>
  <si>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紫韵大·紫韵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</si>
  <si>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伏特加酒;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</si>
  <si>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</si>
  <si>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纽</t>
    </r>
    <r>
      <rPr>
        <sz val="11"/>
        <color theme="1"/>
        <rFont val="ＭＳ Ｐゴシック"/>
        <family val="3"/>
        <charset val="128"/>
        <scheme val="minor"/>
      </rPr>
      <t>焙滋（上海）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</si>
  <si>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蒸煮提取物（利口酒和烈酒）; 白酒; 威士忌; 黄酒; 果酒; 米酒; 烈酒;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</si>
  <si>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彩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·彩韵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</si>
  <si>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</si>
  <si>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泉鼎泉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</si>
  <si>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南泉鼎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</si>
  <si>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烈酒; 葡萄酒; 白酒;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</t>
    </r>
  </si>
  <si>
    <t>歌尼堡</t>
  </si>
  <si>
    <r>
      <t>甜酒; 果酒（含酒精）;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</si>
  <si>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妻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</si>
  <si>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祥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厨具有限公司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</si>
  <si>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</si>
  <si>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静</t>
    </r>
  </si>
  <si>
    <r>
      <t xml:space="preserve">葡萄酒; 黄酒; 果酒;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五加皮酒（中国混合烈酒）; 威士忌; 白酒; 烈酒; 高粱酒</t>
    </r>
  </si>
  <si>
    <t>紫韵大·紫韵亭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</si>
  <si>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果酒（含酒精）</t>
    </r>
  </si>
  <si>
    <r>
      <t>奥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利云</t>
    </r>
  </si>
  <si>
    <r>
      <t>珠海横琴融合酒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</si>
  <si>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朗姆酒;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</si>
  <si>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天宝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</si>
  <si>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州天宝文旅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</si>
  <si>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黄酒; 高粱酒; 烈酒; 葡萄酒; 白酒</t>
    </r>
  </si>
  <si>
    <t>鹿典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</si>
  <si>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汽酒;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</si>
  <si>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迪喜气</t>
  </si>
  <si>
    <t>辛航航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</si>
  <si>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食用酒精</t>
    </r>
  </si>
  <si>
    <t>袁氏医弘堂</t>
  </si>
  <si>
    <r>
      <t>登封市医弘堂草本商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</si>
  <si>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</si>
  <si>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端悦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</si>
  <si>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市璞工坊酒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</si>
  <si>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白酒; 五加皮酒（中国混合烈酒）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</si>
  <si>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 xml:space="preserve"> 淡雅清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</si>
  <si>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果酒（含酒精）; 白酒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</si>
  <si>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瀑</t>
    </r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</si>
  <si>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市天池酒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</si>
  <si>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</si>
  <si>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圣醒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</si>
  <si>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东滨</t>
    </r>
    <r>
      <rPr>
        <sz val="11"/>
        <color theme="1"/>
        <rFont val="ＭＳ Ｐゴシック"/>
        <family val="3"/>
        <charset val="128"/>
        <scheme val="minor"/>
      </rPr>
      <t>渤生物制品有限公司</t>
    </r>
  </si>
  <si>
    <r>
      <t>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餐后酒（利口酒和烈酒）; 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</si>
  <si>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朝明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</si>
  <si>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朝明******************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</si>
  <si>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</si>
  <si>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御神匠</t>
    </r>
  </si>
  <si>
    <r>
      <t>白酒; 米酒;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</t>
    </r>
  </si>
  <si>
    <t>棠花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</si>
  <si>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白酒; 烈酒; 米酒; 葡萄酒; 青稞酒; 黄酒</t>
    </r>
  </si>
  <si>
    <r>
      <t>烈焰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</si>
  <si>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利口酒; 果酒（含酒精）; 蜂蜜酒;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</si>
  <si>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威狐</t>
  </si>
  <si>
    <r>
      <t xml:space="preserve">白酒; 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黄酒</t>
    </r>
  </si>
  <si>
    <t>紫韵大·紫韵福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</si>
  <si>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伏特加酒</t>
    </r>
  </si>
  <si>
    <t>真探好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</si>
  <si>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州花儿文化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</si>
  <si>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黄酒;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</si>
  <si>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·九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湾</t>
    </r>
  </si>
  <si>
    <r>
      <t>河北通源佰达旅游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</si>
  <si>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</si>
  <si>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德沃多</t>
  </si>
  <si>
    <t>河北德沃多生物科技有限公司</t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</si>
  <si>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</si>
  <si>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黔</t>
    </r>
  </si>
  <si>
    <r>
      <t>艾国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</si>
  <si>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</si>
  <si>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净驼</t>
    </r>
    <r>
      <rPr>
        <sz val="11"/>
        <color theme="1"/>
        <rFont val="ＭＳ Ｐゴシック"/>
        <family val="3"/>
        <charset val="128"/>
        <scheme val="minor"/>
      </rPr>
      <t>泉</t>
    </r>
  </si>
  <si>
    <t>于佰玲</t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</si>
  <si>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苹果酒; 黄酒; 白酒; 青稞酒;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</si>
  <si>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妙雀</t>
  </si>
  <si>
    <r>
      <t>汽酒;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米酒; 果酒（含酒精）</t>
    </r>
  </si>
  <si>
    <t>溪亭古畔</t>
  </si>
  <si>
    <r>
      <t>条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食品科技（重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</si>
  <si>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酸酒（低等葡萄酒）; 白酒</t>
    </r>
  </si>
  <si>
    <t>敦豪</t>
  </si>
  <si>
    <r>
      <t xml:space="preserve">餐后酒（利口酒和烈酒）; 朗姆酒;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果酒（含酒精）; 葡萄酒; 威士忌;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</si>
  <si>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晒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</si>
  <si>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柑香酒;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</t>
    </r>
  </si>
  <si>
    <t>米幸</t>
  </si>
  <si>
    <r>
      <t>苏</t>
    </r>
    <r>
      <rPr>
        <sz val="11"/>
        <color theme="1"/>
        <rFont val="ＭＳ Ｐゴシック"/>
        <family val="3"/>
        <charset val="128"/>
        <scheme val="minor"/>
      </rPr>
      <t>瑞</t>
    </r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</si>
  <si>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</t>
    </r>
  </si>
  <si>
    <r>
      <t>紫韵大·紫韵大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</si>
  <si>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</si>
  <si>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四条江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</si>
  <si>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甜酒; 黄酒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</si>
  <si>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</si>
  <si>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悦（山西）品牌管理有限公司</t>
    </r>
  </si>
  <si>
    <r>
      <t xml:space="preserve">米酒; 果酒（含酒精）; 葡萄酒;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</si>
  <si>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布特亥</t>
  </si>
  <si>
    <r>
      <t>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</si>
  <si>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金城恒信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</si>
  <si>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智启明途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</si>
  <si>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米酒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</si>
  <si>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</si>
  <si>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葡萄酒; 高粱酒; 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</si>
  <si>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奥奢利文</t>
  </si>
  <si>
    <r>
      <t xml:space="preserve">伏特加酒; 白酒; 朗姆酒;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果酒(含酒精); 清酒</t>
    </r>
  </si>
  <si>
    <t>紫韵大·紫韵特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</si>
  <si>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</si>
  <si>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JIUYULONG</t>
  </si>
  <si>
    <r>
      <t>深圳市玖</t>
    </r>
    <r>
      <rPr>
        <sz val="11"/>
        <color theme="1"/>
        <rFont val="ＭＳ Ｐゴシック"/>
        <family val="3"/>
        <charset val="134"/>
        <scheme val="minor"/>
      </rPr>
      <t>钰龙进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</si>
  <si>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苹果酒; 蜂蜜酒; 薄荷酒;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</si>
  <si>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哨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</si>
  <si>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哨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阵</t>
    </r>
    <r>
      <rPr>
        <sz val="11"/>
        <color theme="1"/>
        <rFont val="ＭＳ Ｐゴシック"/>
        <family val="3"/>
        <charset val="128"/>
        <scheme val="minor"/>
      </rPr>
      <t>教育科技集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</si>
  <si>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含酒精的气泡水;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白酒</t>
    </r>
  </si>
  <si>
    <t>冉峻宁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</si>
  <si>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草莓酒; 果酒（含酒精）;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</si>
  <si>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r>
      <t>中海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油科技（北京）有限公司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</si>
  <si>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白酒; 葡萄酒</t>
    </r>
  </si>
  <si>
    <t>逢氿福</t>
  </si>
  <si>
    <r>
      <t>王</t>
    </r>
    <r>
      <rPr>
        <sz val="11"/>
        <color theme="1"/>
        <rFont val="ＭＳ Ｐゴシック"/>
        <family val="3"/>
        <charset val="134"/>
        <scheme val="minor"/>
      </rPr>
      <t>辅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</si>
  <si>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梨酒;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</si>
  <si>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栎桦</t>
  </si>
  <si>
    <r>
      <t>烟台至雅酒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</si>
  <si>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苹果酒; 开胃酒</t>
    </r>
  </si>
  <si>
    <r>
      <t>嘉之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</si>
  <si>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北京亨嘉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</si>
  <si>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含酒精的气泡水;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</t>
    </r>
  </si>
  <si>
    <r>
      <t>招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狼</t>
    </r>
  </si>
  <si>
    <r>
      <t>南通招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狼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</si>
  <si>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伏特加酒; 米酒; 开胃酒;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</si>
  <si>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泸骍</t>
    </r>
    <r>
      <rPr>
        <sz val="11"/>
        <color theme="1"/>
        <rFont val="ＭＳ Ｐゴシック"/>
        <family val="3"/>
        <charset val="128"/>
        <scheme val="minor"/>
      </rPr>
      <t>紫王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</si>
  <si>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州紫台酒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</si>
  <si>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</si>
  <si>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殷</t>
    </r>
    <r>
      <rPr>
        <sz val="11"/>
        <color theme="1"/>
        <rFont val="ＭＳ Ｐゴシック"/>
        <family val="3"/>
        <charset val="134"/>
        <scheme val="minor"/>
      </rPr>
      <t>罗烧</t>
    </r>
    <r>
      <rPr>
        <sz val="11"/>
        <color theme="1"/>
        <rFont val="ＭＳ Ｐゴシック"/>
        <family val="3"/>
        <charset val="128"/>
        <scheme val="minor"/>
      </rPr>
      <t>坊美酒庄春</t>
    </r>
  </si>
  <si>
    <t>石朝林</t>
  </si>
  <si>
    <r>
      <t>烈酒;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米酒;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</si>
  <si>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感然堂</t>
  </si>
  <si>
    <r>
      <t>江西大道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</si>
  <si>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米酒; 黄酒; 果酒; 葡萄酒</t>
    </r>
  </si>
  <si>
    <t>博禹情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</si>
  <si>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金坤福酒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</si>
  <si>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餐后酒（利口酒和烈酒）</t>
    </r>
  </si>
  <si>
    <r>
      <t>坛坛</t>
    </r>
    <r>
      <rPr>
        <sz val="11"/>
        <color theme="1"/>
        <rFont val="ＭＳ Ｐゴシック"/>
        <family val="3"/>
        <charset val="128"/>
        <scheme val="minor"/>
      </rPr>
      <t>奇遇</t>
    </r>
  </si>
  <si>
    <t>程小婷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</si>
  <si>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白酒</t>
    </r>
  </si>
  <si>
    <r>
      <t>炫彩醉美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</si>
  <si>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葡萄酒;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</si>
  <si>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慷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</si>
  <si>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北京助健健康咨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</si>
  <si>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清酒;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</si>
  <si>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汽酒; 果酒（含酒精）; 葡萄酒; 利口酒;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</si>
  <si>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秦川佬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</si>
  <si>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西精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曼力谷企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</si>
  <si>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米酒; 葡萄酒; 汽酒; 蜂蜜酒; 烈酒; 白酒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</si>
  <si>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城友礼</t>
    </r>
  </si>
  <si>
    <t>王玉******************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</si>
  <si>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</si>
  <si>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见澜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</si>
  <si>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北京正心修德医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</si>
  <si>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清酒; 汽酒; 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</si>
  <si>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t>六佳鹿</t>
  </si>
  <si>
    <r>
      <t>礼泉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叱干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刘家村股份</t>
    </r>
    <r>
      <rPr>
        <sz val="11"/>
        <color theme="1"/>
        <rFont val="ＭＳ Ｐゴシック"/>
        <family val="3"/>
        <charset val="134"/>
        <scheme val="minor"/>
      </rPr>
      <t>经济联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</si>
  <si>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 xml:space="preserve">蝮蛇酒;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青梅酒; 葡萄酒; 果酒; 烈酒; 白干酒（中国白酒）; 黄酒; 白酒</t>
    </r>
  </si>
  <si>
    <t>伴紫陌</t>
  </si>
  <si>
    <r>
      <t>河南慕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</si>
  <si>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</si>
  <si>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荷心泉</t>
  </si>
  <si>
    <r>
      <t>淮安莱德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</si>
  <si>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白酒; 露酒;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</si>
  <si>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潮礼有</t>
    </r>
    <r>
      <rPr>
        <sz val="11"/>
        <color theme="1"/>
        <rFont val="ＭＳ Ｐゴシック"/>
        <family val="3"/>
        <charset val="134"/>
        <scheme val="minor"/>
      </rPr>
      <t>戏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</si>
  <si>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</si>
  <si>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黄酒; 米酒; 青梅酒</t>
    </r>
  </si>
  <si>
    <r>
      <t>鲊</t>
    </r>
    <r>
      <rPr>
        <sz val="11"/>
        <color theme="1"/>
        <rFont val="ＭＳ Ｐゴシック"/>
        <family val="3"/>
        <charset val="128"/>
        <scheme val="minor"/>
      </rPr>
      <t>埠</t>
    </r>
  </si>
  <si>
    <r>
      <t>湖南桃坎酒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</si>
  <si>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</si>
  <si>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C‘EST CHOUETTE</t>
  </si>
  <si>
    <r>
      <t>花野国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</si>
  <si>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果酒（含酒精）; 苹果酒; 威末酒; 梨酒</t>
    </r>
  </si>
  <si>
    <r>
      <t xml:space="preserve">果酒; 黄酒; 米酒; 蜂蜜酒; 葡萄酒; 汽酒; 白酒; 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</si>
  <si>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执</t>
    </r>
    <r>
      <rPr>
        <sz val="11"/>
        <color theme="1"/>
        <rFont val="ＭＳ Ｐゴシック"/>
        <family val="3"/>
        <charset val="128"/>
        <scheme val="minor"/>
      </rPr>
      <t>酌人</t>
    </r>
  </si>
  <si>
    <t>熊治清</t>
  </si>
  <si>
    <r>
      <t xml:space="preserve">清酒（日本米酒）;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果酒; 葡萄酒</t>
    </r>
  </si>
  <si>
    <r>
      <t>华润</t>
    </r>
    <r>
      <rPr>
        <sz val="11"/>
        <color theme="1"/>
        <rFont val="ＭＳ Ｐゴシック"/>
        <family val="3"/>
        <charset val="128"/>
        <scheme val="minor"/>
      </rPr>
      <t>希望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 CR HOPE LAND</t>
    </r>
  </si>
  <si>
    <r>
      <t>华润</t>
    </r>
    <r>
      <rPr>
        <sz val="11"/>
        <color theme="1"/>
        <rFont val="ＭＳ Ｐゴシック"/>
        <family val="3"/>
        <charset val="128"/>
        <scheme val="minor"/>
      </rPr>
      <t>知</t>
    </r>
    <r>
      <rPr>
        <sz val="11"/>
        <color theme="1"/>
        <rFont val="ＭＳ Ｐゴシック"/>
        <family val="3"/>
        <charset val="134"/>
        <scheme val="minor"/>
      </rPr>
      <t>识产权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</si>
  <si>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食用酒精;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</si>
</sst>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420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1915</v>
      </c>
      <c r="D2" s="10">
        <v>45639</v>
      </c>
      <c r="E2" s="13" t="str">
        <f>+HYPERLINK("http://trademark.i-assist.jp/data/china/image_1915th/37538006.pdf","37538006")</f>
        <v>37538006</v>
      </c>
      <c r="F2" s="9" t="s">
        <v>90</v>
      </c>
      <c r="G2" s="12" t="s">
        <v>40</v>
      </c>
      <c r="H2" s="9" t="s">
        <v>91</v>
      </c>
      <c r="I2" s="10">
        <v>43571</v>
      </c>
    </row>
    <row r="3" spans="1:9" x14ac:dyDescent="0.15">
      <c r="A3" s="9">
        <v>2</v>
      </c>
      <c r="B3" s="9" t="s">
        <v>9</v>
      </c>
      <c r="C3" s="9">
        <v>1915</v>
      </c>
      <c r="D3" s="10">
        <v>45639</v>
      </c>
      <c r="E3" s="13" t="str">
        <f>+HYPERLINK("http://trademark.i-assist.jp/data/china/image_1915th/48377164.pdf","48377164")</f>
        <v>48377164</v>
      </c>
      <c r="F3" s="9" t="s">
        <v>92</v>
      </c>
      <c r="G3" s="9" t="s">
        <v>93</v>
      </c>
      <c r="H3" s="9" t="s">
        <v>13</v>
      </c>
      <c r="I3" s="10">
        <v>44036</v>
      </c>
    </row>
    <row r="4" spans="1:9" x14ac:dyDescent="0.15">
      <c r="A4" s="9">
        <v>3</v>
      </c>
      <c r="B4" s="9" t="s">
        <v>9</v>
      </c>
      <c r="C4" s="9">
        <v>1915</v>
      </c>
      <c r="D4" s="10">
        <v>45639</v>
      </c>
      <c r="E4" s="13" t="str">
        <f>+HYPERLINK("http://trademark.i-assist.jp/data/china/image_1915th/60357596.pdf","60357596")</f>
        <v>60357596</v>
      </c>
      <c r="F4" s="11" t="s">
        <v>94</v>
      </c>
      <c r="G4" s="9" t="s">
        <v>95</v>
      </c>
      <c r="H4" s="9" t="s">
        <v>96</v>
      </c>
      <c r="I4" s="10">
        <v>44506</v>
      </c>
    </row>
    <row r="5" spans="1:9" x14ac:dyDescent="0.15">
      <c r="A5" s="9">
        <v>4</v>
      </c>
      <c r="B5" s="9" t="s">
        <v>9</v>
      </c>
      <c r="C5" s="9">
        <v>1915</v>
      </c>
      <c r="D5" s="10">
        <v>45639</v>
      </c>
      <c r="E5" s="13" t="str">
        <f>+HYPERLINK("http://trademark.i-assist.jp/data/china/image_1915th/65594359.pdf","65594359")</f>
        <v>65594359</v>
      </c>
      <c r="F5" s="12" t="s">
        <v>15</v>
      </c>
      <c r="G5" s="9" t="s">
        <v>97</v>
      </c>
      <c r="H5" s="9" t="s">
        <v>98</v>
      </c>
      <c r="I5" s="10">
        <v>44740</v>
      </c>
    </row>
    <row r="6" spans="1:9" x14ac:dyDescent="0.15">
      <c r="A6" s="9">
        <v>5</v>
      </c>
      <c r="B6" s="9" t="s">
        <v>9</v>
      </c>
      <c r="C6" s="9">
        <v>1915</v>
      </c>
      <c r="D6" s="10">
        <v>45639</v>
      </c>
      <c r="E6" s="13" t="str">
        <f>+HYPERLINK("http://trademark.i-assist.jp/data/china/image_1915th/66072991.pdf","66072991")</f>
        <v>66072991</v>
      </c>
      <c r="F6" s="9" t="s">
        <v>99</v>
      </c>
      <c r="G6" s="9" t="s">
        <v>100</v>
      </c>
      <c r="H6" s="9" t="s">
        <v>101</v>
      </c>
      <c r="I6" s="10">
        <v>44762</v>
      </c>
    </row>
    <row r="7" spans="1:9" x14ac:dyDescent="0.15">
      <c r="A7" s="9">
        <v>6</v>
      </c>
      <c r="B7" s="9" t="s">
        <v>9</v>
      </c>
      <c r="C7" s="9">
        <v>1915</v>
      </c>
      <c r="D7" s="10">
        <v>45639</v>
      </c>
      <c r="E7" s="13" t="str">
        <f>+HYPERLINK("http://trademark.i-assist.jp/data/china/image_1915th/66084296.pdf","66084296")</f>
        <v>66084296</v>
      </c>
      <c r="F7" s="9" t="s">
        <v>102</v>
      </c>
      <c r="G7" s="9" t="s">
        <v>100</v>
      </c>
      <c r="H7" s="9" t="s">
        <v>103</v>
      </c>
      <c r="I7" s="10">
        <v>44762</v>
      </c>
    </row>
    <row r="8" spans="1:9" x14ac:dyDescent="0.15">
      <c r="A8" s="9">
        <v>7</v>
      </c>
      <c r="B8" s="9" t="s">
        <v>9</v>
      </c>
      <c r="C8" s="9">
        <v>1915</v>
      </c>
      <c r="D8" s="10">
        <v>45639</v>
      </c>
      <c r="E8" s="13" t="str">
        <f>+HYPERLINK("http://trademark.i-assist.jp/data/china/image_1915th/66092203.pdf","66092203")</f>
        <v>66092203</v>
      </c>
      <c r="F8" s="9" t="s">
        <v>104</v>
      </c>
      <c r="G8" s="9" t="s">
        <v>100</v>
      </c>
      <c r="H8" s="9" t="s">
        <v>105</v>
      </c>
      <c r="I8" s="10">
        <v>44762</v>
      </c>
    </row>
    <row r="9" spans="1:9" x14ac:dyDescent="0.15">
      <c r="A9" s="9">
        <v>8</v>
      </c>
      <c r="B9" s="9" t="s">
        <v>9</v>
      </c>
      <c r="C9" s="9">
        <v>1915</v>
      </c>
      <c r="D9" s="10">
        <v>45639</v>
      </c>
      <c r="E9" s="13" t="str">
        <f>+HYPERLINK("http://trademark.i-assist.jp/data/china/image_1915th/67035702.pdf","67035702")</f>
        <v>67035702</v>
      </c>
      <c r="F9" s="12" t="s">
        <v>106</v>
      </c>
      <c r="G9" s="9" t="s">
        <v>107</v>
      </c>
      <c r="H9" s="9" t="s">
        <v>108</v>
      </c>
      <c r="I9" s="10">
        <v>44809</v>
      </c>
    </row>
    <row r="10" spans="1:9" x14ac:dyDescent="0.15">
      <c r="A10" s="9">
        <v>9</v>
      </c>
      <c r="B10" s="9" t="s">
        <v>9</v>
      </c>
      <c r="C10" s="9">
        <v>1915</v>
      </c>
      <c r="D10" s="10">
        <v>45639</v>
      </c>
      <c r="E10" s="13" t="str">
        <f>+HYPERLINK("http://trademark.i-assist.jp/data/china/image_1915th/67706290.pdf","67706290")</f>
        <v>67706290</v>
      </c>
      <c r="F10" s="9" t="s">
        <v>109</v>
      </c>
      <c r="G10" s="12" t="s">
        <v>30</v>
      </c>
      <c r="H10" s="9" t="s">
        <v>14</v>
      </c>
      <c r="I10" s="10">
        <v>44847</v>
      </c>
    </row>
    <row r="11" spans="1:9" x14ac:dyDescent="0.15">
      <c r="A11" s="9">
        <v>10</v>
      </c>
      <c r="B11" s="9" t="s">
        <v>9</v>
      </c>
      <c r="C11" s="9">
        <v>1915</v>
      </c>
      <c r="D11" s="10">
        <v>45639</v>
      </c>
      <c r="E11" s="13" t="str">
        <f>+HYPERLINK("http://trademark.i-assist.jp/data/china/image_1915th/69629793.pdf","69629793")</f>
        <v>69629793</v>
      </c>
      <c r="F11" s="12" t="s">
        <v>106</v>
      </c>
      <c r="G11" s="9" t="s">
        <v>107</v>
      </c>
      <c r="H11" s="9" t="s">
        <v>110</v>
      </c>
      <c r="I11" s="10">
        <v>44974</v>
      </c>
    </row>
    <row r="12" spans="1:9" x14ac:dyDescent="0.15">
      <c r="A12" s="9">
        <v>11</v>
      </c>
      <c r="B12" s="9" t="s">
        <v>9</v>
      </c>
      <c r="C12" s="9">
        <v>1915</v>
      </c>
      <c r="D12" s="10">
        <v>45639</v>
      </c>
      <c r="E12" s="13" t="str">
        <f>+HYPERLINK("http://trademark.i-assist.jp/data/china/image_1915th/70484234.pdf","70484234")</f>
        <v>70484234</v>
      </c>
      <c r="F12" s="12" t="s">
        <v>15</v>
      </c>
      <c r="G12" s="9" t="s">
        <v>111</v>
      </c>
      <c r="H12" s="9" t="s">
        <v>112</v>
      </c>
      <c r="I12" s="10">
        <v>45012</v>
      </c>
    </row>
    <row r="13" spans="1:9" x14ac:dyDescent="0.15">
      <c r="A13" s="9">
        <v>12</v>
      </c>
      <c r="B13" s="9" t="s">
        <v>9</v>
      </c>
      <c r="C13" s="9">
        <v>1915</v>
      </c>
      <c r="D13" s="10">
        <v>45639</v>
      </c>
      <c r="E13" s="13" t="str">
        <f>+HYPERLINK("http://trademark.i-assist.jp/data/china/image_1915th/71177819.pdf","71177819")</f>
        <v>71177819</v>
      </c>
      <c r="F13" s="9" t="s">
        <v>113</v>
      </c>
      <c r="G13" s="9" t="s">
        <v>114</v>
      </c>
      <c r="H13" s="12" t="s">
        <v>115</v>
      </c>
      <c r="I13" s="10">
        <v>45041</v>
      </c>
    </row>
    <row r="14" spans="1:9" x14ac:dyDescent="0.15">
      <c r="A14" s="9">
        <v>13</v>
      </c>
      <c r="B14" s="9" t="s">
        <v>9</v>
      </c>
      <c r="C14" s="9">
        <v>1915</v>
      </c>
      <c r="D14" s="10">
        <v>45639</v>
      </c>
      <c r="E14" s="13" t="str">
        <f>+HYPERLINK("http://trademark.i-assist.jp/data/china/image_1915th/71298074.pdf","71298074")</f>
        <v>71298074</v>
      </c>
      <c r="F14" s="9" t="s">
        <v>116</v>
      </c>
      <c r="G14" s="9" t="s">
        <v>117</v>
      </c>
      <c r="H14" s="9" t="s">
        <v>118</v>
      </c>
      <c r="I14" s="10">
        <v>45050</v>
      </c>
    </row>
    <row r="15" spans="1:9" x14ac:dyDescent="0.15">
      <c r="A15" s="9">
        <v>14</v>
      </c>
      <c r="B15" s="9" t="s">
        <v>9</v>
      </c>
      <c r="C15" s="9">
        <v>1915</v>
      </c>
      <c r="D15" s="10">
        <v>45639</v>
      </c>
      <c r="E15" s="13" t="str">
        <f>+HYPERLINK("http://trademark.i-assist.jp/data/china/image_1915th/71456323.pdf","71456323")</f>
        <v>71456323</v>
      </c>
      <c r="F15" s="12" t="s">
        <v>119</v>
      </c>
      <c r="G15" s="9" t="s">
        <v>120</v>
      </c>
      <c r="H15" s="9" t="s">
        <v>121</v>
      </c>
      <c r="I15" s="10">
        <v>45056</v>
      </c>
    </row>
    <row r="16" spans="1:9" x14ac:dyDescent="0.15">
      <c r="A16" s="9">
        <v>15</v>
      </c>
      <c r="B16" s="9" t="s">
        <v>9</v>
      </c>
      <c r="C16" s="9">
        <v>1915</v>
      </c>
      <c r="D16" s="10">
        <v>45639</v>
      </c>
      <c r="E16" s="13" t="str">
        <f>+HYPERLINK("http://trademark.i-assist.jp/data/china/image_1915th/71913175.pdf","71913175")</f>
        <v>71913175</v>
      </c>
      <c r="F16" s="9" t="s">
        <v>122</v>
      </c>
      <c r="G16" s="9" t="s">
        <v>123</v>
      </c>
      <c r="H16" s="9" t="s">
        <v>124</v>
      </c>
      <c r="I16" s="10">
        <v>45076</v>
      </c>
    </row>
    <row r="17" spans="1:9" x14ac:dyDescent="0.15">
      <c r="A17" s="9">
        <v>16</v>
      </c>
      <c r="B17" s="9" t="s">
        <v>9</v>
      </c>
      <c r="C17" s="9">
        <v>1915</v>
      </c>
      <c r="D17" s="10">
        <v>45639</v>
      </c>
      <c r="E17" s="13" t="str">
        <f>+HYPERLINK("http://trademark.i-assist.jp/data/china/image_1915th/72050773.pdf","72050773")</f>
        <v>72050773</v>
      </c>
      <c r="F17" s="12" t="s">
        <v>125</v>
      </c>
      <c r="G17" s="9" t="s">
        <v>67</v>
      </c>
      <c r="H17" s="9" t="s">
        <v>126</v>
      </c>
      <c r="I17" s="10">
        <v>45083</v>
      </c>
    </row>
    <row r="18" spans="1:9" x14ac:dyDescent="0.15">
      <c r="A18" s="9">
        <v>17</v>
      </c>
      <c r="B18" s="9" t="s">
        <v>9</v>
      </c>
      <c r="C18" s="9">
        <v>1915</v>
      </c>
      <c r="D18" s="10">
        <v>45639</v>
      </c>
      <c r="E18" s="13" t="str">
        <f>+HYPERLINK("http://trademark.i-assist.jp/data/china/image_1915th/72120938.pdf","72120938")</f>
        <v>72120938</v>
      </c>
      <c r="F18" s="9" t="s">
        <v>127</v>
      </c>
      <c r="G18" s="12" t="s">
        <v>128</v>
      </c>
      <c r="H18" s="9" t="s">
        <v>129</v>
      </c>
      <c r="I18" s="10">
        <v>45086</v>
      </c>
    </row>
    <row r="19" spans="1:9" x14ac:dyDescent="0.15">
      <c r="A19" s="9">
        <v>18</v>
      </c>
      <c r="B19" s="9" t="s">
        <v>9</v>
      </c>
      <c r="C19" s="9">
        <v>1915</v>
      </c>
      <c r="D19" s="10">
        <v>45639</v>
      </c>
      <c r="E19" s="13" t="str">
        <f>+HYPERLINK("http://trademark.i-assist.jp/data/china/image_1915th/72215931.pdf","72215931")</f>
        <v>72215931</v>
      </c>
      <c r="F19" s="9" t="s">
        <v>130</v>
      </c>
      <c r="G19" s="9" t="s">
        <v>131</v>
      </c>
      <c r="H19" s="9" t="s">
        <v>132</v>
      </c>
      <c r="I19" s="10">
        <v>45091</v>
      </c>
    </row>
    <row r="20" spans="1:9" x14ac:dyDescent="0.15">
      <c r="A20" s="9">
        <v>19</v>
      </c>
      <c r="B20" s="9" t="s">
        <v>9</v>
      </c>
      <c r="C20" s="9">
        <v>1915</v>
      </c>
      <c r="D20" s="10">
        <v>45639</v>
      </c>
      <c r="E20" s="13" t="str">
        <f>+HYPERLINK("http://trademark.i-assist.jp/data/china/image_1915th/72621335.pdf","72621335")</f>
        <v>72621335</v>
      </c>
      <c r="F20" s="9" t="s">
        <v>133</v>
      </c>
      <c r="G20" s="9" t="s">
        <v>134</v>
      </c>
      <c r="H20" s="9" t="s">
        <v>42</v>
      </c>
      <c r="I20" s="10">
        <v>45111</v>
      </c>
    </row>
    <row r="21" spans="1:9" x14ac:dyDescent="0.15">
      <c r="A21" s="9">
        <v>20</v>
      </c>
      <c r="B21" s="9" t="s">
        <v>9</v>
      </c>
      <c r="C21" s="9">
        <v>1915</v>
      </c>
      <c r="D21" s="10">
        <v>45639</v>
      </c>
      <c r="E21" s="13" t="str">
        <f>+HYPERLINK("http://trademark.i-assist.jp/data/china/image_1915th/72635926.pdf","72635926")</f>
        <v>72635926</v>
      </c>
      <c r="F21" s="9" t="s">
        <v>135</v>
      </c>
      <c r="G21" s="9" t="s">
        <v>136</v>
      </c>
      <c r="H21" s="9" t="s">
        <v>137</v>
      </c>
      <c r="I21" s="10">
        <v>45112</v>
      </c>
    </row>
    <row r="22" spans="1:9" x14ac:dyDescent="0.15">
      <c r="A22" s="9">
        <v>21</v>
      </c>
      <c r="B22" s="9" t="s">
        <v>9</v>
      </c>
      <c r="C22" s="9">
        <v>1915</v>
      </c>
      <c r="D22" s="10">
        <v>45639</v>
      </c>
      <c r="E22" s="13" t="str">
        <f>+HYPERLINK("http://trademark.i-assist.jp/data/china/image_1915th/72998956.pdf","72998956")</f>
        <v>72998956</v>
      </c>
      <c r="F22" s="12" t="s">
        <v>138</v>
      </c>
      <c r="G22" s="9" t="s">
        <v>139</v>
      </c>
      <c r="H22" s="9" t="s">
        <v>140</v>
      </c>
      <c r="I22" s="10">
        <v>45128</v>
      </c>
    </row>
    <row r="23" spans="1:9" x14ac:dyDescent="0.15">
      <c r="A23" s="9">
        <v>22</v>
      </c>
      <c r="B23" s="9" t="s">
        <v>9</v>
      </c>
      <c r="C23" s="9">
        <v>1915</v>
      </c>
      <c r="D23" s="10">
        <v>45639</v>
      </c>
      <c r="E23" s="13" t="str">
        <f>+HYPERLINK("http://trademark.i-assist.jp/data/china/image_1915th/73116305.pdf","73116305")</f>
        <v>73116305</v>
      </c>
      <c r="F23" s="9" t="s">
        <v>141</v>
      </c>
      <c r="G23" s="12" t="s">
        <v>142</v>
      </c>
      <c r="H23" s="9" t="s">
        <v>143</v>
      </c>
      <c r="I23" s="10">
        <v>45134</v>
      </c>
    </row>
    <row r="24" spans="1:9" x14ac:dyDescent="0.15">
      <c r="A24" s="9">
        <v>23</v>
      </c>
      <c r="B24" s="9" t="s">
        <v>9</v>
      </c>
      <c r="C24" s="9">
        <v>1915</v>
      </c>
      <c r="D24" s="10">
        <v>45639</v>
      </c>
      <c r="E24" s="13" t="str">
        <f>+HYPERLINK("http://trademark.i-assist.jp/data/china/image_1915th/73175481.pdf","73175481")</f>
        <v>73175481</v>
      </c>
      <c r="F24" s="9" t="s">
        <v>144</v>
      </c>
      <c r="G24" s="9" t="s">
        <v>145</v>
      </c>
      <c r="H24" s="9" t="s">
        <v>146</v>
      </c>
      <c r="I24" s="10">
        <v>45138</v>
      </c>
    </row>
    <row r="25" spans="1:9" x14ac:dyDescent="0.15">
      <c r="A25" s="9">
        <v>24</v>
      </c>
      <c r="B25" s="9" t="s">
        <v>9</v>
      </c>
      <c r="C25" s="9">
        <v>1915</v>
      </c>
      <c r="D25" s="10">
        <v>45639</v>
      </c>
      <c r="E25" s="13" t="str">
        <f>+HYPERLINK("http://trademark.i-assist.jp/data/china/image_1915th/73496368.pdf","73496368")</f>
        <v>73496368</v>
      </c>
      <c r="F25" s="12" t="s">
        <v>147</v>
      </c>
      <c r="G25" s="9" t="s">
        <v>148</v>
      </c>
      <c r="H25" s="9" t="s">
        <v>149</v>
      </c>
      <c r="I25" s="10">
        <v>45154</v>
      </c>
    </row>
    <row r="26" spans="1:9" x14ac:dyDescent="0.15">
      <c r="A26" s="9">
        <v>25</v>
      </c>
      <c r="B26" s="9" t="s">
        <v>9</v>
      </c>
      <c r="C26" s="9">
        <v>1915</v>
      </c>
      <c r="D26" s="10">
        <v>45639</v>
      </c>
      <c r="E26" s="13" t="str">
        <f>+HYPERLINK("http://trademark.i-assist.jp/data/china/image_1915th/73546648.pdf","73546648")</f>
        <v>73546648</v>
      </c>
      <c r="F26" s="9" t="s">
        <v>150</v>
      </c>
      <c r="G26" s="9" t="s">
        <v>151</v>
      </c>
      <c r="H26" s="9" t="s">
        <v>152</v>
      </c>
      <c r="I26" s="10">
        <v>45156</v>
      </c>
    </row>
    <row r="27" spans="1:9" x14ac:dyDescent="0.15">
      <c r="A27" s="9">
        <v>26</v>
      </c>
      <c r="B27" s="9" t="s">
        <v>9</v>
      </c>
      <c r="C27" s="9">
        <v>1915</v>
      </c>
      <c r="D27" s="10">
        <v>45639</v>
      </c>
      <c r="E27" s="13" t="str">
        <f>+HYPERLINK("http://trademark.i-assist.jp/data/china/image_1915th/73629818.pdf","73629818")</f>
        <v>73629818</v>
      </c>
      <c r="F27" s="9" t="s">
        <v>153</v>
      </c>
      <c r="G27" s="9" t="s">
        <v>154</v>
      </c>
      <c r="H27" s="9" t="s">
        <v>155</v>
      </c>
      <c r="I27" s="10">
        <v>45160</v>
      </c>
    </row>
    <row r="28" spans="1:9" x14ac:dyDescent="0.15">
      <c r="A28" s="9">
        <v>27</v>
      </c>
      <c r="B28" s="9" t="s">
        <v>9</v>
      </c>
      <c r="C28" s="9">
        <v>1915</v>
      </c>
      <c r="D28" s="10">
        <v>45639</v>
      </c>
      <c r="E28" s="13" t="str">
        <f>+HYPERLINK("http://trademark.i-assist.jp/data/china/image_1915th/73908816.pdf","73908816")</f>
        <v>73908816</v>
      </c>
      <c r="F28" s="9" t="s">
        <v>156</v>
      </c>
      <c r="G28" s="9" t="s">
        <v>157</v>
      </c>
      <c r="H28" s="12" t="s">
        <v>158</v>
      </c>
      <c r="I28" s="10">
        <v>45175</v>
      </c>
    </row>
    <row r="29" spans="1:9" x14ac:dyDescent="0.15">
      <c r="A29" s="9">
        <v>28</v>
      </c>
      <c r="B29" s="9" t="s">
        <v>9</v>
      </c>
      <c r="C29" s="9">
        <v>1915</v>
      </c>
      <c r="D29" s="10">
        <v>45639</v>
      </c>
      <c r="E29" s="13" t="str">
        <f>+HYPERLINK("http://trademark.i-assist.jp/data/china/image_1915th/73910390.pdf","73910390")</f>
        <v>73910390</v>
      </c>
      <c r="F29" s="9" t="s">
        <v>159</v>
      </c>
      <c r="G29" s="9" t="s">
        <v>157</v>
      </c>
      <c r="H29" s="9" t="s">
        <v>160</v>
      </c>
      <c r="I29" s="10">
        <v>45175</v>
      </c>
    </row>
    <row r="30" spans="1:9" x14ac:dyDescent="0.15">
      <c r="A30" s="9">
        <v>29</v>
      </c>
      <c r="B30" s="9" t="s">
        <v>9</v>
      </c>
      <c r="C30" s="9">
        <v>1915</v>
      </c>
      <c r="D30" s="10">
        <v>45639</v>
      </c>
      <c r="E30" s="13" t="str">
        <f>+HYPERLINK("http://trademark.i-assist.jp/data/china/image_1915th/73914500.pdf","73914500")</f>
        <v>73914500</v>
      </c>
      <c r="F30" s="9" t="s">
        <v>156</v>
      </c>
      <c r="G30" s="9" t="s">
        <v>157</v>
      </c>
      <c r="H30" s="9" t="s">
        <v>161</v>
      </c>
      <c r="I30" s="10">
        <v>45175</v>
      </c>
    </row>
    <row r="31" spans="1:9" x14ac:dyDescent="0.15">
      <c r="A31" s="9">
        <v>30</v>
      </c>
      <c r="B31" s="9" t="s">
        <v>9</v>
      </c>
      <c r="C31" s="9">
        <v>1915</v>
      </c>
      <c r="D31" s="10">
        <v>45639</v>
      </c>
      <c r="E31" s="13" t="str">
        <f>+HYPERLINK("http://trademark.i-assist.jp/data/china/image_1915th/73959821.pdf","73959821")</f>
        <v>73959821</v>
      </c>
      <c r="F31" s="9" t="s">
        <v>162</v>
      </c>
      <c r="G31" s="9" t="s">
        <v>163</v>
      </c>
      <c r="H31" s="9" t="s">
        <v>164</v>
      </c>
      <c r="I31" s="10">
        <v>45177</v>
      </c>
    </row>
    <row r="32" spans="1:9" x14ac:dyDescent="0.15">
      <c r="A32" s="9">
        <v>31</v>
      </c>
      <c r="B32" s="9" t="s">
        <v>9</v>
      </c>
      <c r="C32" s="9">
        <v>1915</v>
      </c>
      <c r="D32" s="10">
        <v>45639</v>
      </c>
      <c r="E32" s="13" t="str">
        <f>+HYPERLINK("http://trademark.i-assist.jp/data/china/image_1915th/73961582.pdf","73961582")</f>
        <v>73961582</v>
      </c>
      <c r="F32" s="9" t="s">
        <v>165</v>
      </c>
      <c r="G32" s="9" t="s">
        <v>166</v>
      </c>
      <c r="H32" s="9" t="s">
        <v>167</v>
      </c>
      <c r="I32" s="10">
        <v>45177</v>
      </c>
    </row>
    <row r="33" spans="1:9" x14ac:dyDescent="0.15">
      <c r="A33" s="9">
        <v>32</v>
      </c>
      <c r="B33" s="9" t="s">
        <v>9</v>
      </c>
      <c r="C33" s="9">
        <v>1915</v>
      </c>
      <c r="D33" s="10">
        <v>45639</v>
      </c>
      <c r="E33" s="13" t="str">
        <f>+HYPERLINK("http://trademark.i-assist.jp/data/china/image_1915th/74005929.pdf","74005929")</f>
        <v>74005929</v>
      </c>
      <c r="F33" s="9" t="s">
        <v>168</v>
      </c>
      <c r="G33" s="9" t="s">
        <v>169</v>
      </c>
      <c r="H33" s="9" t="s">
        <v>170</v>
      </c>
      <c r="I33" s="10">
        <v>45180</v>
      </c>
    </row>
    <row r="34" spans="1:9" x14ac:dyDescent="0.15">
      <c r="A34" s="9">
        <v>33</v>
      </c>
      <c r="B34" s="9" t="s">
        <v>9</v>
      </c>
      <c r="C34" s="9">
        <v>1915</v>
      </c>
      <c r="D34" s="10">
        <v>45639</v>
      </c>
      <c r="E34" s="13" t="str">
        <f>+HYPERLINK("http://trademark.i-assist.jp/data/china/image_1915th/74014418.pdf","74014418")</f>
        <v>74014418</v>
      </c>
      <c r="F34" s="12" t="s">
        <v>171</v>
      </c>
      <c r="G34" s="9" t="s">
        <v>172</v>
      </c>
      <c r="H34" s="9" t="s">
        <v>173</v>
      </c>
      <c r="I34" s="10">
        <v>45180</v>
      </c>
    </row>
    <row r="35" spans="1:9" x14ac:dyDescent="0.15">
      <c r="A35" s="9">
        <v>34</v>
      </c>
      <c r="B35" s="9" t="s">
        <v>9</v>
      </c>
      <c r="C35" s="9">
        <v>1915</v>
      </c>
      <c r="D35" s="10">
        <v>45639</v>
      </c>
      <c r="E35" s="13" t="str">
        <f>+HYPERLINK("http://trademark.i-assist.jp/data/china/image_1915th/74021960.pdf","74021960")</f>
        <v>74021960</v>
      </c>
      <c r="F35" s="12" t="s">
        <v>174</v>
      </c>
      <c r="G35" s="9" t="s">
        <v>175</v>
      </c>
      <c r="H35" s="9" t="s">
        <v>176</v>
      </c>
      <c r="I35" s="10">
        <v>45181</v>
      </c>
    </row>
    <row r="36" spans="1:9" x14ac:dyDescent="0.15">
      <c r="A36" s="9">
        <v>35</v>
      </c>
      <c r="B36" s="9" t="s">
        <v>9</v>
      </c>
      <c r="C36" s="9">
        <v>1915</v>
      </c>
      <c r="D36" s="10">
        <v>45639</v>
      </c>
      <c r="E36" s="13" t="str">
        <f>+HYPERLINK("http://trademark.i-assist.jp/data/china/image_1915th/74072224.pdf","74072224")</f>
        <v>74072224</v>
      </c>
      <c r="F36" s="9" t="s">
        <v>177</v>
      </c>
      <c r="G36" s="12" t="s">
        <v>178</v>
      </c>
      <c r="H36" s="9" t="s">
        <v>179</v>
      </c>
      <c r="I36" s="10">
        <v>45183</v>
      </c>
    </row>
    <row r="37" spans="1:9" x14ac:dyDescent="0.15">
      <c r="A37" s="9">
        <v>36</v>
      </c>
      <c r="B37" s="9" t="s">
        <v>9</v>
      </c>
      <c r="C37" s="9">
        <v>1915</v>
      </c>
      <c r="D37" s="10">
        <v>45639</v>
      </c>
      <c r="E37" s="13" t="str">
        <f>+HYPERLINK("http://trademark.i-assist.jp/data/china/image_1915th/74144476.pdf","74144476")</f>
        <v>74144476</v>
      </c>
      <c r="F37" s="9" t="s">
        <v>180</v>
      </c>
      <c r="G37" s="9" t="s">
        <v>181</v>
      </c>
      <c r="H37" s="9" t="s">
        <v>182</v>
      </c>
      <c r="I37" s="10">
        <v>45187</v>
      </c>
    </row>
    <row r="38" spans="1:9" x14ac:dyDescent="0.15">
      <c r="A38" s="9">
        <v>37</v>
      </c>
      <c r="B38" s="9" t="s">
        <v>9</v>
      </c>
      <c r="C38" s="9">
        <v>1915</v>
      </c>
      <c r="D38" s="10">
        <v>45639</v>
      </c>
      <c r="E38" s="13" t="str">
        <f>+HYPERLINK("http://trademark.i-assist.jp/data/china/image_1915th/74148646.pdf","74148646")</f>
        <v>74148646</v>
      </c>
      <c r="F38" s="9" t="s">
        <v>183</v>
      </c>
      <c r="G38" s="9" t="s">
        <v>184</v>
      </c>
      <c r="H38" s="9" t="s">
        <v>185</v>
      </c>
      <c r="I38" s="10">
        <v>45187</v>
      </c>
    </row>
    <row r="39" spans="1:9" x14ac:dyDescent="0.15">
      <c r="A39" s="9">
        <v>38</v>
      </c>
      <c r="B39" s="9" t="s">
        <v>9</v>
      </c>
      <c r="C39" s="9">
        <v>1915</v>
      </c>
      <c r="D39" s="10">
        <v>45639</v>
      </c>
      <c r="E39" s="13" t="str">
        <f>+HYPERLINK("http://trademark.i-assist.jp/data/china/image_1915th/74217302.pdf","74217302")</f>
        <v>74217302</v>
      </c>
      <c r="F39" s="12" t="s">
        <v>15</v>
      </c>
      <c r="G39" s="9" t="s">
        <v>186</v>
      </c>
      <c r="H39" s="9" t="s">
        <v>187</v>
      </c>
      <c r="I39" s="10">
        <v>45190</v>
      </c>
    </row>
    <row r="40" spans="1:9" x14ac:dyDescent="0.15">
      <c r="A40" s="9">
        <v>39</v>
      </c>
      <c r="B40" s="9" t="s">
        <v>9</v>
      </c>
      <c r="C40" s="9">
        <v>1915</v>
      </c>
      <c r="D40" s="10">
        <v>45639</v>
      </c>
      <c r="E40" s="13" t="str">
        <f>+HYPERLINK("http://trademark.i-assist.jp/data/china/image_1915th/74249051.pdf","74249051")</f>
        <v>74249051</v>
      </c>
      <c r="F40" s="9" t="s">
        <v>188</v>
      </c>
      <c r="G40" s="9" t="s">
        <v>189</v>
      </c>
      <c r="H40" s="9" t="s">
        <v>190</v>
      </c>
      <c r="I40" s="10">
        <v>45191</v>
      </c>
    </row>
    <row r="41" spans="1:9" x14ac:dyDescent="0.15">
      <c r="A41" s="9">
        <v>40</v>
      </c>
      <c r="B41" s="9" t="s">
        <v>9</v>
      </c>
      <c r="C41" s="9">
        <v>1915</v>
      </c>
      <c r="D41" s="10">
        <v>45639</v>
      </c>
      <c r="E41" s="13" t="str">
        <f>+HYPERLINK("http://trademark.i-assist.jp/data/china/image_1915th/74262617.pdf","74262617")</f>
        <v>74262617</v>
      </c>
      <c r="F41" s="12" t="s">
        <v>191</v>
      </c>
      <c r="G41" s="9" t="s">
        <v>192</v>
      </c>
      <c r="H41" s="9" t="s">
        <v>193</v>
      </c>
      <c r="I41" s="10">
        <v>45192</v>
      </c>
    </row>
    <row r="42" spans="1:9" x14ac:dyDescent="0.15">
      <c r="A42" s="9">
        <v>41</v>
      </c>
      <c r="B42" s="9" t="s">
        <v>9</v>
      </c>
      <c r="C42" s="9">
        <v>1915</v>
      </c>
      <c r="D42" s="10">
        <v>45639</v>
      </c>
      <c r="E42" s="13" t="str">
        <f>+HYPERLINK("http://trademark.i-assist.jp/data/china/image_1915th/74272126.pdf","74272126")</f>
        <v>74272126</v>
      </c>
      <c r="F42" s="9" t="s">
        <v>194</v>
      </c>
      <c r="G42" s="9" t="s">
        <v>195</v>
      </c>
      <c r="H42" s="12" t="s">
        <v>196</v>
      </c>
      <c r="I42" s="10">
        <v>45194</v>
      </c>
    </row>
    <row r="43" spans="1:9" x14ac:dyDescent="0.15">
      <c r="A43" s="9">
        <v>42</v>
      </c>
      <c r="B43" s="9" t="s">
        <v>9</v>
      </c>
      <c r="C43" s="9">
        <v>1915</v>
      </c>
      <c r="D43" s="10">
        <v>45639</v>
      </c>
      <c r="E43" s="13" t="str">
        <f>+HYPERLINK("http://trademark.i-assist.jp/data/china/image_1915th/74325305.pdf","74325305")</f>
        <v>74325305</v>
      </c>
      <c r="F43" s="9" t="s">
        <v>197</v>
      </c>
      <c r="G43" s="9" t="s">
        <v>198</v>
      </c>
      <c r="H43" s="9" t="s">
        <v>199</v>
      </c>
      <c r="I43" s="10">
        <v>45196</v>
      </c>
    </row>
    <row r="44" spans="1:9" x14ac:dyDescent="0.15">
      <c r="A44" s="9">
        <v>43</v>
      </c>
      <c r="B44" s="9" t="s">
        <v>9</v>
      </c>
      <c r="C44" s="9">
        <v>1915</v>
      </c>
      <c r="D44" s="10">
        <v>45639</v>
      </c>
      <c r="E44" s="13" t="str">
        <f>+HYPERLINK("http://trademark.i-assist.jp/data/china/image_1915th/74331013.pdf","74331013")</f>
        <v>74331013</v>
      </c>
      <c r="F44" s="9" t="s">
        <v>200</v>
      </c>
      <c r="G44" s="9" t="s">
        <v>201</v>
      </c>
      <c r="H44" s="9" t="s">
        <v>202</v>
      </c>
      <c r="I44" s="10">
        <v>45196</v>
      </c>
    </row>
    <row r="45" spans="1:9" x14ac:dyDescent="0.15">
      <c r="A45" s="9">
        <v>44</v>
      </c>
      <c r="B45" s="9" t="s">
        <v>9</v>
      </c>
      <c r="C45" s="9">
        <v>1915</v>
      </c>
      <c r="D45" s="10">
        <v>45639</v>
      </c>
      <c r="E45" s="13" t="str">
        <f>+HYPERLINK("http://trademark.i-assist.jp/data/china/image_1915th/74385848.pdf","74385848")</f>
        <v>74385848</v>
      </c>
      <c r="F45" s="9" t="s">
        <v>203</v>
      </c>
      <c r="G45" s="9" t="s">
        <v>204</v>
      </c>
      <c r="H45" s="9" t="s">
        <v>205</v>
      </c>
      <c r="I45" s="10">
        <v>45206</v>
      </c>
    </row>
    <row r="46" spans="1:9" x14ac:dyDescent="0.15">
      <c r="A46" s="9">
        <v>45</v>
      </c>
      <c r="B46" s="9" t="s">
        <v>9</v>
      </c>
      <c r="C46" s="9">
        <v>1915</v>
      </c>
      <c r="D46" s="10">
        <v>45639</v>
      </c>
      <c r="E46" s="13" t="str">
        <f>+HYPERLINK("http://trademark.i-assist.jp/data/china/image_1915th/74418618.pdf","74418618")</f>
        <v>74418618</v>
      </c>
      <c r="F46" s="11" t="s">
        <v>206</v>
      </c>
      <c r="G46" s="11" t="s">
        <v>207</v>
      </c>
      <c r="H46" s="9" t="s">
        <v>208</v>
      </c>
      <c r="I46" s="10">
        <v>45207</v>
      </c>
    </row>
    <row r="47" spans="1:9" x14ac:dyDescent="0.15">
      <c r="A47" s="9">
        <v>46</v>
      </c>
      <c r="B47" s="9" t="s">
        <v>9</v>
      </c>
      <c r="C47" s="9">
        <v>1915</v>
      </c>
      <c r="D47" s="10">
        <v>45639</v>
      </c>
      <c r="E47" s="13" t="str">
        <f>+HYPERLINK("http://trademark.i-assist.jp/data/china/image_1915th/74424269.pdf","74424269")</f>
        <v>74424269</v>
      </c>
      <c r="F47" s="9" t="s">
        <v>209</v>
      </c>
      <c r="G47" s="12" t="s">
        <v>210</v>
      </c>
      <c r="H47" s="9" t="s">
        <v>211</v>
      </c>
      <c r="I47" s="10">
        <v>45207</v>
      </c>
    </row>
    <row r="48" spans="1:9" x14ac:dyDescent="0.15">
      <c r="A48" s="9">
        <v>47</v>
      </c>
      <c r="B48" s="9" t="s">
        <v>9</v>
      </c>
      <c r="C48" s="9">
        <v>1915</v>
      </c>
      <c r="D48" s="10">
        <v>45639</v>
      </c>
      <c r="E48" s="13" t="str">
        <f>+HYPERLINK("http://trademark.i-assist.jp/data/china/image_1915th/74491578.pdf","74491578")</f>
        <v>74491578</v>
      </c>
      <c r="F48" s="9" t="s">
        <v>212</v>
      </c>
      <c r="G48" s="9" t="s">
        <v>213</v>
      </c>
      <c r="H48" s="9" t="s">
        <v>214</v>
      </c>
      <c r="I48" s="10">
        <v>45210</v>
      </c>
    </row>
    <row r="49" spans="1:9" x14ac:dyDescent="0.15">
      <c r="A49" s="9">
        <v>48</v>
      </c>
      <c r="B49" s="9" t="s">
        <v>9</v>
      </c>
      <c r="C49" s="9">
        <v>1915</v>
      </c>
      <c r="D49" s="10">
        <v>45639</v>
      </c>
      <c r="E49" s="13" t="str">
        <f>+HYPERLINK("http://trademark.i-assist.jp/data/china/image_1915th/74551778.pdf","74551778")</f>
        <v>74551778</v>
      </c>
      <c r="F49" s="9" t="s">
        <v>215</v>
      </c>
      <c r="G49" s="9" t="s">
        <v>216</v>
      </c>
      <c r="H49" s="9" t="s">
        <v>217</v>
      </c>
      <c r="I49" s="10">
        <v>45212</v>
      </c>
    </row>
    <row r="50" spans="1:9" x14ac:dyDescent="0.15">
      <c r="A50" s="9">
        <v>49</v>
      </c>
      <c r="B50" s="9" t="s">
        <v>9</v>
      </c>
      <c r="C50" s="9">
        <v>1915</v>
      </c>
      <c r="D50" s="10">
        <v>45639</v>
      </c>
      <c r="E50" s="13" t="str">
        <f>+HYPERLINK("http://trademark.i-assist.jp/data/china/image_1915th/74576462.pdf","74576462")</f>
        <v>74576462</v>
      </c>
      <c r="F50" s="9" t="s">
        <v>218</v>
      </c>
      <c r="G50" s="9" t="s">
        <v>219</v>
      </c>
      <c r="H50" s="9" t="s">
        <v>220</v>
      </c>
      <c r="I50" s="10">
        <v>45215</v>
      </c>
    </row>
    <row r="51" spans="1:9" x14ac:dyDescent="0.15">
      <c r="A51" s="9">
        <v>50</v>
      </c>
      <c r="B51" s="9" t="s">
        <v>9</v>
      </c>
      <c r="C51" s="9">
        <v>1915</v>
      </c>
      <c r="D51" s="10">
        <v>45639</v>
      </c>
      <c r="E51" s="13" t="str">
        <f>+HYPERLINK("http://trademark.i-assist.jp/data/china/image_1915th/74644635.pdf","74644635")</f>
        <v>74644635</v>
      </c>
      <c r="F51" s="9" t="s">
        <v>221</v>
      </c>
      <c r="G51" s="9" t="s">
        <v>222</v>
      </c>
      <c r="H51" s="9" t="s">
        <v>223</v>
      </c>
      <c r="I51" s="10">
        <v>45217</v>
      </c>
    </row>
    <row r="52" spans="1:9" x14ac:dyDescent="0.15">
      <c r="A52" s="9">
        <v>51</v>
      </c>
      <c r="B52" s="9" t="s">
        <v>9</v>
      </c>
      <c r="C52" s="9">
        <v>1915</v>
      </c>
      <c r="D52" s="10">
        <v>45639</v>
      </c>
      <c r="E52" s="13" t="str">
        <f>+HYPERLINK("http://trademark.i-assist.jp/data/china/image_1915th/74692980.pdf","74692980")</f>
        <v>74692980</v>
      </c>
      <c r="F52" s="12" t="s">
        <v>224</v>
      </c>
      <c r="G52" s="12" t="s">
        <v>225</v>
      </c>
      <c r="H52" s="9" t="s">
        <v>226</v>
      </c>
      <c r="I52" s="10">
        <v>45219</v>
      </c>
    </row>
    <row r="53" spans="1:9" x14ac:dyDescent="0.15">
      <c r="A53" s="9">
        <v>52</v>
      </c>
      <c r="B53" s="9" t="s">
        <v>9</v>
      </c>
      <c r="C53" s="9">
        <v>1915</v>
      </c>
      <c r="D53" s="10">
        <v>45639</v>
      </c>
      <c r="E53" s="13" t="str">
        <f>+HYPERLINK("http://trademark.i-assist.jp/data/china/image_1915th/74723776.pdf","74723776")</f>
        <v>74723776</v>
      </c>
      <c r="F53" s="9" t="s">
        <v>227</v>
      </c>
      <c r="G53" s="9" t="s">
        <v>228</v>
      </c>
      <c r="H53" s="9" t="s">
        <v>229</v>
      </c>
      <c r="I53" s="10">
        <v>45222</v>
      </c>
    </row>
    <row r="54" spans="1:9" x14ac:dyDescent="0.15">
      <c r="A54" s="9">
        <v>53</v>
      </c>
      <c r="B54" s="9" t="s">
        <v>9</v>
      </c>
      <c r="C54" s="9">
        <v>1915</v>
      </c>
      <c r="D54" s="10">
        <v>45639</v>
      </c>
      <c r="E54" s="13" t="str">
        <f>+HYPERLINK("http://trademark.i-assist.jp/data/china/image_1915th/74742449.pdf","74742449")</f>
        <v>74742449</v>
      </c>
      <c r="F54" s="9" t="s">
        <v>230</v>
      </c>
      <c r="G54" s="12" t="s">
        <v>231</v>
      </c>
      <c r="H54" s="12" t="s">
        <v>232</v>
      </c>
      <c r="I54" s="10">
        <v>45223</v>
      </c>
    </row>
    <row r="55" spans="1:9" x14ac:dyDescent="0.15">
      <c r="A55" s="9">
        <v>54</v>
      </c>
      <c r="B55" s="9" t="s">
        <v>9</v>
      </c>
      <c r="C55" s="9">
        <v>1915</v>
      </c>
      <c r="D55" s="10">
        <v>45639</v>
      </c>
      <c r="E55" s="13" t="str">
        <f>+HYPERLINK("http://trademark.i-assist.jp/data/china/image_1915th/74817307.pdf","74817307")</f>
        <v>74817307</v>
      </c>
      <c r="F55" s="9" t="s">
        <v>233</v>
      </c>
      <c r="G55" s="9" t="s">
        <v>234</v>
      </c>
      <c r="H55" s="9" t="s">
        <v>235</v>
      </c>
      <c r="I55" s="10">
        <v>45226</v>
      </c>
    </row>
    <row r="56" spans="1:9" x14ac:dyDescent="0.15">
      <c r="A56" s="9">
        <v>55</v>
      </c>
      <c r="B56" s="9" t="s">
        <v>9</v>
      </c>
      <c r="C56" s="9">
        <v>1915</v>
      </c>
      <c r="D56" s="10">
        <v>45639</v>
      </c>
      <c r="E56" s="13" t="str">
        <f>+HYPERLINK("http://trademark.i-assist.jp/data/china/image_1915th/74830444.pdf","74830444")</f>
        <v>74830444</v>
      </c>
      <c r="F56" s="12" t="s">
        <v>236</v>
      </c>
      <c r="G56" s="12" t="s">
        <v>237</v>
      </c>
      <c r="H56" s="9" t="s">
        <v>238</v>
      </c>
      <c r="I56" s="10">
        <v>45226</v>
      </c>
    </row>
    <row r="57" spans="1:9" x14ac:dyDescent="0.15">
      <c r="A57" s="9">
        <v>56</v>
      </c>
      <c r="B57" s="9" t="s">
        <v>9</v>
      </c>
      <c r="C57" s="9">
        <v>1915</v>
      </c>
      <c r="D57" s="10">
        <v>45639</v>
      </c>
      <c r="E57" s="13" t="str">
        <f>+HYPERLINK("http://trademark.i-assist.jp/data/china/image_1915th/74836212.pdf","74836212")</f>
        <v>74836212</v>
      </c>
      <c r="F57" s="12" t="s">
        <v>239</v>
      </c>
      <c r="G57" s="12" t="s">
        <v>237</v>
      </c>
      <c r="H57" s="9" t="s">
        <v>240</v>
      </c>
      <c r="I57" s="10">
        <v>45226</v>
      </c>
    </row>
    <row r="58" spans="1:9" x14ac:dyDescent="0.15">
      <c r="A58" s="9">
        <v>57</v>
      </c>
      <c r="B58" s="9" t="s">
        <v>9</v>
      </c>
      <c r="C58" s="9">
        <v>1915</v>
      </c>
      <c r="D58" s="10">
        <v>45639</v>
      </c>
      <c r="E58" s="13" t="str">
        <f>+HYPERLINK("http://trademark.i-assist.jp/data/china/image_1915th/74841185.pdf","74841185")</f>
        <v>74841185</v>
      </c>
      <c r="F58" s="9" t="s">
        <v>241</v>
      </c>
      <c r="G58" s="9" t="s">
        <v>242</v>
      </c>
      <c r="H58" s="9" t="s">
        <v>243</v>
      </c>
      <c r="I58" s="10">
        <v>45227</v>
      </c>
    </row>
    <row r="59" spans="1:9" x14ac:dyDescent="0.15">
      <c r="A59" s="9">
        <v>58</v>
      </c>
      <c r="B59" s="9" t="s">
        <v>9</v>
      </c>
      <c r="C59" s="9">
        <v>1915</v>
      </c>
      <c r="D59" s="10">
        <v>45639</v>
      </c>
      <c r="E59" s="13" t="str">
        <f>+HYPERLINK("http://trademark.i-assist.jp/data/china/image_1915th/74864870.pdf","74864870")</f>
        <v>74864870</v>
      </c>
      <c r="F59" s="12" t="s">
        <v>244</v>
      </c>
      <c r="G59" s="12" t="s">
        <v>245</v>
      </c>
      <c r="H59" s="9" t="s">
        <v>246</v>
      </c>
      <c r="I59" s="10">
        <v>45229</v>
      </c>
    </row>
    <row r="60" spans="1:9" x14ac:dyDescent="0.15">
      <c r="A60" s="9">
        <v>59</v>
      </c>
      <c r="B60" s="9" t="s">
        <v>9</v>
      </c>
      <c r="C60" s="9">
        <v>1915</v>
      </c>
      <c r="D60" s="10">
        <v>45639</v>
      </c>
      <c r="E60" s="13" t="str">
        <f>+HYPERLINK("http://trademark.i-assist.jp/data/china/image_1915th/74872140.pdf","74872140")</f>
        <v>74872140</v>
      </c>
      <c r="F60" s="9" t="s">
        <v>247</v>
      </c>
      <c r="G60" s="9" t="s">
        <v>248</v>
      </c>
      <c r="H60" s="9" t="s">
        <v>249</v>
      </c>
      <c r="I60" s="10">
        <v>45229</v>
      </c>
    </row>
    <row r="61" spans="1:9" x14ac:dyDescent="0.15">
      <c r="A61" s="9">
        <v>60</v>
      </c>
      <c r="B61" s="9" t="s">
        <v>9</v>
      </c>
      <c r="C61" s="9">
        <v>1915</v>
      </c>
      <c r="D61" s="10">
        <v>45639</v>
      </c>
      <c r="E61" s="13" t="str">
        <f>+HYPERLINK("http://trademark.i-assist.jp/data/china/image_1915th/74902158.pdf","74902158")</f>
        <v>74902158</v>
      </c>
      <c r="F61" s="12" t="s">
        <v>250</v>
      </c>
      <c r="G61" s="9" t="s">
        <v>251</v>
      </c>
      <c r="H61" s="9" t="s">
        <v>252</v>
      </c>
      <c r="I61" s="10">
        <v>45230</v>
      </c>
    </row>
    <row r="62" spans="1:9" x14ac:dyDescent="0.15">
      <c r="A62" s="9">
        <v>61</v>
      </c>
      <c r="B62" s="9" t="s">
        <v>9</v>
      </c>
      <c r="C62" s="9">
        <v>1915</v>
      </c>
      <c r="D62" s="10">
        <v>45639</v>
      </c>
      <c r="E62" s="13" t="str">
        <f>+HYPERLINK("http://trademark.i-assist.jp/data/china/image_1915th/74924164.pdf","74924164")</f>
        <v>74924164</v>
      </c>
      <c r="F62" s="12" t="s">
        <v>253</v>
      </c>
      <c r="G62" s="12" t="s">
        <v>254</v>
      </c>
      <c r="H62" s="9" t="s">
        <v>255</v>
      </c>
      <c r="I62" s="10">
        <v>45231</v>
      </c>
    </row>
    <row r="63" spans="1:9" x14ac:dyDescent="0.15">
      <c r="A63" s="9">
        <v>62</v>
      </c>
      <c r="B63" s="9" t="s">
        <v>9</v>
      </c>
      <c r="C63" s="9">
        <v>1915</v>
      </c>
      <c r="D63" s="10">
        <v>45639</v>
      </c>
      <c r="E63" s="13" t="str">
        <f>+HYPERLINK("http://trademark.i-assist.jp/data/china/image_1915th/74952723.pdf","74952723")</f>
        <v>74952723</v>
      </c>
      <c r="F63" s="9" t="s">
        <v>256</v>
      </c>
      <c r="G63" s="9" t="s">
        <v>257</v>
      </c>
      <c r="H63" s="9" t="s">
        <v>258</v>
      </c>
      <c r="I63" s="10">
        <v>45232</v>
      </c>
    </row>
    <row r="64" spans="1:9" x14ac:dyDescent="0.15">
      <c r="A64" s="9">
        <v>63</v>
      </c>
      <c r="B64" s="9" t="s">
        <v>9</v>
      </c>
      <c r="C64" s="9">
        <v>1915</v>
      </c>
      <c r="D64" s="10">
        <v>45639</v>
      </c>
      <c r="E64" s="13" t="str">
        <f>+HYPERLINK("http://trademark.i-assist.jp/data/china/image_1915th/74992703.pdf","74992703")</f>
        <v>74992703</v>
      </c>
      <c r="F64" s="9" t="s">
        <v>259</v>
      </c>
      <c r="G64" s="9" t="s">
        <v>54</v>
      </c>
      <c r="H64" s="9" t="s">
        <v>260</v>
      </c>
      <c r="I64" s="10">
        <v>45236</v>
      </c>
    </row>
    <row r="65" spans="1:9" x14ac:dyDescent="0.15">
      <c r="A65" s="9">
        <v>64</v>
      </c>
      <c r="B65" s="9" t="s">
        <v>9</v>
      </c>
      <c r="C65" s="9">
        <v>1915</v>
      </c>
      <c r="D65" s="10">
        <v>45639</v>
      </c>
      <c r="E65" s="13" t="str">
        <f>+HYPERLINK("http://trademark.i-assist.jp/data/china/image_1915th/75026686.pdf","75026686")</f>
        <v>75026686</v>
      </c>
      <c r="F65" s="12" t="s">
        <v>261</v>
      </c>
      <c r="G65" s="12" t="s">
        <v>262</v>
      </c>
      <c r="H65" s="9" t="s">
        <v>263</v>
      </c>
      <c r="I65" s="10">
        <v>45237</v>
      </c>
    </row>
    <row r="66" spans="1:9" x14ac:dyDescent="0.15">
      <c r="A66" s="9">
        <v>65</v>
      </c>
      <c r="B66" s="9" t="s">
        <v>9</v>
      </c>
      <c r="C66" s="9">
        <v>1915</v>
      </c>
      <c r="D66" s="10">
        <v>45639</v>
      </c>
      <c r="E66" s="13" t="str">
        <f>+HYPERLINK("http://trademark.i-assist.jp/data/china/image_1915th/75038368.pdf","75038368")</f>
        <v>75038368</v>
      </c>
      <c r="F66" s="12" t="s">
        <v>264</v>
      </c>
      <c r="G66" s="12" t="s">
        <v>262</v>
      </c>
      <c r="H66" s="9" t="s">
        <v>265</v>
      </c>
      <c r="I66" s="10">
        <v>45237</v>
      </c>
    </row>
    <row r="67" spans="1:9" x14ac:dyDescent="0.15">
      <c r="A67" s="9">
        <v>66</v>
      </c>
      <c r="B67" s="9" t="s">
        <v>9</v>
      </c>
      <c r="C67" s="9">
        <v>1915</v>
      </c>
      <c r="D67" s="10">
        <v>45639</v>
      </c>
      <c r="E67" s="13" t="str">
        <f>+HYPERLINK("http://trademark.i-assist.jp/data/china/image_1915th/75095494.pdf","75095494")</f>
        <v>75095494</v>
      </c>
      <c r="F67" s="12" t="s">
        <v>266</v>
      </c>
      <c r="G67" s="9" t="s">
        <v>267</v>
      </c>
      <c r="H67" s="9" t="s">
        <v>268</v>
      </c>
      <c r="I67" s="10">
        <v>45240</v>
      </c>
    </row>
    <row r="68" spans="1:9" x14ac:dyDescent="0.15">
      <c r="A68" s="9">
        <v>67</v>
      </c>
      <c r="B68" s="9" t="s">
        <v>9</v>
      </c>
      <c r="C68" s="9">
        <v>1915</v>
      </c>
      <c r="D68" s="10">
        <v>45639</v>
      </c>
      <c r="E68" s="13" t="str">
        <f>+HYPERLINK("http://trademark.i-assist.jp/data/china/image_1915th/75249087.pdf","75249087")</f>
        <v>75249087</v>
      </c>
      <c r="F68" s="12" t="s">
        <v>269</v>
      </c>
      <c r="G68" s="12" t="s">
        <v>31</v>
      </c>
      <c r="H68" s="9" t="s">
        <v>270</v>
      </c>
      <c r="I68" s="10">
        <v>45247</v>
      </c>
    </row>
    <row r="69" spans="1:9" x14ac:dyDescent="0.15">
      <c r="A69" s="9">
        <v>68</v>
      </c>
      <c r="B69" s="9" t="s">
        <v>9</v>
      </c>
      <c r="C69" s="9">
        <v>1915</v>
      </c>
      <c r="D69" s="10">
        <v>45639</v>
      </c>
      <c r="E69" s="13" t="str">
        <f>+HYPERLINK("http://trademark.i-assist.jp/data/china/image_1915th/75289628.pdf","75289628")</f>
        <v>75289628</v>
      </c>
      <c r="F69" s="9" t="s">
        <v>271</v>
      </c>
      <c r="G69" s="9" t="s">
        <v>272</v>
      </c>
      <c r="H69" s="9" t="s">
        <v>273</v>
      </c>
      <c r="I69" s="10">
        <v>45250</v>
      </c>
    </row>
    <row r="70" spans="1:9" x14ac:dyDescent="0.15">
      <c r="A70" s="9">
        <v>69</v>
      </c>
      <c r="B70" s="9" t="s">
        <v>9</v>
      </c>
      <c r="C70" s="9">
        <v>1915</v>
      </c>
      <c r="D70" s="10">
        <v>45639</v>
      </c>
      <c r="E70" s="13" t="str">
        <f>+HYPERLINK("http://trademark.i-assist.jp/data/china/image_1915th/75304640.pdf","75304640")</f>
        <v>75304640</v>
      </c>
      <c r="F70" s="9" t="s">
        <v>274</v>
      </c>
      <c r="G70" s="9" t="s">
        <v>275</v>
      </c>
      <c r="H70" s="9" t="s">
        <v>276</v>
      </c>
      <c r="I70" s="10">
        <v>45251</v>
      </c>
    </row>
    <row r="71" spans="1:9" x14ac:dyDescent="0.15">
      <c r="A71" s="9">
        <v>70</v>
      </c>
      <c r="B71" s="9" t="s">
        <v>9</v>
      </c>
      <c r="C71" s="9">
        <v>1915</v>
      </c>
      <c r="D71" s="10">
        <v>45639</v>
      </c>
      <c r="E71" s="13" t="str">
        <f>+HYPERLINK("http://trademark.i-assist.jp/data/china/image_1915th/75306162.pdf","75306162")</f>
        <v>75306162</v>
      </c>
      <c r="F71" s="12" t="s">
        <v>15</v>
      </c>
      <c r="G71" s="9" t="s">
        <v>277</v>
      </c>
      <c r="H71" s="9" t="s">
        <v>278</v>
      </c>
      <c r="I71" s="10">
        <v>45251</v>
      </c>
    </row>
    <row r="72" spans="1:9" x14ac:dyDescent="0.15">
      <c r="A72" s="9">
        <v>71</v>
      </c>
      <c r="B72" s="9" t="s">
        <v>9</v>
      </c>
      <c r="C72" s="9">
        <v>1915</v>
      </c>
      <c r="D72" s="10">
        <v>45639</v>
      </c>
      <c r="E72" s="13" t="str">
        <f>+HYPERLINK("http://trademark.i-assist.jp/data/china/image_1915th/75316924.pdf","75316924")</f>
        <v>75316924</v>
      </c>
      <c r="F72" s="9" t="s">
        <v>279</v>
      </c>
      <c r="G72" s="9" t="s">
        <v>280</v>
      </c>
      <c r="H72" s="12" t="s">
        <v>281</v>
      </c>
      <c r="I72" s="10">
        <v>45251</v>
      </c>
    </row>
    <row r="73" spans="1:9" x14ac:dyDescent="0.15">
      <c r="A73" s="9">
        <v>72</v>
      </c>
      <c r="B73" s="9" t="s">
        <v>9</v>
      </c>
      <c r="C73" s="9">
        <v>1915</v>
      </c>
      <c r="D73" s="10">
        <v>45639</v>
      </c>
      <c r="E73" s="13" t="str">
        <f>+HYPERLINK("http://trademark.i-assist.jp/data/china/image_1915th/75323157.pdf","75323157")</f>
        <v>75323157</v>
      </c>
      <c r="F73" s="9" t="s">
        <v>282</v>
      </c>
      <c r="G73" s="12" t="s">
        <v>283</v>
      </c>
      <c r="H73" s="9" t="s">
        <v>10</v>
      </c>
      <c r="I73" s="10">
        <v>45252</v>
      </c>
    </row>
    <row r="74" spans="1:9" x14ac:dyDescent="0.15">
      <c r="A74" s="9">
        <v>73</v>
      </c>
      <c r="B74" s="9" t="s">
        <v>9</v>
      </c>
      <c r="C74" s="9">
        <v>1915</v>
      </c>
      <c r="D74" s="10">
        <v>45639</v>
      </c>
      <c r="E74" s="13" t="str">
        <f>+HYPERLINK("http://trademark.i-assist.jp/data/china/image_1915th/75336069.pdf","75336069")</f>
        <v>75336069</v>
      </c>
      <c r="F74" s="9" t="s">
        <v>284</v>
      </c>
      <c r="G74" s="9" t="s">
        <v>285</v>
      </c>
      <c r="H74" s="9" t="s">
        <v>286</v>
      </c>
      <c r="I74" s="10">
        <v>45252</v>
      </c>
    </row>
    <row r="75" spans="1:9" x14ac:dyDescent="0.15">
      <c r="A75" s="9">
        <v>74</v>
      </c>
      <c r="B75" s="9" t="s">
        <v>9</v>
      </c>
      <c r="C75" s="9">
        <v>1915</v>
      </c>
      <c r="D75" s="10">
        <v>45639</v>
      </c>
      <c r="E75" s="13" t="str">
        <f>+HYPERLINK("http://trademark.i-assist.jp/data/china/image_1915th/75360657.pdf","75360657")</f>
        <v>75360657</v>
      </c>
      <c r="F75" s="12" t="s">
        <v>287</v>
      </c>
      <c r="G75" s="9" t="s">
        <v>288</v>
      </c>
      <c r="H75" s="9" t="s">
        <v>289</v>
      </c>
      <c r="I75" s="10">
        <v>45253</v>
      </c>
    </row>
    <row r="76" spans="1:9" x14ac:dyDescent="0.15">
      <c r="A76" s="9">
        <v>75</v>
      </c>
      <c r="B76" s="9" t="s">
        <v>9</v>
      </c>
      <c r="C76" s="9">
        <v>1915</v>
      </c>
      <c r="D76" s="10">
        <v>45639</v>
      </c>
      <c r="E76" s="13" t="str">
        <f>+HYPERLINK("http://trademark.i-assist.jp/data/china/image_1915th/75373026.pdf","75373026")</f>
        <v>75373026</v>
      </c>
      <c r="F76" s="9" t="s">
        <v>290</v>
      </c>
      <c r="G76" s="9" t="s">
        <v>291</v>
      </c>
      <c r="H76" s="9" t="s">
        <v>292</v>
      </c>
      <c r="I76" s="10">
        <v>45253</v>
      </c>
    </row>
    <row r="77" spans="1:9" x14ac:dyDescent="0.15">
      <c r="A77" s="9">
        <v>76</v>
      </c>
      <c r="B77" s="9" t="s">
        <v>9</v>
      </c>
      <c r="C77" s="9">
        <v>1915</v>
      </c>
      <c r="D77" s="10">
        <v>45639</v>
      </c>
      <c r="E77" s="13" t="str">
        <f>+HYPERLINK("http://trademark.i-assist.jp/data/china/image_1915th/75383485.pdf","75383485")</f>
        <v>75383485</v>
      </c>
      <c r="F77" s="9" t="s">
        <v>293</v>
      </c>
      <c r="G77" s="12" t="s">
        <v>294</v>
      </c>
      <c r="H77" s="9" t="s">
        <v>295</v>
      </c>
      <c r="I77" s="10">
        <v>45254</v>
      </c>
    </row>
    <row r="78" spans="1:9" x14ac:dyDescent="0.15">
      <c r="A78" s="9">
        <v>77</v>
      </c>
      <c r="B78" s="9" t="s">
        <v>9</v>
      </c>
      <c r="C78" s="9">
        <v>1915</v>
      </c>
      <c r="D78" s="10">
        <v>45639</v>
      </c>
      <c r="E78" s="13" t="str">
        <f>+HYPERLINK("http://trademark.i-assist.jp/data/china/image_1915th/75499134.pdf","75499134")</f>
        <v>75499134</v>
      </c>
      <c r="F78" s="12" t="s">
        <v>15</v>
      </c>
      <c r="G78" s="9" t="s">
        <v>296</v>
      </c>
      <c r="H78" s="9" t="s">
        <v>297</v>
      </c>
      <c r="I78" s="10">
        <v>45260</v>
      </c>
    </row>
    <row r="79" spans="1:9" x14ac:dyDescent="0.15">
      <c r="A79" s="9">
        <v>78</v>
      </c>
      <c r="B79" s="9" t="s">
        <v>9</v>
      </c>
      <c r="C79" s="9">
        <v>1915</v>
      </c>
      <c r="D79" s="10">
        <v>45639</v>
      </c>
      <c r="E79" s="13" t="str">
        <f>+HYPERLINK("http://trademark.i-assist.jp/data/china/image_1915th/75506267.pdf","75506267")</f>
        <v>75506267</v>
      </c>
      <c r="F79" s="11" t="s">
        <v>298</v>
      </c>
      <c r="G79" s="12" t="s">
        <v>299</v>
      </c>
      <c r="H79" s="9" t="s">
        <v>300</v>
      </c>
      <c r="I79" s="10">
        <v>45260</v>
      </c>
    </row>
    <row r="80" spans="1:9" x14ac:dyDescent="0.15">
      <c r="A80" s="9">
        <v>79</v>
      </c>
      <c r="B80" s="9" t="s">
        <v>9</v>
      </c>
      <c r="C80" s="9">
        <v>1915</v>
      </c>
      <c r="D80" s="10">
        <v>45639</v>
      </c>
      <c r="E80" s="13" t="str">
        <f>+HYPERLINK("http://trademark.i-assist.jp/data/china/image_1915th/75520364.pdf","75520364")</f>
        <v>75520364</v>
      </c>
      <c r="F80" s="9" t="s">
        <v>301</v>
      </c>
      <c r="G80" s="12" t="s">
        <v>302</v>
      </c>
      <c r="H80" s="9" t="s">
        <v>303</v>
      </c>
      <c r="I80" s="10">
        <v>45260</v>
      </c>
    </row>
    <row r="81" spans="1:9" x14ac:dyDescent="0.15">
      <c r="A81" s="9">
        <v>80</v>
      </c>
      <c r="B81" s="9" t="s">
        <v>9</v>
      </c>
      <c r="C81" s="9">
        <v>1915</v>
      </c>
      <c r="D81" s="10">
        <v>45639</v>
      </c>
      <c r="E81" s="13" t="str">
        <f>+HYPERLINK("http://trademark.i-assist.jp/data/china/image_1915th/75540432.pdf","75540432")</f>
        <v>75540432</v>
      </c>
      <c r="F81" s="9" t="s">
        <v>304</v>
      </c>
      <c r="G81" s="12" t="s">
        <v>305</v>
      </c>
      <c r="H81" s="9" t="s">
        <v>306</v>
      </c>
      <c r="I81" s="10">
        <v>45261</v>
      </c>
    </row>
    <row r="82" spans="1:9" x14ac:dyDescent="0.15">
      <c r="A82" s="9">
        <v>81</v>
      </c>
      <c r="B82" s="9" t="s">
        <v>9</v>
      </c>
      <c r="C82" s="9">
        <v>1915</v>
      </c>
      <c r="D82" s="10">
        <v>45639</v>
      </c>
      <c r="E82" s="13" t="str">
        <f>+HYPERLINK("http://trademark.i-assist.jp/data/china/image_1915th/75547439.pdf","75547439")</f>
        <v>75547439</v>
      </c>
      <c r="F82" s="9" t="s">
        <v>307</v>
      </c>
      <c r="G82" s="9" t="s">
        <v>308</v>
      </c>
      <c r="H82" s="9" t="s">
        <v>309</v>
      </c>
      <c r="I82" s="10">
        <v>45261</v>
      </c>
    </row>
    <row r="83" spans="1:9" x14ac:dyDescent="0.15">
      <c r="A83" s="9">
        <v>82</v>
      </c>
      <c r="B83" s="9" t="s">
        <v>9</v>
      </c>
      <c r="C83" s="9">
        <v>1915</v>
      </c>
      <c r="D83" s="10">
        <v>45639</v>
      </c>
      <c r="E83" s="13" t="str">
        <f>+HYPERLINK("http://trademark.i-assist.jp/data/china/image_1915th/75588721.pdf","75588721")</f>
        <v>75588721</v>
      </c>
      <c r="F83" s="12" t="s">
        <v>310</v>
      </c>
      <c r="G83" s="9" t="s">
        <v>311</v>
      </c>
      <c r="H83" s="9" t="s">
        <v>312</v>
      </c>
      <c r="I83" s="10">
        <v>45265</v>
      </c>
    </row>
    <row r="84" spans="1:9" x14ac:dyDescent="0.15">
      <c r="A84" s="9">
        <v>83</v>
      </c>
      <c r="B84" s="9" t="s">
        <v>9</v>
      </c>
      <c r="C84" s="9">
        <v>1915</v>
      </c>
      <c r="D84" s="10">
        <v>45639</v>
      </c>
      <c r="E84" s="13" t="str">
        <f>+HYPERLINK("http://trademark.i-assist.jp/data/china/image_1915th/75591805.pdf","75591805")</f>
        <v>75591805</v>
      </c>
      <c r="F84" s="9" t="s">
        <v>313</v>
      </c>
      <c r="G84" s="12" t="s">
        <v>314</v>
      </c>
      <c r="H84" s="9" t="s">
        <v>315</v>
      </c>
      <c r="I84" s="10">
        <v>45265</v>
      </c>
    </row>
    <row r="85" spans="1:9" x14ac:dyDescent="0.15">
      <c r="A85" s="9">
        <v>84</v>
      </c>
      <c r="B85" s="9" t="s">
        <v>9</v>
      </c>
      <c r="C85" s="9">
        <v>1915</v>
      </c>
      <c r="D85" s="10">
        <v>45639</v>
      </c>
      <c r="E85" s="13" t="str">
        <f>+HYPERLINK("http://trademark.i-assist.jp/data/china/image_1915th/75604207.pdf","75604207")</f>
        <v>75604207</v>
      </c>
      <c r="F85" s="9" t="s">
        <v>316</v>
      </c>
      <c r="G85" s="9" t="s">
        <v>317</v>
      </c>
      <c r="H85" s="9" t="s">
        <v>318</v>
      </c>
      <c r="I85" s="10">
        <v>45265</v>
      </c>
    </row>
    <row r="86" spans="1:9" x14ac:dyDescent="0.15">
      <c r="A86" s="9">
        <v>85</v>
      </c>
      <c r="B86" s="9" t="s">
        <v>9</v>
      </c>
      <c r="C86" s="9">
        <v>1915</v>
      </c>
      <c r="D86" s="10">
        <v>45639</v>
      </c>
      <c r="E86" s="13" t="str">
        <f>+HYPERLINK("http://trademark.i-assist.jp/data/china/image_1915th/75635090.pdf","75635090")</f>
        <v>75635090</v>
      </c>
      <c r="F86" s="9" t="s">
        <v>319</v>
      </c>
      <c r="G86" s="9" t="s">
        <v>320</v>
      </c>
      <c r="H86" s="9" t="s">
        <v>321</v>
      </c>
      <c r="I86" s="10">
        <v>45266</v>
      </c>
    </row>
    <row r="87" spans="1:9" x14ac:dyDescent="0.15">
      <c r="A87" s="9">
        <v>86</v>
      </c>
      <c r="B87" s="9" t="s">
        <v>9</v>
      </c>
      <c r="C87" s="9">
        <v>1915</v>
      </c>
      <c r="D87" s="10">
        <v>45639</v>
      </c>
      <c r="E87" s="13" t="str">
        <f>+HYPERLINK("http://trademark.i-assist.jp/data/china/image_1915th/75659543.pdf","75659543")</f>
        <v>75659543</v>
      </c>
      <c r="F87" s="9" t="s">
        <v>322</v>
      </c>
      <c r="G87" s="12" t="s">
        <v>30</v>
      </c>
      <c r="H87" s="9" t="s">
        <v>323</v>
      </c>
      <c r="I87" s="10">
        <v>45267</v>
      </c>
    </row>
    <row r="88" spans="1:9" x14ac:dyDescent="0.15">
      <c r="A88" s="9">
        <v>87</v>
      </c>
      <c r="B88" s="9" t="s">
        <v>9</v>
      </c>
      <c r="C88" s="9">
        <v>1915</v>
      </c>
      <c r="D88" s="10">
        <v>45639</v>
      </c>
      <c r="E88" s="13" t="str">
        <f>+HYPERLINK("http://trademark.i-assist.jp/data/china/image_1915th/75695590.pdf","75695590")</f>
        <v>75695590</v>
      </c>
      <c r="F88" s="9" t="s">
        <v>324</v>
      </c>
      <c r="G88" s="9" t="s">
        <v>325</v>
      </c>
      <c r="H88" s="12" t="s">
        <v>326</v>
      </c>
      <c r="I88" s="10">
        <v>45269</v>
      </c>
    </row>
    <row r="89" spans="1:9" x14ac:dyDescent="0.15">
      <c r="A89" s="9">
        <v>88</v>
      </c>
      <c r="B89" s="9" t="s">
        <v>9</v>
      </c>
      <c r="C89" s="9">
        <v>1915</v>
      </c>
      <c r="D89" s="10">
        <v>45639</v>
      </c>
      <c r="E89" s="13" t="str">
        <f>+HYPERLINK("http://trademark.i-assist.jp/data/china/image_1915th/75698746.pdf","75698746")</f>
        <v>75698746</v>
      </c>
      <c r="F89" s="12" t="s">
        <v>327</v>
      </c>
      <c r="G89" s="9" t="s">
        <v>328</v>
      </c>
      <c r="H89" s="9" t="s">
        <v>329</v>
      </c>
      <c r="I89" s="10">
        <v>45270</v>
      </c>
    </row>
    <row r="90" spans="1:9" x14ac:dyDescent="0.15">
      <c r="A90" s="9">
        <v>89</v>
      </c>
      <c r="B90" s="9" t="s">
        <v>9</v>
      </c>
      <c r="C90" s="9">
        <v>1915</v>
      </c>
      <c r="D90" s="10">
        <v>45639</v>
      </c>
      <c r="E90" s="13" t="str">
        <f>+HYPERLINK("http://trademark.i-assist.jp/data/china/image_1915th/75702783.pdf","75702783")</f>
        <v>75702783</v>
      </c>
      <c r="F90" s="9" t="s">
        <v>330</v>
      </c>
      <c r="G90" s="9" t="s">
        <v>331</v>
      </c>
      <c r="H90" s="9" t="s">
        <v>332</v>
      </c>
      <c r="I90" s="10">
        <v>45271</v>
      </c>
    </row>
    <row r="91" spans="1:9" x14ac:dyDescent="0.15">
      <c r="A91" s="9">
        <v>90</v>
      </c>
      <c r="B91" s="9" t="s">
        <v>9</v>
      </c>
      <c r="C91" s="9">
        <v>1915</v>
      </c>
      <c r="D91" s="10">
        <v>45639</v>
      </c>
      <c r="E91" s="13" t="str">
        <f>+HYPERLINK("http://trademark.i-assist.jp/data/china/image_1915th/75733756.pdf","75733756")</f>
        <v>75733756</v>
      </c>
      <c r="F91" s="9" t="s">
        <v>333</v>
      </c>
      <c r="G91" s="9" t="s">
        <v>334</v>
      </c>
      <c r="H91" s="9" t="s">
        <v>335</v>
      </c>
      <c r="I91" s="10">
        <v>45272</v>
      </c>
    </row>
    <row r="92" spans="1:9" x14ac:dyDescent="0.15">
      <c r="A92" s="9">
        <v>91</v>
      </c>
      <c r="B92" s="9" t="s">
        <v>9</v>
      </c>
      <c r="C92" s="9">
        <v>1915</v>
      </c>
      <c r="D92" s="10">
        <v>45639</v>
      </c>
      <c r="E92" s="13" t="str">
        <f>+HYPERLINK("http://trademark.i-assist.jp/data/china/image_1915th/75736760.pdf","75736760")</f>
        <v>75736760</v>
      </c>
      <c r="F92" s="9" t="s">
        <v>336</v>
      </c>
      <c r="G92" s="12" t="s">
        <v>337</v>
      </c>
      <c r="H92" s="12" t="s">
        <v>338</v>
      </c>
      <c r="I92" s="10">
        <v>45272</v>
      </c>
    </row>
    <row r="93" spans="1:9" x14ac:dyDescent="0.15">
      <c r="A93" s="9">
        <v>92</v>
      </c>
      <c r="B93" s="9" t="s">
        <v>9</v>
      </c>
      <c r="C93" s="9">
        <v>1915</v>
      </c>
      <c r="D93" s="10">
        <v>45639</v>
      </c>
      <c r="E93" s="13" t="str">
        <f>+HYPERLINK("http://trademark.i-assist.jp/data/china/image_1915th/75737243.pdf","75737243")</f>
        <v>75737243</v>
      </c>
      <c r="F93" s="9" t="s">
        <v>339</v>
      </c>
      <c r="G93" s="9" t="s">
        <v>340</v>
      </c>
      <c r="H93" s="9" t="s">
        <v>10</v>
      </c>
      <c r="I93" s="10">
        <v>45272</v>
      </c>
    </row>
    <row r="94" spans="1:9" x14ac:dyDescent="0.15">
      <c r="A94" s="9">
        <v>93</v>
      </c>
      <c r="B94" s="9" t="s">
        <v>9</v>
      </c>
      <c r="C94" s="9">
        <v>1915</v>
      </c>
      <c r="D94" s="10">
        <v>45639</v>
      </c>
      <c r="E94" s="13" t="str">
        <f>+HYPERLINK("http://trademark.i-assist.jp/data/china/image_1915th/75756757.pdf","75756757")</f>
        <v>75756757</v>
      </c>
      <c r="F94" s="12" t="s">
        <v>341</v>
      </c>
      <c r="G94" s="9" t="s">
        <v>342</v>
      </c>
      <c r="H94" s="9" t="s">
        <v>343</v>
      </c>
      <c r="I94" s="10">
        <v>45273</v>
      </c>
    </row>
    <row r="95" spans="1:9" x14ac:dyDescent="0.15">
      <c r="A95" s="9">
        <v>94</v>
      </c>
      <c r="B95" s="9" t="s">
        <v>9</v>
      </c>
      <c r="C95" s="9">
        <v>1915</v>
      </c>
      <c r="D95" s="10">
        <v>45639</v>
      </c>
      <c r="E95" s="13" t="str">
        <f>+HYPERLINK("http://trademark.i-assist.jp/data/china/image_1915th/75776326.pdf","75776326")</f>
        <v>75776326</v>
      </c>
      <c r="F95" s="9" t="s">
        <v>344</v>
      </c>
      <c r="G95" s="12" t="s">
        <v>345</v>
      </c>
      <c r="H95" s="9" t="s">
        <v>346</v>
      </c>
      <c r="I95" s="10">
        <v>45273</v>
      </c>
    </row>
    <row r="96" spans="1:9" x14ac:dyDescent="0.15">
      <c r="A96" s="9">
        <v>95</v>
      </c>
      <c r="B96" s="9" t="s">
        <v>9</v>
      </c>
      <c r="C96" s="9">
        <v>1915</v>
      </c>
      <c r="D96" s="10">
        <v>45639</v>
      </c>
      <c r="E96" s="13" t="str">
        <f>+HYPERLINK("http://trademark.i-assist.jp/data/china/image_1915th/75781282.pdf","75781282")</f>
        <v>75781282</v>
      </c>
      <c r="F96" s="9" t="s">
        <v>347</v>
      </c>
      <c r="G96" s="9" t="s">
        <v>348</v>
      </c>
      <c r="H96" s="9" t="s">
        <v>349</v>
      </c>
      <c r="I96" s="10">
        <v>45273</v>
      </c>
    </row>
    <row r="97" spans="1:9" x14ac:dyDescent="0.15">
      <c r="A97" s="9">
        <v>96</v>
      </c>
      <c r="B97" s="9" t="s">
        <v>9</v>
      </c>
      <c r="C97" s="9">
        <v>1915</v>
      </c>
      <c r="D97" s="10">
        <v>45639</v>
      </c>
      <c r="E97" s="13" t="str">
        <f>+HYPERLINK("http://trademark.i-assist.jp/data/china/image_1915th/75825218.pdf","75825218")</f>
        <v>75825218</v>
      </c>
      <c r="F97" s="12" t="s">
        <v>350</v>
      </c>
      <c r="G97" s="12" t="s">
        <v>351</v>
      </c>
      <c r="H97" s="9" t="s">
        <v>352</v>
      </c>
      <c r="I97" s="10">
        <v>45275</v>
      </c>
    </row>
    <row r="98" spans="1:9" x14ac:dyDescent="0.15">
      <c r="A98" s="9">
        <v>97</v>
      </c>
      <c r="B98" s="9" t="s">
        <v>9</v>
      </c>
      <c r="C98" s="9">
        <v>1915</v>
      </c>
      <c r="D98" s="10">
        <v>45639</v>
      </c>
      <c r="E98" s="13" t="str">
        <f>+HYPERLINK("http://trademark.i-assist.jp/data/china/image_1915th/75858100.pdf","75858100")</f>
        <v>75858100</v>
      </c>
      <c r="F98" s="9" t="s">
        <v>353</v>
      </c>
      <c r="G98" s="12" t="s">
        <v>354</v>
      </c>
      <c r="H98" s="9" t="s">
        <v>355</v>
      </c>
      <c r="I98" s="10">
        <v>45278</v>
      </c>
    </row>
    <row r="99" spans="1:9" x14ac:dyDescent="0.15">
      <c r="A99" s="9">
        <v>98</v>
      </c>
      <c r="B99" s="9" t="s">
        <v>9</v>
      </c>
      <c r="C99" s="9">
        <v>1915</v>
      </c>
      <c r="D99" s="10">
        <v>45639</v>
      </c>
      <c r="E99" s="13" t="str">
        <f>+HYPERLINK("http://trademark.i-assist.jp/data/china/image_1915th/75874715.pdf","75874715")</f>
        <v>75874715</v>
      </c>
      <c r="F99" s="9" t="s">
        <v>356</v>
      </c>
      <c r="G99" s="12" t="s">
        <v>357</v>
      </c>
      <c r="H99" s="9" t="s">
        <v>358</v>
      </c>
      <c r="I99" s="10">
        <v>45279</v>
      </c>
    </row>
    <row r="100" spans="1:9" x14ac:dyDescent="0.15">
      <c r="A100" s="9">
        <v>99</v>
      </c>
      <c r="B100" s="9" t="s">
        <v>9</v>
      </c>
      <c r="C100" s="9">
        <v>1915</v>
      </c>
      <c r="D100" s="10">
        <v>45639</v>
      </c>
      <c r="E100" s="13" t="str">
        <f>+HYPERLINK("http://trademark.i-assist.jp/data/china/image_1915th/75899426.pdf","75899426")</f>
        <v>75899426</v>
      </c>
      <c r="F100" s="9" t="s">
        <v>359</v>
      </c>
      <c r="G100" s="9" t="s">
        <v>360</v>
      </c>
      <c r="H100" s="9" t="s">
        <v>361</v>
      </c>
      <c r="I100" s="10">
        <v>45280</v>
      </c>
    </row>
    <row r="101" spans="1:9" x14ac:dyDescent="0.15">
      <c r="A101" s="9">
        <v>100</v>
      </c>
      <c r="B101" s="9" t="s">
        <v>9</v>
      </c>
      <c r="C101" s="9">
        <v>1915</v>
      </c>
      <c r="D101" s="10">
        <v>45639</v>
      </c>
      <c r="E101" s="13" t="str">
        <f>+HYPERLINK("http://trademark.i-assist.jp/data/china/image_1915th/75904370.pdf","75904370")</f>
        <v>75904370</v>
      </c>
      <c r="F101" s="12" t="s">
        <v>362</v>
      </c>
      <c r="G101" s="12" t="s">
        <v>71</v>
      </c>
      <c r="H101" s="12" t="s">
        <v>363</v>
      </c>
      <c r="I101" s="10">
        <v>45280</v>
      </c>
    </row>
    <row r="102" spans="1:9" x14ac:dyDescent="0.15">
      <c r="A102" s="9">
        <v>101</v>
      </c>
      <c r="B102" s="9" t="s">
        <v>9</v>
      </c>
      <c r="C102" s="9">
        <v>1915</v>
      </c>
      <c r="D102" s="10">
        <v>45639</v>
      </c>
      <c r="E102" s="13" t="str">
        <f>+HYPERLINK("http://trademark.i-assist.jp/data/china/image_1915th/75905178.pdf","75905178")</f>
        <v>75905178</v>
      </c>
      <c r="F102" s="12" t="s">
        <v>364</v>
      </c>
      <c r="G102" s="9" t="s">
        <v>365</v>
      </c>
      <c r="H102" s="9" t="s">
        <v>366</v>
      </c>
      <c r="I102" s="10">
        <v>45280</v>
      </c>
    </row>
    <row r="103" spans="1:9" x14ac:dyDescent="0.15">
      <c r="A103" s="9">
        <v>102</v>
      </c>
      <c r="B103" s="9" t="s">
        <v>9</v>
      </c>
      <c r="C103" s="9">
        <v>1915</v>
      </c>
      <c r="D103" s="10">
        <v>45639</v>
      </c>
      <c r="E103" s="13" t="str">
        <f>+HYPERLINK("http://trademark.i-assist.jp/data/china/image_1915th/76002002.pdf","76002002")</f>
        <v>76002002</v>
      </c>
      <c r="F103" s="12" t="s">
        <v>367</v>
      </c>
      <c r="G103" s="12" t="s">
        <v>368</v>
      </c>
      <c r="H103" s="9" t="s">
        <v>369</v>
      </c>
      <c r="I103" s="10">
        <v>45285</v>
      </c>
    </row>
    <row r="104" spans="1:9" x14ac:dyDescent="0.15">
      <c r="A104" s="9">
        <v>103</v>
      </c>
      <c r="B104" s="9" t="s">
        <v>9</v>
      </c>
      <c r="C104" s="9">
        <v>1915</v>
      </c>
      <c r="D104" s="10">
        <v>45639</v>
      </c>
      <c r="E104" s="13" t="str">
        <f>+HYPERLINK("http://trademark.i-assist.jp/data/china/image_1915th/76006396.pdf","76006396")</f>
        <v>76006396</v>
      </c>
      <c r="F104" s="9" t="s">
        <v>370</v>
      </c>
      <c r="G104" s="12" t="s">
        <v>30</v>
      </c>
      <c r="H104" s="9" t="s">
        <v>371</v>
      </c>
      <c r="I104" s="10">
        <v>45285</v>
      </c>
    </row>
    <row r="105" spans="1:9" x14ac:dyDescent="0.15">
      <c r="A105" s="9">
        <v>104</v>
      </c>
      <c r="B105" s="9" t="s">
        <v>9</v>
      </c>
      <c r="C105" s="9">
        <v>1915</v>
      </c>
      <c r="D105" s="10">
        <v>45639</v>
      </c>
      <c r="E105" s="13" t="str">
        <f>+HYPERLINK("http://trademark.i-assist.jp/data/china/image_1915th/76031744.pdf","76031744")</f>
        <v>76031744</v>
      </c>
      <c r="F105" s="9" t="s">
        <v>372</v>
      </c>
      <c r="G105" s="12" t="s">
        <v>373</v>
      </c>
      <c r="H105" s="9" t="s">
        <v>374</v>
      </c>
      <c r="I105" s="10">
        <v>45286</v>
      </c>
    </row>
    <row r="106" spans="1:9" x14ac:dyDescent="0.15">
      <c r="A106" s="9">
        <v>105</v>
      </c>
      <c r="B106" s="9" t="s">
        <v>9</v>
      </c>
      <c r="C106" s="9">
        <v>1915</v>
      </c>
      <c r="D106" s="10">
        <v>45639</v>
      </c>
      <c r="E106" s="13" t="str">
        <f>+HYPERLINK("http://trademark.i-assist.jp/data/china/image_1915th/76071521.pdf","76071521")</f>
        <v>76071521</v>
      </c>
      <c r="F106" s="9" t="s">
        <v>375</v>
      </c>
      <c r="G106" s="9" t="s">
        <v>376</v>
      </c>
      <c r="H106" s="9" t="s">
        <v>377</v>
      </c>
      <c r="I106" s="10">
        <v>45288</v>
      </c>
    </row>
    <row r="107" spans="1:9" x14ac:dyDescent="0.15">
      <c r="A107" s="9">
        <v>106</v>
      </c>
      <c r="B107" s="9" t="s">
        <v>9</v>
      </c>
      <c r="C107" s="9">
        <v>1915</v>
      </c>
      <c r="D107" s="10">
        <v>45639</v>
      </c>
      <c r="E107" s="13" t="str">
        <f>+HYPERLINK("http://trademark.i-assist.jp/data/china/image_1915th/76140960.pdf","76140960")</f>
        <v>76140960</v>
      </c>
      <c r="F107" s="12" t="s">
        <v>378</v>
      </c>
      <c r="G107" s="12" t="s">
        <v>379</v>
      </c>
      <c r="H107" s="9" t="s">
        <v>380</v>
      </c>
      <c r="I107" s="10">
        <v>45293</v>
      </c>
    </row>
    <row r="108" spans="1:9" x14ac:dyDescent="0.15">
      <c r="A108" s="9">
        <v>107</v>
      </c>
      <c r="B108" s="9" t="s">
        <v>9</v>
      </c>
      <c r="C108" s="9">
        <v>1915</v>
      </c>
      <c r="D108" s="10">
        <v>45639</v>
      </c>
      <c r="E108" s="13" t="str">
        <f>+HYPERLINK("http://trademark.i-assist.jp/data/china/image_1915th/76157418.pdf","76157418")</f>
        <v>76157418</v>
      </c>
      <c r="F108" s="9" t="s">
        <v>381</v>
      </c>
      <c r="G108" s="12" t="s">
        <v>382</v>
      </c>
      <c r="H108" s="9" t="s">
        <v>383</v>
      </c>
      <c r="I108" s="10">
        <v>45294</v>
      </c>
    </row>
    <row r="109" spans="1:9" x14ac:dyDescent="0.15">
      <c r="A109" s="9">
        <v>108</v>
      </c>
      <c r="B109" s="9" t="s">
        <v>9</v>
      </c>
      <c r="C109" s="9">
        <v>1915</v>
      </c>
      <c r="D109" s="10">
        <v>45639</v>
      </c>
      <c r="E109" s="13" t="str">
        <f>+HYPERLINK("http://trademark.i-assist.jp/data/china/image_1915th/76180704.pdf","76180704")</f>
        <v>76180704</v>
      </c>
      <c r="F109" s="12" t="s">
        <v>15</v>
      </c>
      <c r="G109" s="12" t="s">
        <v>384</v>
      </c>
      <c r="H109" s="9" t="s">
        <v>385</v>
      </c>
      <c r="I109" s="10">
        <v>45295</v>
      </c>
    </row>
    <row r="110" spans="1:9" x14ac:dyDescent="0.15">
      <c r="A110" s="9">
        <v>109</v>
      </c>
      <c r="B110" s="9" t="s">
        <v>9</v>
      </c>
      <c r="C110" s="9">
        <v>1915</v>
      </c>
      <c r="D110" s="10">
        <v>45639</v>
      </c>
      <c r="E110" s="13" t="str">
        <f>+HYPERLINK("http://trademark.i-assist.jp/data/china/image_1915th/76188098.pdf","76188098")</f>
        <v>76188098</v>
      </c>
      <c r="F110" s="9" t="s">
        <v>386</v>
      </c>
      <c r="G110" s="9" t="s">
        <v>387</v>
      </c>
      <c r="H110" s="9" t="s">
        <v>388</v>
      </c>
      <c r="I110" s="10">
        <v>45295</v>
      </c>
    </row>
    <row r="111" spans="1:9" x14ac:dyDescent="0.15">
      <c r="A111" s="9">
        <v>110</v>
      </c>
      <c r="B111" s="9" t="s">
        <v>9</v>
      </c>
      <c r="C111" s="9">
        <v>1915</v>
      </c>
      <c r="D111" s="10">
        <v>45639</v>
      </c>
      <c r="E111" s="13" t="str">
        <f>+HYPERLINK("http://trademark.i-assist.jp/data/china/image_1915th/76204784.pdf","76204784")</f>
        <v>76204784</v>
      </c>
      <c r="F111" s="9" t="s">
        <v>389</v>
      </c>
      <c r="G111" s="9" t="s">
        <v>390</v>
      </c>
      <c r="H111" s="9" t="s">
        <v>391</v>
      </c>
      <c r="I111" s="10">
        <v>45296</v>
      </c>
    </row>
    <row r="112" spans="1:9" x14ac:dyDescent="0.15">
      <c r="A112" s="9">
        <v>111</v>
      </c>
      <c r="B112" s="9" t="s">
        <v>9</v>
      </c>
      <c r="C112" s="9">
        <v>1915</v>
      </c>
      <c r="D112" s="10">
        <v>45639</v>
      </c>
      <c r="E112" s="13" t="str">
        <f>+HYPERLINK("http://trademark.i-assist.jp/data/china/image_1915th/76233997.pdf","76233997")</f>
        <v>76233997</v>
      </c>
      <c r="F112" s="12" t="s">
        <v>15</v>
      </c>
      <c r="G112" s="9" t="s">
        <v>392</v>
      </c>
      <c r="H112" s="9" t="s">
        <v>393</v>
      </c>
      <c r="I112" s="10">
        <v>45297</v>
      </c>
    </row>
    <row r="113" spans="1:9" x14ac:dyDescent="0.15">
      <c r="A113" s="9">
        <v>112</v>
      </c>
      <c r="B113" s="9" t="s">
        <v>9</v>
      </c>
      <c r="C113" s="9">
        <v>1915</v>
      </c>
      <c r="D113" s="10">
        <v>45639</v>
      </c>
      <c r="E113" s="13" t="str">
        <f>+HYPERLINK("http://trademark.i-assist.jp/data/china/image_1915th/76256619.pdf","76256619")</f>
        <v>76256619</v>
      </c>
      <c r="F113" s="9" t="s">
        <v>394</v>
      </c>
      <c r="G113" s="12" t="s">
        <v>395</v>
      </c>
      <c r="H113" s="9" t="s">
        <v>396</v>
      </c>
      <c r="I113" s="10">
        <v>45299</v>
      </c>
    </row>
    <row r="114" spans="1:9" x14ac:dyDescent="0.15">
      <c r="A114" s="9">
        <v>113</v>
      </c>
      <c r="B114" s="9" t="s">
        <v>9</v>
      </c>
      <c r="C114" s="9">
        <v>1915</v>
      </c>
      <c r="D114" s="10">
        <v>45639</v>
      </c>
      <c r="E114" s="13" t="str">
        <f>+HYPERLINK("http://trademark.i-assist.jp/data/china/image_1915th/76259222.pdf","76259222")</f>
        <v>76259222</v>
      </c>
      <c r="F114" s="12" t="s">
        <v>397</v>
      </c>
      <c r="G114" s="9" t="s">
        <v>398</v>
      </c>
      <c r="H114" s="9" t="s">
        <v>399</v>
      </c>
      <c r="I114" s="10">
        <v>45299</v>
      </c>
    </row>
    <row r="115" spans="1:9" x14ac:dyDescent="0.15">
      <c r="A115" s="9">
        <v>114</v>
      </c>
      <c r="B115" s="9" t="s">
        <v>9</v>
      </c>
      <c r="C115" s="9">
        <v>1915</v>
      </c>
      <c r="D115" s="10">
        <v>45639</v>
      </c>
      <c r="E115" s="13" t="str">
        <f>+HYPERLINK("http://trademark.i-assist.jp/data/china/image_1915th/76284581.pdf","76284581")</f>
        <v>76284581</v>
      </c>
      <c r="F115" s="12" t="s">
        <v>400</v>
      </c>
      <c r="G115" s="9" t="s">
        <v>401</v>
      </c>
      <c r="H115" s="9" t="s">
        <v>402</v>
      </c>
      <c r="I115" s="10">
        <v>45300</v>
      </c>
    </row>
    <row r="116" spans="1:9" x14ac:dyDescent="0.15">
      <c r="A116" s="9">
        <v>115</v>
      </c>
      <c r="B116" s="9" t="s">
        <v>9</v>
      </c>
      <c r="C116" s="9">
        <v>1915</v>
      </c>
      <c r="D116" s="10">
        <v>45639</v>
      </c>
      <c r="E116" s="13" t="str">
        <f>+HYPERLINK("http://trademark.i-assist.jp/data/china/image_1915th/76295897.pdf","76295897")</f>
        <v>76295897</v>
      </c>
      <c r="F116" s="9" t="s">
        <v>403</v>
      </c>
      <c r="G116" s="9" t="s">
        <v>404</v>
      </c>
      <c r="H116" s="12" t="s">
        <v>405</v>
      </c>
      <c r="I116" s="10">
        <v>45301</v>
      </c>
    </row>
    <row r="117" spans="1:9" x14ac:dyDescent="0.15">
      <c r="A117" s="9">
        <v>116</v>
      </c>
      <c r="B117" s="9" t="s">
        <v>9</v>
      </c>
      <c r="C117" s="9">
        <v>1915</v>
      </c>
      <c r="D117" s="10">
        <v>45639</v>
      </c>
      <c r="E117" s="13" t="str">
        <f>+HYPERLINK("http://trademark.i-assist.jp/data/china/image_1915th/76296216.pdf","76296216")</f>
        <v>76296216</v>
      </c>
      <c r="F117" s="9" t="s">
        <v>406</v>
      </c>
      <c r="G117" s="9" t="s">
        <v>407</v>
      </c>
      <c r="H117" s="12" t="s">
        <v>408</v>
      </c>
      <c r="I117" s="10">
        <v>45301</v>
      </c>
    </row>
    <row r="118" spans="1:9" x14ac:dyDescent="0.15">
      <c r="A118" s="9">
        <v>117</v>
      </c>
      <c r="B118" s="9" t="s">
        <v>9</v>
      </c>
      <c r="C118" s="9">
        <v>1915</v>
      </c>
      <c r="D118" s="10">
        <v>45639</v>
      </c>
      <c r="E118" s="13" t="str">
        <f>+HYPERLINK("http://trademark.i-assist.jp/data/china/image_1915th/76312520.pdf","76312520")</f>
        <v>76312520</v>
      </c>
      <c r="F118" s="9" t="s">
        <v>409</v>
      </c>
      <c r="G118" s="9" t="s">
        <v>407</v>
      </c>
      <c r="H118" s="9" t="s">
        <v>410</v>
      </c>
      <c r="I118" s="10">
        <v>45301</v>
      </c>
    </row>
    <row r="119" spans="1:9" x14ac:dyDescent="0.15">
      <c r="A119" s="9">
        <v>118</v>
      </c>
      <c r="B119" s="9" t="s">
        <v>9</v>
      </c>
      <c r="C119" s="9">
        <v>1915</v>
      </c>
      <c r="D119" s="10">
        <v>45639</v>
      </c>
      <c r="E119" s="13" t="str">
        <f>+HYPERLINK("http://trademark.i-assist.jp/data/china/image_1915th/76312567.pdf","76312567")</f>
        <v>76312567</v>
      </c>
      <c r="F119" s="9" t="s">
        <v>411</v>
      </c>
      <c r="G119" s="9" t="s">
        <v>407</v>
      </c>
      <c r="H119" s="9" t="s">
        <v>412</v>
      </c>
      <c r="I119" s="10">
        <v>45301</v>
      </c>
    </row>
    <row r="120" spans="1:9" x14ac:dyDescent="0.15">
      <c r="A120" s="9">
        <v>119</v>
      </c>
      <c r="B120" s="9" t="s">
        <v>9</v>
      </c>
      <c r="C120" s="9">
        <v>1915</v>
      </c>
      <c r="D120" s="10">
        <v>45639</v>
      </c>
      <c r="E120" s="13" t="str">
        <f>+HYPERLINK("http://trademark.i-assist.jp/data/china/image_1915th/76312757.pdf","76312757")</f>
        <v>76312757</v>
      </c>
      <c r="F120" s="9" t="s">
        <v>413</v>
      </c>
      <c r="G120" s="9" t="s">
        <v>414</v>
      </c>
      <c r="H120" s="9" t="s">
        <v>415</v>
      </c>
      <c r="I120" s="10">
        <v>45301</v>
      </c>
    </row>
    <row r="121" spans="1:9" x14ac:dyDescent="0.15">
      <c r="A121" s="9">
        <v>120</v>
      </c>
      <c r="B121" s="9" t="s">
        <v>9</v>
      </c>
      <c r="C121" s="9">
        <v>1915</v>
      </c>
      <c r="D121" s="10">
        <v>45639</v>
      </c>
      <c r="E121" s="13" t="str">
        <f>+HYPERLINK("http://trademark.i-assist.jp/data/china/image_1915th/76318830.pdf","76318830")</f>
        <v>76318830</v>
      </c>
      <c r="F121" s="9" t="s">
        <v>416</v>
      </c>
      <c r="G121" s="9" t="s">
        <v>417</v>
      </c>
      <c r="H121" s="9" t="s">
        <v>418</v>
      </c>
      <c r="I121" s="10">
        <v>45302</v>
      </c>
    </row>
    <row r="122" spans="1:9" x14ac:dyDescent="0.15">
      <c r="A122" s="9">
        <v>121</v>
      </c>
      <c r="B122" s="9" t="s">
        <v>9</v>
      </c>
      <c r="C122" s="9">
        <v>1915</v>
      </c>
      <c r="D122" s="10">
        <v>45639</v>
      </c>
      <c r="E122" s="13" t="str">
        <f>+HYPERLINK("http://trademark.i-assist.jp/data/china/image_1915th/76336848.pdf","76336848")</f>
        <v>76336848</v>
      </c>
      <c r="F122" s="9" t="s">
        <v>419</v>
      </c>
      <c r="G122" s="12" t="s">
        <v>420</v>
      </c>
      <c r="H122" s="9" t="s">
        <v>421</v>
      </c>
      <c r="I122" s="10">
        <v>45302</v>
      </c>
    </row>
    <row r="123" spans="1:9" x14ac:dyDescent="0.15">
      <c r="A123" s="9">
        <v>122</v>
      </c>
      <c r="B123" s="9" t="s">
        <v>9</v>
      </c>
      <c r="C123" s="9">
        <v>1915</v>
      </c>
      <c r="D123" s="10">
        <v>45639</v>
      </c>
      <c r="E123" s="13" t="str">
        <f>+HYPERLINK("http://trademark.i-assist.jp/data/china/image_1915th/76369906.pdf","76369906")</f>
        <v>76369906</v>
      </c>
      <c r="F123" s="12" t="s">
        <v>422</v>
      </c>
      <c r="G123" s="12" t="s">
        <v>423</v>
      </c>
      <c r="H123" s="9" t="s">
        <v>424</v>
      </c>
      <c r="I123" s="10">
        <v>45304</v>
      </c>
    </row>
    <row r="124" spans="1:9" x14ac:dyDescent="0.15">
      <c r="A124" s="9">
        <v>123</v>
      </c>
      <c r="B124" s="9" t="s">
        <v>9</v>
      </c>
      <c r="C124" s="9">
        <v>1915</v>
      </c>
      <c r="D124" s="10">
        <v>45639</v>
      </c>
      <c r="E124" s="13" t="str">
        <f>+HYPERLINK("http://trademark.i-assist.jp/data/china/image_1915th/76443772.pdf","76443772")</f>
        <v>76443772</v>
      </c>
      <c r="F124" s="9" t="s">
        <v>425</v>
      </c>
      <c r="G124" s="9" t="s">
        <v>426</v>
      </c>
      <c r="H124" s="9" t="s">
        <v>427</v>
      </c>
      <c r="I124" s="10">
        <v>45308</v>
      </c>
    </row>
    <row r="125" spans="1:9" x14ac:dyDescent="0.15">
      <c r="A125" s="9">
        <v>124</v>
      </c>
      <c r="B125" s="9" t="s">
        <v>9</v>
      </c>
      <c r="C125" s="9">
        <v>1915</v>
      </c>
      <c r="D125" s="10">
        <v>45639</v>
      </c>
      <c r="E125" s="13" t="str">
        <f>+HYPERLINK("http://trademark.i-assist.jp/data/china/image_1915th/76469066.pdf","76469066")</f>
        <v>76469066</v>
      </c>
      <c r="F125" s="9" t="s">
        <v>428</v>
      </c>
      <c r="G125" s="9" t="s">
        <v>429</v>
      </c>
      <c r="H125" s="9" t="s">
        <v>430</v>
      </c>
      <c r="I125" s="10">
        <v>45309</v>
      </c>
    </row>
    <row r="126" spans="1:9" x14ac:dyDescent="0.15">
      <c r="A126" s="9">
        <v>125</v>
      </c>
      <c r="B126" s="9" t="s">
        <v>9</v>
      </c>
      <c r="C126" s="9">
        <v>1915</v>
      </c>
      <c r="D126" s="10">
        <v>45639</v>
      </c>
      <c r="E126" s="13" t="str">
        <f>+HYPERLINK("http://trademark.i-assist.jp/data/china/image_1915th/76473442.pdf","76473442")</f>
        <v>76473442</v>
      </c>
      <c r="F126" s="9" t="s">
        <v>431</v>
      </c>
      <c r="G126" s="9" t="s">
        <v>432</v>
      </c>
      <c r="H126" s="9" t="s">
        <v>433</v>
      </c>
      <c r="I126" s="10">
        <v>45309</v>
      </c>
    </row>
    <row r="127" spans="1:9" x14ac:dyDescent="0.15">
      <c r="A127" s="9">
        <v>126</v>
      </c>
      <c r="B127" s="9" t="s">
        <v>9</v>
      </c>
      <c r="C127" s="9">
        <v>1915</v>
      </c>
      <c r="D127" s="10">
        <v>45639</v>
      </c>
      <c r="E127" s="13" t="str">
        <f>+HYPERLINK("http://trademark.i-assist.jp/data/china/image_1915th/76499185.pdf","76499185")</f>
        <v>76499185</v>
      </c>
      <c r="F127" s="12" t="s">
        <v>434</v>
      </c>
      <c r="G127" s="9" t="s">
        <v>435</v>
      </c>
      <c r="H127" s="9" t="s">
        <v>436</v>
      </c>
      <c r="I127" s="10">
        <v>45309</v>
      </c>
    </row>
    <row r="128" spans="1:9" x14ac:dyDescent="0.15">
      <c r="A128" s="9">
        <v>127</v>
      </c>
      <c r="B128" s="9" t="s">
        <v>9</v>
      </c>
      <c r="C128" s="9">
        <v>1915</v>
      </c>
      <c r="D128" s="10">
        <v>45639</v>
      </c>
      <c r="E128" s="13" t="str">
        <f>+HYPERLINK("http://trademark.i-assist.jp/data/china/image_1915th/76500081.pdf","76500081")</f>
        <v>76500081</v>
      </c>
      <c r="F128" s="12" t="s">
        <v>437</v>
      </c>
      <c r="G128" s="9" t="s">
        <v>438</v>
      </c>
      <c r="H128" s="9" t="s">
        <v>439</v>
      </c>
      <c r="I128" s="10">
        <v>45310</v>
      </c>
    </row>
    <row r="129" spans="1:9" x14ac:dyDescent="0.15">
      <c r="A129" s="9">
        <v>128</v>
      </c>
      <c r="B129" s="9" t="s">
        <v>9</v>
      </c>
      <c r="C129" s="9">
        <v>1915</v>
      </c>
      <c r="D129" s="10">
        <v>45639</v>
      </c>
      <c r="E129" s="13" t="str">
        <f>+HYPERLINK("http://trademark.i-assist.jp/data/china/image_1915th/76538045.pdf","76538045")</f>
        <v>76538045</v>
      </c>
      <c r="F129" s="9" t="s">
        <v>440</v>
      </c>
      <c r="G129" s="12" t="s">
        <v>441</v>
      </c>
      <c r="H129" s="9" t="s">
        <v>442</v>
      </c>
      <c r="I129" s="10">
        <v>45313</v>
      </c>
    </row>
    <row r="130" spans="1:9" x14ac:dyDescent="0.15">
      <c r="A130" s="9">
        <v>129</v>
      </c>
      <c r="B130" s="9" t="s">
        <v>9</v>
      </c>
      <c r="C130" s="9">
        <v>1915</v>
      </c>
      <c r="D130" s="10">
        <v>45639</v>
      </c>
      <c r="E130" s="13" t="str">
        <f>+HYPERLINK("http://trademark.i-assist.jp/data/china/image_1915th/76542098.pdf","76542098")</f>
        <v>76542098</v>
      </c>
      <c r="F130" s="12" t="s">
        <v>443</v>
      </c>
      <c r="G130" s="12" t="s">
        <v>444</v>
      </c>
      <c r="H130" s="9" t="s">
        <v>445</v>
      </c>
      <c r="I130" s="10">
        <v>45313</v>
      </c>
    </row>
    <row r="131" spans="1:9" x14ac:dyDescent="0.15">
      <c r="A131" s="9">
        <v>130</v>
      </c>
      <c r="B131" s="9" t="s">
        <v>9</v>
      </c>
      <c r="C131" s="9">
        <v>1915</v>
      </c>
      <c r="D131" s="10">
        <v>45639</v>
      </c>
      <c r="E131" s="13" t="str">
        <f>+HYPERLINK("http://trademark.i-assist.jp/data/china/image_1915th/76553824.pdf","76553824")</f>
        <v>76553824</v>
      </c>
      <c r="F131" s="9" t="s">
        <v>446</v>
      </c>
      <c r="G131" s="9" t="s">
        <v>447</v>
      </c>
      <c r="H131" s="9" t="s">
        <v>448</v>
      </c>
      <c r="I131" s="10">
        <v>45314</v>
      </c>
    </row>
    <row r="132" spans="1:9" x14ac:dyDescent="0.15">
      <c r="A132" s="9">
        <v>131</v>
      </c>
      <c r="B132" s="9" t="s">
        <v>9</v>
      </c>
      <c r="C132" s="9">
        <v>1915</v>
      </c>
      <c r="D132" s="10">
        <v>45639</v>
      </c>
      <c r="E132" s="13" t="str">
        <f>+HYPERLINK("http://trademark.i-assist.jp/data/china/image_1915th/76596331.pdf","76596331")</f>
        <v>76596331</v>
      </c>
      <c r="F132" s="9" t="s">
        <v>449</v>
      </c>
      <c r="G132" s="9" t="s">
        <v>450</v>
      </c>
      <c r="H132" s="9" t="s">
        <v>451</v>
      </c>
      <c r="I132" s="10">
        <v>45316</v>
      </c>
    </row>
    <row r="133" spans="1:9" x14ac:dyDescent="0.15">
      <c r="A133" s="9">
        <v>132</v>
      </c>
      <c r="B133" s="9" t="s">
        <v>9</v>
      </c>
      <c r="C133" s="9">
        <v>1915</v>
      </c>
      <c r="D133" s="10">
        <v>45639</v>
      </c>
      <c r="E133" s="13" t="str">
        <f>+HYPERLINK("http://trademark.i-assist.jp/data/china/image_1915th/76606688.pdf","76606688")</f>
        <v>76606688</v>
      </c>
      <c r="F133" s="9" t="s">
        <v>452</v>
      </c>
      <c r="G133" s="9" t="s">
        <v>453</v>
      </c>
      <c r="H133" s="9" t="s">
        <v>454</v>
      </c>
      <c r="I133" s="10">
        <v>45316</v>
      </c>
    </row>
    <row r="134" spans="1:9" x14ac:dyDescent="0.15">
      <c r="A134" s="9">
        <v>133</v>
      </c>
      <c r="B134" s="9" t="s">
        <v>9</v>
      </c>
      <c r="C134" s="9">
        <v>1915</v>
      </c>
      <c r="D134" s="10">
        <v>45639</v>
      </c>
      <c r="E134" s="13" t="str">
        <f>+HYPERLINK("http://trademark.i-assist.jp/data/china/image_1915th/76636845.pdf","76636845")</f>
        <v>76636845</v>
      </c>
      <c r="F134" s="9" t="s">
        <v>455</v>
      </c>
      <c r="G134" s="12" t="s">
        <v>456</v>
      </c>
      <c r="H134" s="9" t="s">
        <v>457</v>
      </c>
      <c r="I134" s="10">
        <v>45317</v>
      </c>
    </row>
    <row r="135" spans="1:9" x14ac:dyDescent="0.15">
      <c r="A135" s="9">
        <v>134</v>
      </c>
      <c r="B135" s="9" t="s">
        <v>9</v>
      </c>
      <c r="C135" s="9">
        <v>1915</v>
      </c>
      <c r="D135" s="10">
        <v>45639</v>
      </c>
      <c r="E135" s="13" t="str">
        <f>+HYPERLINK("http://trademark.i-assist.jp/data/china/image_1915th/76667932.pdf","76667932")</f>
        <v>76667932</v>
      </c>
      <c r="F135" s="9" t="s">
        <v>458</v>
      </c>
      <c r="G135" s="9" t="s">
        <v>459</v>
      </c>
      <c r="H135" s="9" t="s">
        <v>460</v>
      </c>
      <c r="I135" s="10">
        <v>45320</v>
      </c>
    </row>
    <row r="136" spans="1:9" x14ac:dyDescent="0.15">
      <c r="A136" s="9">
        <v>135</v>
      </c>
      <c r="B136" s="9" t="s">
        <v>9</v>
      </c>
      <c r="C136" s="9">
        <v>1915</v>
      </c>
      <c r="D136" s="10">
        <v>45639</v>
      </c>
      <c r="E136" s="13" t="str">
        <f>+HYPERLINK("http://trademark.i-assist.jp/data/china/image_1915th/76670209.pdf","76670209")</f>
        <v>76670209</v>
      </c>
      <c r="F136" s="9" t="s">
        <v>461</v>
      </c>
      <c r="G136" s="9" t="s">
        <v>462</v>
      </c>
      <c r="H136" s="9" t="s">
        <v>463</v>
      </c>
      <c r="I136" s="10">
        <v>45320</v>
      </c>
    </row>
    <row r="137" spans="1:9" x14ac:dyDescent="0.15">
      <c r="A137" s="9">
        <v>136</v>
      </c>
      <c r="B137" s="9" t="s">
        <v>9</v>
      </c>
      <c r="C137" s="9">
        <v>1915</v>
      </c>
      <c r="D137" s="10">
        <v>45639</v>
      </c>
      <c r="E137" s="13" t="str">
        <f>+HYPERLINK("http://trademark.i-assist.jp/data/china/image_1915th/76716142.pdf","76716142")</f>
        <v>76716142</v>
      </c>
      <c r="F137" s="9" t="s">
        <v>464</v>
      </c>
      <c r="G137" s="9" t="s">
        <v>465</v>
      </c>
      <c r="H137" s="9" t="s">
        <v>466</v>
      </c>
      <c r="I137" s="10">
        <v>45322</v>
      </c>
    </row>
    <row r="138" spans="1:9" x14ac:dyDescent="0.15">
      <c r="A138" s="9">
        <v>137</v>
      </c>
      <c r="B138" s="9" t="s">
        <v>9</v>
      </c>
      <c r="C138" s="9">
        <v>1915</v>
      </c>
      <c r="D138" s="10">
        <v>45639</v>
      </c>
      <c r="E138" s="13" t="str">
        <f>+HYPERLINK("http://trademark.i-assist.jp/data/china/image_1915th/76724682.pdf","76724682")</f>
        <v>76724682</v>
      </c>
      <c r="F138" s="9" t="s">
        <v>467</v>
      </c>
      <c r="G138" s="9" t="s">
        <v>468</v>
      </c>
      <c r="H138" s="9" t="s">
        <v>469</v>
      </c>
      <c r="I138" s="10">
        <v>45323</v>
      </c>
    </row>
    <row r="139" spans="1:9" x14ac:dyDescent="0.15">
      <c r="A139" s="9">
        <v>138</v>
      </c>
      <c r="B139" s="9" t="s">
        <v>9</v>
      </c>
      <c r="C139" s="9">
        <v>1915</v>
      </c>
      <c r="D139" s="10">
        <v>45639</v>
      </c>
      <c r="E139" s="13" t="str">
        <f>+HYPERLINK("http://trademark.i-assist.jp/data/china/image_1915th/76734601.pdf","76734601")</f>
        <v>76734601</v>
      </c>
      <c r="F139" s="9" t="s">
        <v>470</v>
      </c>
      <c r="G139" s="9" t="s">
        <v>41</v>
      </c>
      <c r="H139" s="9" t="s">
        <v>471</v>
      </c>
      <c r="I139" s="10">
        <v>45323</v>
      </c>
    </row>
    <row r="140" spans="1:9" x14ac:dyDescent="0.15">
      <c r="A140" s="9">
        <v>139</v>
      </c>
      <c r="B140" s="9" t="s">
        <v>9</v>
      </c>
      <c r="C140" s="9">
        <v>1915</v>
      </c>
      <c r="D140" s="10">
        <v>45639</v>
      </c>
      <c r="E140" s="13" t="str">
        <f>+HYPERLINK("http://trademark.i-assist.jp/data/china/image_1915th/76783068.pdf","76783068")</f>
        <v>76783068</v>
      </c>
      <c r="F140" s="9" t="s">
        <v>472</v>
      </c>
      <c r="G140" s="9" t="s">
        <v>473</v>
      </c>
      <c r="H140" s="9" t="s">
        <v>474</v>
      </c>
      <c r="I140" s="10">
        <v>45326</v>
      </c>
    </row>
    <row r="141" spans="1:9" x14ac:dyDescent="0.15">
      <c r="A141" s="9">
        <v>140</v>
      </c>
      <c r="B141" s="9" t="s">
        <v>9</v>
      </c>
      <c r="C141" s="9">
        <v>1915</v>
      </c>
      <c r="D141" s="10">
        <v>45639</v>
      </c>
      <c r="E141" s="13" t="str">
        <f>+HYPERLINK("http://trademark.i-assist.jp/data/china/image_1915th/76824218.pdf","76824218")</f>
        <v>76824218</v>
      </c>
      <c r="F141" s="9" t="s">
        <v>475</v>
      </c>
      <c r="G141" s="9" t="s">
        <v>476</v>
      </c>
      <c r="H141" s="9" t="s">
        <v>477</v>
      </c>
      <c r="I141" s="10">
        <v>45330</v>
      </c>
    </row>
    <row r="142" spans="1:9" x14ac:dyDescent="0.15">
      <c r="A142" s="9">
        <v>141</v>
      </c>
      <c r="B142" s="9" t="s">
        <v>9</v>
      </c>
      <c r="C142" s="9">
        <v>1915</v>
      </c>
      <c r="D142" s="10">
        <v>45639</v>
      </c>
      <c r="E142" s="13" t="str">
        <f>+HYPERLINK("http://trademark.i-assist.jp/data/china/image_1915th/76857477.pdf","76857477")</f>
        <v>76857477</v>
      </c>
      <c r="F142" s="9" t="s">
        <v>478</v>
      </c>
      <c r="G142" s="12" t="s">
        <v>479</v>
      </c>
      <c r="H142" s="9" t="s">
        <v>480</v>
      </c>
      <c r="I142" s="10">
        <v>45341</v>
      </c>
    </row>
    <row r="143" spans="1:9" x14ac:dyDescent="0.15">
      <c r="A143" s="9">
        <v>142</v>
      </c>
      <c r="B143" s="9" t="s">
        <v>9</v>
      </c>
      <c r="C143" s="9">
        <v>1915</v>
      </c>
      <c r="D143" s="10">
        <v>45639</v>
      </c>
      <c r="E143" s="13" t="str">
        <f>+HYPERLINK("http://trademark.i-assist.jp/data/china/image_1915th/76952154.pdf","76952154")</f>
        <v>76952154</v>
      </c>
      <c r="F143" s="9" t="s">
        <v>481</v>
      </c>
      <c r="G143" s="9" t="s">
        <v>482</v>
      </c>
      <c r="H143" s="12" t="s">
        <v>483</v>
      </c>
      <c r="I143" s="10">
        <v>45348</v>
      </c>
    </row>
    <row r="144" spans="1:9" x14ac:dyDescent="0.15">
      <c r="A144" s="9">
        <v>143</v>
      </c>
      <c r="B144" s="9" t="s">
        <v>9</v>
      </c>
      <c r="C144" s="9">
        <v>1915</v>
      </c>
      <c r="D144" s="10">
        <v>45639</v>
      </c>
      <c r="E144" s="13" t="str">
        <f>+HYPERLINK("http://trademark.i-assist.jp/data/china/image_1915th/77107121.pdf","77107121")</f>
        <v>77107121</v>
      </c>
      <c r="F144" s="9" t="s">
        <v>484</v>
      </c>
      <c r="G144" s="9" t="s">
        <v>485</v>
      </c>
      <c r="H144" s="9" t="s">
        <v>486</v>
      </c>
      <c r="I144" s="10">
        <v>45356</v>
      </c>
    </row>
    <row r="145" spans="1:9" x14ac:dyDescent="0.15">
      <c r="A145" s="9">
        <v>144</v>
      </c>
      <c r="B145" s="9" t="s">
        <v>9</v>
      </c>
      <c r="C145" s="9">
        <v>1915</v>
      </c>
      <c r="D145" s="10">
        <v>45639</v>
      </c>
      <c r="E145" s="13" t="str">
        <f>+HYPERLINK("http://trademark.i-assist.jp/data/china/image_1915th/77206406.pdf","77206406")</f>
        <v>77206406</v>
      </c>
      <c r="F145" s="9" t="s">
        <v>487</v>
      </c>
      <c r="G145" s="12" t="s">
        <v>488</v>
      </c>
      <c r="H145" s="9" t="s">
        <v>489</v>
      </c>
      <c r="I145" s="10">
        <v>45361</v>
      </c>
    </row>
    <row r="146" spans="1:9" x14ac:dyDescent="0.15">
      <c r="A146" s="9">
        <v>145</v>
      </c>
      <c r="B146" s="9" t="s">
        <v>9</v>
      </c>
      <c r="C146" s="9">
        <v>1915</v>
      </c>
      <c r="D146" s="10">
        <v>45639</v>
      </c>
      <c r="E146" s="13" t="str">
        <f>+HYPERLINK("http://trademark.i-assist.jp/data/china/image_1915th/77247756.pdf","77247756")</f>
        <v>77247756</v>
      </c>
      <c r="F146" s="12" t="s">
        <v>490</v>
      </c>
      <c r="G146" s="9" t="s">
        <v>491</v>
      </c>
      <c r="H146" s="9" t="s">
        <v>492</v>
      </c>
      <c r="I146" s="10">
        <v>45363</v>
      </c>
    </row>
    <row r="147" spans="1:9" x14ac:dyDescent="0.15">
      <c r="A147" s="9">
        <v>146</v>
      </c>
      <c r="B147" s="9" t="s">
        <v>9</v>
      </c>
      <c r="C147" s="9">
        <v>1915</v>
      </c>
      <c r="D147" s="10">
        <v>45639</v>
      </c>
      <c r="E147" s="13" t="str">
        <f>+HYPERLINK("http://trademark.i-assist.jp/data/china/image_1915th/77251860.pdf","77251860")</f>
        <v>77251860</v>
      </c>
      <c r="F147" s="9" t="s">
        <v>493</v>
      </c>
      <c r="G147" s="12" t="s">
        <v>494</v>
      </c>
      <c r="H147" s="9" t="s">
        <v>495</v>
      </c>
      <c r="I147" s="10">
        <v>45363</v>
      </c>
    </row>
    <row r="148" spans="1:9" x14ac:dyDescent="0.15">
      <c r="A148" s="9">
        <v>147</v>
      </c>
      <c r="B148" s="9" t="s">
        <v>9</v>
      </c>
      <c r="C148" s="9">
        <v>1915</v>
      </c>
      <c r="D148" s="10">
        <v>45639</v>
      </c>
      <c r="E148" s="13" t="str">
        <f>+HYPERLINK("http://trademark.i-assist.jp/data/china/image_1915th/77575190.pdf","77575190")</f>
        <v>77575190</v>
      </c>
      <c r="F148" s="9" t="s">
        <v>496</v>
      </c>
      <c r="G148" s="9" t="s">
        <v>497</v>
      </c>
      <c r="H148" s="9" t="s">
        <v>498</v>
      </c>
      <c r="I148" s="10">
        <v>45378</v>
      </c>
    </row>
    <row r="149" spans="1:9" x14ac:dyDescent="0.15">
      <c r="A149" s="9">
        <v>148</v>
      </c>
      <c r="B149" s="9" t="s">
        <v>9</v>
      </c>
      <c r="C149" s="9">
        <v>1915</v>
      </c>
      <c r="D149" s="10">
        <v>45639</v>
      </c>
      <c r="E149" s="13" t="str">
        <f>+HYPERLINK("http://trademark.i-assist.jp/data/china/image_1915th/78520374.pdf","78520374")</f>
        <v>78520374</v>
      </c>
      <c r="F149" s="12" t="s">
        <v>15</v>
      </c>
      <c r="G149" s="9" t="s">
        <v>499</v>
      </c>
      <c r="H149" s="12" t="s">
        <v>500</v>
      </c>
      <c r="I149" s="10">
        <v>45423</v>
      </c>
    </row>
    <row r="150" spans="1:9" x14ac:dyDescent="0.15">
      <c r="A150" s="9">
        <v>149</v>
      </c>
      <c r="B150" s="9" t="s">
        <v>9</v>
      </c>
      <c r="C150" s="9">
        <v>1915</v>
      </c>
      <c r="D150" s="10">
        <v>45639</v>
      </c>
      <c r="E150" s="13" t="str">
        <f>+HYPERLINK("http://trademark.i-assist.jp/data/china/image_1915th/78712991.pdf","78712991")</f>
        <v>78712991</v>
      </c>
      <c r="F150" s="9" t="s">
        <v>501</v>
      </c>
      <c r="G150" s="9" t="s">
        <v>502</v>
      </c>
      <c r="H150" s="9" t="s">
        <v>503</v>
      </c>
      <c r="I150" s="10">
        <v>45432</v>
      </c>
    </row>
    <row r="151" spans="1:9" x14ac:dyDescent="0.15">
      <c r="A151" s="9">
        <v>150</v>
      </c>
      <c r="B151" s="9" t="s">
        <v>9</v>
      </c>
      <c r="C151" s="9">
        <v>1915</v>
      </c>
      <c r="D151" s="10">
        <v>45639</v>
      </c>
      <c r="E151" s="13" t="str">
        <f>+HYPERLINK("http://trademark.i-assist.jp/data/china/image_1915th/78777371.pdf","78777371")</f>
        <v>78777371</v>
      </c>
      <c r="F151" s="12" t="s">
        <v>15</v>
      </c>
      <c r="G151" s="9" t="s">
        <v>504</v>
      </c>
      <c r="H151" s="9" t="s">
        <v>505</v>
      </c>
      <c r="I151" s="10">
        <v>45435</v>
      </c>
    </row>
    <row r="152" spans="1:9" x14ac:dyDescent="0.15">
      <c r="A152" s="9">
        <v>151</v>
      </c>
      <c r="B152" s="9" t="s">
        <v>9</v>
      </c>
      <c r="C152" s="9">
        <v>1915</v>
      </c>
      <c r="D152" s="10">
        <v>45639</v>
      </c>
      <c r="E152" s="13" t="str">
        <f>+HYPERLINK("http://trademark.i-assist.jp/data/china/image_1915th/79193769.pdf","79193769")</f>
        <v>79193769</v>
      </c>
      <c r="F152" s="9" t="s">
        <v>506</v>
      </c>
      <c r="G152" s="9" t="s">
        <v>59</v>
      </c>
      <c r="H152" s="9" t="s">
        <v>507</v>
      </c>
      <c r="I152" s="10">
        <v>45456</v>
      </c>
    </row>
    <row r="153" spans="1:9" x14ac:dyDescent="0.15">
      <c r="A153" s="9">
        <v>152</v>
      </c>
      <c r="B153" s="9" t="s">
        <v>9</v>
      </c>
      <c r="C153" s="9">
        <v>1915</v>
      </c>
      <c r="D153" s="10">
        <v>45639</v>
      </c>
      <c r="E153" s="13" t="str">
        <f>+HYPERLINK("http://trademark.i-assist.jp/data/china/image_1915th/79206676.pdf","79206676")</f>
        <v>79206676</v>
      </c>
      <c r="F153" s="9" t="s">
        <v>508</v>
      </c>
      <c r="G153" s="9" t="s">
        <v>509</v>
      </c>
      <c r="H153" s="9" t="s">
        <v>510</v>
      </c>
      <c r="I153" s="10">
        <v>45456</v>
      </c>
    </row>
    <row r="154" spans="1:9" x14ac:dyDescent="0.15">
      <c r="A154" s="9">
        <v>153</v>
      </c>
      <c r="B154" s="9" t="s">
        <v>9</v>
      </c>
      <c r="C154" s="9">
        <v>1915</v>
      </c>
      <c r="D154" s="10">
        <v>45639</v>
      </c>
      <c r="E154" s="13" t="str">
        <f>+HYPERLINK("http://trademark.i-assist.jp/data/china/image_1915th/79214154.pdf","79214154")</f>
        <v>79214154</v>
      </c>
      <c r="F154" s="9" t="s">
        <v>511</v>
      </c>
      <c r="G154" s="12" t="s">
        <v>512</v>
      </c>
      <c r="H154" s="9" t="s">
        <v>513</v>
      </c>
      <c r="I154" s="10">
        <v>45457</v>
      </c>
    </row>
    <row r="155" spans="1:9" x14ac:dyDescent="0.15">
      <c r="A155" s="9">
        <v>154</v>
      </c>
      <c r="B155" s="9" t="s">
        <v>9</v>
      </c>
      <c r="C155" s="9">
        <v>1915</v>
      </c>
      <c r="D155" s="10">
        <v>45639</v>
      </c>
      <c r="E155" s="13" t="str">
        <f>+HYPERLINK("http://trademark.i-assist.jp/data/china/image_1915th/79235766.pdf","79235766")</f>
        <v>79235766</v>
      </c>
      <c r="F155" s="12" t="s">
        <v>15</v>
      </c>
      <c r="G155" s="9" t="s">
        <v>514</v>
      </c>
      <c r="H155" s="9" t="s">
        <v>515</v>
      </c>
      <c r="I155" s="10">
        <v>45458</v>
      </c>
    </row>
    <row r="156" spans="1:9" x14ac:dyDescent="0.15">
      <c r="A156" s="9">
        <v>155</v>
      </c>
      <c r="B156" s="9" t="s">
        <v>9</v>
      </c>
      <c r="C156" s="9">
        <v>1915</v>
      </c>
      <c r="D156" s="10">
        <v>45639</v>
      </c>
      <c r="E156" s="13" t="str">
        <f>+HYPERLINK("http://trademark.i-assist.jp/data/china/image_1915th/79296534.pdf","79296534")</f>
        <v>79296534</v>
      </c>
      <c r="F156" s="9" t="s">
        <v>516</v>
      </c>
      <c r="G156" s="9" t="s">
        <v>517</v>
      </c>
      <c r="H156" s="9" t="s">
        <v>518</v>
      </c>
      <c r="I156" s="10">
        <v>45461</v>
      </c>
    </row>
    <row r="157" spans="1:9" x14ac:dyDescent="0.15">
      <c r="A157" s="9">
        <v>156</v>
      </c>
      <c r="B157" s="9" t="s">
        <v>9</v>
      </c>
      <c r="C157" s="9">
        <v>1915</v>
      </c>
      <c r="D157" s="10">
        <v>45639</v>
      </c>
      <c r="E157" s="13" t="str">
        <f>+HYPERLINK("http://trademark.i-assist.jp/data/china/image_1915th/79343759.pdf","79343759")</f>
        <v>79343759</v>
      </c>
      <c r="F157" s="9" t="s">
        <v>519</v>
      </c>
      <c r="G157" s="9" t="s">
        <v>520</v>
      </c>
      <c r="H157" s="12" t="s">
        <v>521</v>
      </c>
      <c r="I157" s="10">
        <v>45463</v>
      </c>
    </row>
    <row r="158" spans="1:9" x14ac:dyDescent="0.15">
      <c r="A158" s="9">
        <v>157</v>
      </c>
      <c r="B158" s="9" t="s">
        <v>9</v>
      </c>
      <c r="C158" s="9">
        <v>1915</v>
      </c>
      <c r="D158" s="10">
        <v>45639</v>
      </c>
      <c r="E158" s="13" t="str">
        <f>+HYPERLINK("http://trademark.i-assist.jp/data/china/image_1915th/79410140.pdf","79410140")</f>
        <v>79410140</v>
      </c>
      <c r="F158" s="9" t="s">
        <v>522</v>
      </c>
      <c r="G158" s="9" t="s">
        <v>523</v>
      </c>
      <c r="H158" s="9" t="s">
        <v>524</v>
      </c>
      <c r="I158" s="10">
        <v>45467</v>
      </c>
    </row>
    <row r="159" spans="1:9" x14ac:dyDescent="0.15">
      <c r="A159" s="9">
        <v>158</v>
      </c>
      <c r="B159" s="9" t="s">
        <v>9</v>
      </c>
      <c r="C159" s="9">
        <v>1915</v>
      </c>
      <c r="D159" s="10">
        <v>45639</v>
      </c>
      <c r="E159" s="13" t="str">
        <f>+HYPERLINK("http://trademark.i-assist.jp/data/china/image_1915th/79417122.pdf","79417122")</f>
        <v>79417122</v>
      </c>
      <c r="F159" s="9" t="s">
        <v>525</v>
      </c>
      <c r="G159" s="9" t="s">
        <v>526</v>
      </c>
      <c r="H159" s="9" t="s">
        <v>527</v>
      </c>
      <c r="I159" s="10">
        <v>45468</v>
      </c>
    </row>
    <row r="160" spans="1:9" x14ac:dyDescent="0.15">
      <c r="A160" s="9">
        <v>159</v>
      </c>
      <c r="B160" s="9" t="s">
        <v>9</v>
      </c>
      <c r="C160" s="9">
        <v>1915</v>
      </c>
      <c r="D160" s="10">
        <v>45639</v>
      </c>
      <c r="E160" s="13" t="str">
        <f>+HYPERLINK("http://trademark.i-assist.jp/data/china/image_1915th/79487149.pdf","79487149")</f>
        <v>79487149</v>
      </c>
      <c r="F160" s="9" t="s">
        <v>528</v>
      </c>
      <c r="G160" s="9" t="s">
        <v>529</v>
      </c>
      <c r="H160" s="9" t="s">
        <v>530</v>
      </c>
      <c r="I160" s="10">
        <v>45470</v>
      </c>
    </row>
    <row r="161" spans="1:9" x14ac:dyDescent="0.15">
      <c r="A161" s="9">
        <v>160</v>
      </c>
      <c r="B161" s="9" t="s">
        <v>9</v>
      </c>
      <c r="C161" s="9">
        <v>1915</v>
      </c>
      <c r="D161" s="10">
        <v>45639</v>
      </c>
      <c r="E161" s="13" t="str">
        <f>+HYPERLINK("http://trademark.i-assist.jp/data/china/image_1915th/79504970.pdf","79504970")</f>
        <v>79504970</v>
      </c>
      <c r="F161" s="12" t="s">
        <v>531</v>
      </c>
      <c r="G161" s="9" t="s">
        <v>532</v>
      </c>
      <c r="H161" s="9" t="s">
        <v>533</v>
      </c>
      <c r="I161" s="10">
        <v>45471</v>
      </c>
    </row>
    <row r="162" spans="1:9" x14ac:dyDescent="0.15">
      <c r="A162" s="9">
        <v>161</v>
      </c>
      <c r="B162" s="9" t="s">
        <v>9</v>
      </c>
      <c r="C162" s="9">
        <v>1915</v>
      </c>
      <c r="D162" s="10">
        <v>45639</v>
      </c>
      <c r="E162" s="13" t="str">
        <f>+HYPERLINK("http://trademark.i-assist.jp/data/china/image_1915th/79536193.pdf","79536193")</f>
        <v>79536193</v>
      </c>
      <c r="F162" s="12" t="s">
        <v>534</v>
      </c>
      <c r="G162" s="9" t="s">
        <v>535</v>
      </c>
      <c r="H162" s="9" t="s">
        <v>536</v>
      </c>
      <c r="I162" s="10">
        <v>45474</v>
      </c>
    </row>
    <row r="163" spans="1:9" x14ac:dyDescent="0.15">
      <c r="A163" s="9">
        <v>162</v>
      </c>
      <c r="B163" s="9" t="s">
        <v>9</v>
      </c>
      <c r="C163" s="9">
        <v>1915</v>
      </c>
      <c r="D163" s="10">
        <v>45639</v>
      </c>
      <c r="E163" s="13" t="str">
        <f>+HYPERLINK("http://trademark.i-assist.jp/data/china/image_1915th/79549898.pdf","79549898")</f>
        <v>79549898</v>
      </c>
      <c r="F163" s="9" t="s">
        <v>537</v>
      </c>
      <c r="G163" s="9" t="s">
        <v>538</v>
      </c>
      <c r="H163" s="9" t="s">
        <v>539</v>
      </c>
      <c r="I163" s="10">
        <v>45474</v>
      </c>
    </row>
    <row r="164" spans="1:9" x14ac:dyDescent="0.15">
      <c r="A164" s="9">
        <v>163</v>
      </c>
      <c r="B164" s="9" t="s">
        <v>9</v>
      </c>
      <c r="C164" s="9">
        <v>1915</v>
      </c>
      <c r="D164" s="10">
        <v>45639</v>
      </c>
      <c r="E164" s="13" t="str">
        <f>+HYPERLINK("http://trademark.i-assist.jp/data/china/image_1915th/79574803.pdf","79574803")</f>
        <v>79574803</v>
      </c>
      <c r="F164" s="9" t="s">
        <v>540</v>
      </c>
      <c r="G164" s="9" t="s">
        <v>541</v>
      </c>
      <c r="H164" s="9" t="s">
        <v>542</v>
      </c>
      <c r="I164" s="10">
        <v>45475</v>
      </c>
    </row>
    <row r="165" spans="1:9" x14ac:dyDescent="0.15">
      <c r="A165" s="9">
        <v>164</v>
      </c>
      <c r="B165" s="9" t="s">
        <v>9</v>
      </c>
      <c r="C165" s="9">
        <v>1915</v>
      </c>
      <c r="D165" s="10">
        <v>45639</v>
      </c>
      <c r="E165" s="13" t="str">
        <f>+HYPERLINK("http://trademark.i-assist.jp/data/china/image_1915th/79603697.pdf","79603697")</f>
        <v>79603697</v>
      </c>
      <c r="F165" s="9" t="s">
        <v>543</v>
      </c>
      <c r="G165" s="9" t="s">
        <v>544</v>
      </c>
      <c r="H165" s="9" t="s">
        <v>545</v>
      </c>
      <c r="I165" s="10">
        <v>45477</v>
      </c>
    </row>
    <row r="166" spans="1:9" x14ac:dyDescent="0.15">
      <c r="A166" s="9">
        <v>165</v>
      </c>
      <c r="B166" s="9" t="s">
        <v>9</v>
      </c>
      <c r="C166" s="9">
        <v>1915</v>
      </c>
      <c r="D166" s="10">
        <v>45639</v>
      </c>
      <c r="E166" s="13" t="str">
        <f>+HYPERLINK("http://trademark.i-assist.jp/data/china/image_1915th/79625708.pdf","79625708")</f>
        <v>79625708</v>
      </c>
      <c r="F166" s="9" t="s">
        <v>546</v>
      </c>
      <c r="G166" s="12" t="s">
        <v>547</v>
      </c>
      <c r="H166" s="9" t="s">
        <v>548</v>
      </c>
      <c r="I166" s="10">
        <v>45478</v>
      </c>
    </row>
    <row r="167" spans="1:9" x14ac:dyDescent="0.15">
      <c r="A167" s="9">
        <v>166</v>
      </c>
      <c r="B167" s="9" t="s">
        <v>9</v>
      </c>
      <c r="C167" s="9">
        <v>1915</v>
      </c>
      <c r="D167" s="10">
        <v>45639</v>
      </c>
      <c r="E167" s="13" t="str">
        <f>+HYPERLINK("http://trademark.i-assist.jp/data/china/image_1915th/79649304.pdf","79649304")</f>
        <v>79649304</v>
      </c>
      <c r="F167" s="9" t="s">
        <v>549</v>
      </c>
      <c r="G167" s="9" t="s">
        <v>550</v>
      </c>
      <c r="H167" s="9" t="s">
        <v>551</v>
      </c>
      <c r="I167" s="10">
        <v>45479</v>
      </c>
    </row>
    <row r="168" spans="1:9" x14ac:dyDescent="0.15">
      <c r="A168" s="9">
        <v>167</v>
      </c>
      <c r="B168" s="9" t="s">
        <v>9</v>
      </c>
      <c r="C168" s="9">
        <v>1915</v>
      </c>
      <c r="D168" s="10">
        <v>45639</v>
      </c>
      <c r="E168" s="13" t="str">
        <f>+HYPERLINK("http://trademark.i-assist.jp/data/china/image_1915th/79649928.pdf","79649928")</f>
        <v>79649928</v>
      </c>
      <c r="F168" s="9" t="s">
        <v>552</v>
      </c>
      <c r="G168" s="9" t="s">
        <v>550</v>
      </c>
      <c r="H168" s="9" t="s">
        <v>553</v>
      </c>
      <c r="I168" s="10">
        <v>45479</v>
      </c>
    </row>
    <row r="169" spans="1:9" x14ac:dyDescent="0.15">
      <c r="A169" s="9">
        <v>168</v>
      </c>
      <c r="B169" s="9" t="s">
        <v>9</v>
      </c>
      <c r="C169" s="9">
        <v>1915</v>
      </c>
      <c r="D169" s="10">
        <v>45639</v>
      </c>
      <c r="E169" s="13" t="str">
        <f>+HYPERLINK("http://trademark.i-assist.jp/data/china/image_1915th/79650553.pdf","79650553")</f>
        <v>79650553</v>
      </c>
      <c r="F169" s="9" t="s">
        <v>554</v>
      </c>
      <c r="G169" s="9" t="s">
        <v>550</v>
      </c>
      <c r="H169" s="12" t="s">
        <v>555</v>
      </c>
      <c r="I169" s="10">
        <v>45479</v>
      </c>
    </row>
    <row r="170" spans="1:9" x14ac:dyDescent="0.15">
      <c r="A170" s="9">
        <v>169</v>
      </c>
      <c r="B170" s="9" t="s">
        <v>9</v>
      </c>
      <c r="C170" s="9">
        <v>1915</v>
      </c>
      <c r="D170" s="10">
        <v>45639</v>
      </c>
      <c r="E170" s="13" t="str">
        <f>+HYPERLINK("http://trademark.i-assist.jp/data/china/image_1915th/79650852.pdf","79650852")</f>
        <v>79650852</v>
      </c>
      <c r="F170" s="9" t="s">
        <v>556</v>
      </c>
      <c r="G170" s="9" t="s">
        <v>550</v>
      </c>
      <c r="H170" s="9" t="s">
        <v>557</v>
      </c>
      <c r="I170" s="10">
        <v>45479</v>
      </c>
    </row>
    <row r="171" spans="1:9" x14ac:dyDescent="0.15">
      <c r="A171" s="9">
        <v>170</v>
      </c>
      <c r="B171" s="9" t="s">
        <v>9</v>
      </c>
      <c r="C171" s="9">
        <v>1915</v>
      </c>
      <c r="D171" s="10">
        <v>45639</v>
      </c>
      <c r="E171" s="13" t="str">
        <f>+HYPERLINK("http://trademark.i-assist.jp/data/china/image_1915th/79652036.pdf","79652036")</f>
        <v>79652036</v>
      </c>
      <c r="F171" s="9" t="s">
        <v>558</v>
      </c>
      <c r="G171" s="9" t="s">
        <v>550</v>
      </c>
      <c r="H171" s="9" t="s">
        <v>559</v>
      </c>
      <c r="I171" s="10">
        <v>45479</v>
      </c>
    </row>
    <row r="172" spans="1:9" x14ac:dyDescent="0.15">
      <c r="A172" s="9">
        <v>171</v>
      </c>
      <c r="B172" s="9" t="s">
        <v>9</v>
      </c>
      <c r="C172" s="9">
        <v>1915</v>
      </c>
      <c r="D172" s="10">
        <v>45639</v>
      </c>
      <c r="E172" s="13" t="str">
        <f>+HYPERLINK("http://trademark.i-assist.jp/data/china/image_1915th/79652296.pdf","79652296")</f>
        <v>79652296</v>
      </c>
      <c r="F172" s="9" t="s">
        <v>554</v>
      </c>
      <c r="G172" s="9" t="s">
        <v>550</v>
      </c>
      <c r="H172" s="12" t="s">
        <v>560</v>
      </c>
      <c r="I172" s="10">
        <v>45479</v>
      </c>
    </row>
    <row r="173" spans="1:9" x14ac:dyDescent="0.15">
      <c r="A173" s="9">
        <v>172</v>
      </c>
      <c r="B173" s="9" t="s">
        <v>9</v>
      </c>
      <c r="C173" s="9">
        <v>1915</v>
      </c>
      <c r="D173" s="10">
        <v>45639</v>
      </c>
      <c r="E173" s="13" t="str">
        <f>+HYPERLINK("http://trademark.i-assist.jp/data/china/image_1915th/79654098.pdf","79654098")</f>
        <v>79654098</v>
      </c>
      <c r="F173" s="9" t="s">
        <v>561</v>
      </c>
      <c r="G173" s="9" t="s">
        <v>562</v>
      </c>
      <c r="H173" s="9" t="s">
        <v>563</v>
      </c>
      <c r="I173" s="10">
        <v>45480</v>
      </c>
    </row>
    <row r="174" spans="1:9" x14ac:dyDescent="0.15">
      <c r="A174" s="9">
        <v>173</v>
      </c>
      <c r="B174" s="9" t="s">
        <v>9</v>
      </c>
      <c r="C174" s="9">
        <v>1915</v>
      </c>
      <c r="D174" s="10">
        <v>45639</v>
      </c>
      <c r="E174" s="13" t="str">
        <f>+HYPERLINK("http://trademark.i-assist.jp/data/china/image_1915th/79658388.pdf","79658388")</f>
        <v>79658388</v>
      </c>
      <c r="F174" s="9" t="s">
        <v>564</v>
      </c>
      <c r="G174" s="9" t="s">
        <v>565</v>
      </c>
      <c r="H174" s="9" t="s">
        <v>566</v>
      </c>
      <c r="I174" s="10">
        <v>45481</v>
      </c>
    </row>
    <row r="175" spans="1:9" x14ac:dyDescent="0.15">
      <c r="A175" s="9">
        <v>174</v>
      </c>
      <c r="B175" s="9" t="s">
        <v>9</v>
      </c>
      <c r="C175" s="9">
        <v>1915</v>
      </c>
      <c r="D175" s="10">
        <v>45639</v>
      </c>
      <c r="E175" s="13" t="str">
        <f>+HYPERLINK("http://trademark.i-assist.jp/data/china/image_1915th/79677732.pdf","79677732")</f>
        <v>79677732</v>
      </c>
      <c r="F175" s="9" t="s">
        <v>567</v>
      </c>
      <c r="G175" s="9" t="s">
        <v>568</v>
      </c>
      <c r="H175" s="9" t="s">
        <v>569</v>
      </c>
      <c r="I175" s="10">
        <v>45481</v>
      </c>
    </row>
    <row r="176" spans="1:9" x14ac:dyDescent="0.15">
      <c r="A176" s="9">
        <v>175</v>
      </c>
      <c r="B176" s="9" t="s">
        <v>9</v>
      </c>
      <c r="C176" s="9">
        <v>1915</v>
      </c>
      <c r="D176" s="10">
        <v>45639</v>
      </c>
      <c r="E176" s="13" t="str">
        <f>+HYPERLINK("http://trademark.i-assist.jp/data/china/image_1915th/79753560.pdf","79753560")</f>
        <v>79753560</v>
      </c>
      <c r="F176" s="9" t="s">
        <v>570</v>
      </c>
      <c r="G176" s="9" t="s">
        <v>570</v>
      </c>
      <c r="H176" s="9" t="s">
        <v>571</v>
      </c>
      <c r="I176" s="10">
        <v>45485</v>
      </c>
    </row>
    <row r="177" spans="1:9" x14ac:dyDescent="0.15">
      <c r="A177" s="9">
        <v>176</v>
      </c>
      <c r="B177" s="9" t="s">
        <v>9</v>
      </c>
      <c r="C177" s="9">
        <v>1915</v>
      </c>
      <c r="D177" s="10">
        <v>45639</v>
      </c>
      <c r="E177" s="13" t="str">
        <f>+HYPERLINK("http://trademark.i-assist.jp/data/china/image_1915th/79755156.pdf","79755156")</f>
        <v>79755156</v>
      </c>
      <c r="F177" s="9" t="s">
        <v>572</v>
      </c>
      <c r="G177" s="9" t="s">
        <v>573</v>
      </c>
      <c r="H177" s="9" t="s">
        <v>574</v>
      </c>
      <c r="I177" s="10">
        <v>45485</v>
      </c>
    </row>
    <row r="178" spans="1:9" x14ac:dyDescent="0.15">
      <c r="A178" s="9">
        <v>177</v>
      </c>
      <c r="B178" s="9" t="s">
        <v>9</v>
      </c>
      <c r="C178" s="9">
        <v>1915</v>
      </c>
      <c r="D178" s="10">
        <v>45639</v>
      </c>
      <c r="E178" s="13" t="str">
        <f>+HYPERLINK("http://trademark.i-assist.jp/data/china/image_1915th/79786526.pdf","79786526")</f>
        <v>79786526</v>
      </c>
      <c r="F178" s="12" t="s">
        <v>15</v>
      </c>
      <c r="G178" s="12" t="s">
        <v>575</v>
      </c>
      <c r="H178" s="12" t="s">
        <v>576</v>
      </c>
      <c r="I178" s="10">
        <v>45488</v>
      </c>
    </row>
    <row r="179" spans="1:9" x14ac:dyDescent="0.15">
      <c r="A179" s="9">
        <v>178</v>
      </c>
      <c r="B179" s="9" t="s">
        <v>9</v>
      </c>
      <c r="C179" s="9">
        <v>1915</v>
      </c>
      <c r="D179" s="10">
        <v>45639</v>
      </c>
      <c r="E179" s="13" t="str">
        <f>+HYPERLINK("http://trademark.i-assist.jp/data/china/image_1915th/79846528.pdf","79846528")</f>
        <v>79846528</v>
      </c>
      <c r="F179" s="9" t="s">
        <v>577</v>
      </c>
      <c r="G179" s="9" t="s">
        <v>578</v>
      </c>
      <c r="H179" s="9" t="s">
        <v>579</v>
      </c>
      <c r="I179" s="10">
        <v>45490</v>
      </c>
    </row>
    <row r="180" spans="1:9" x14ac:dyDescent="0.15">
      <c r="A180" s="9">
        <v>179</v>
      </c>
      <c r="B180" s="9" t="s">
        <v>9</v>
      </c>
      <c r="C180" s="9">
        <v>1915</v>
      </c>
      <c r="D180" s="10">
        <v>45639</v>
      </c>
      <c r="E180" s="13" t="str">
        <f>+HYPERLINK("http://trademark.i-assist.jp/data/china/image_1915th/79847654.pdf","79847654")</f>
        <v>79847654</v>
      </c>
      <c r="F180" s="9" t="s">
        <v>580</v>
      </c>
      <c r="G180" s="9" t="s">
        <v>581</v>
      </c>
      <c r="H180" s="9" t="s">
        <v>582</v>
      </c>
      <c r="I180" s="10">
        <v>45490</v>
      </c>
    </row>
    <row r="181" spans="1:9" x14ac:dyDescent="0.15">
      <c r="A181" s="9">
        <v>180</v>
      </c>
      <c r="B181" s="9" t="s">
        <v>9</v>
      </c>
      <c r="C181" s="9">
        <v>1915</v>
      </c>
      <c r="D181" s="10">
        <v>45639</v>
      </c>
      <c r="E181" s="13" t="str">
        <f>+HYPERLINK("http://trademark.i-assist.jp/data/china/image_1915th/79857389.pdf","79857389")</f>
        <v>79857389</v>
      </c>
      <c r="F181" s="12" t="s">
        <v>583</v>
      </c>
      <c r="G181" s="9" t="s">
        <v>584</v>
      </c>
      <c r="H181" s="9" t="s">
        <v>585</v>
      </c>
      <c r="I181" s="10">
        <v>45491</v>
      </c>
    </row>
    <row r="182" spans="1:9" x14ac:dyDescent="0.15">
      <c r="A182" s="9">
        <v>181</v>
      </c>
      <c r="B182" s="9" t="s">
        <v>9</v>
      </c>
      <c r="C182" s="9">
        <v>1915</v>
      </c>
      <c r="D182" s="10">
        <v>45639</v>
      </c>
      <c r="E182" s="13" t="str">
        <f>+HYPERLINK("http://trademark.i-assist.jp/data/china/image_1915th/79860545.pdf","79860545")</f>
        <v>79860545</v>
      </c>
      <c r="F182" s="9" t="s">
        <v>586</v>
      </c>
      <c r="G182" s="12" t="s">
        <v>587</v>
      </c>
      <c r="H182" s="9" t="s">
        <v>588</v>
      </c>
      <c r="I182" s="10">
        <v>45491</v>
      </c>
    </row>
    <row r="183" spans="1:9" x14ac:dyDescent="0.15">
      <c r="A183" s="9">
        <v>182</v>
      </c>
      <c r="B183" s="9" t="s">
        <v>9</v>
      </c>
      <c r="C183" s="9">
        <v>1915</v>
      </c>
      <c r="D183" s="10">
        <v>45639</v>
      </c>
      <c r="E183" s="13" t="str">
        <f>+HYPERLINK("http://trademark.i-assist.jp/data/china/image_1915th/79865190.pdf","79865190")</f>
        <v>79865190</v>
      </c>
      <c r="F183" s="9" t="s">
        <v>35</v>
      </c>
      <c r="G183" s="9" t="s">
        <v>589</v>
      </c>
      <c r="H183" s="9" t="s">
        <v>590</v>
      </c>
      <c r="I183" s="10">
        <v>45491</v>
      </c>
    </row>
    <row r="184" spans="1:9" x14ac:dyDescent="0.15">
      <c r="A184" s="9">
        <v>183</v>
      </c>
      <c r="B184" s="9" t="s">
        <v>9</v>
      </c>
      <c r="C184" s="9">
        <v>1915</v>
      </c>
      <c r="D184" s="10">
        <v>45639</v>
      </c>
      <c r="E184" s="13" t="str">
        <f>+HYPERLINK("http://trademark.i-assist.jp/data/china/image_1915th/79879727.pdf","79879727")</f>
        <v>79879727</v>
      </c>
      <c r="F184" s="9" t="s">
        <v>591</v>
      </c>
      <c r="G184" s="9" t="s">
        <v>592</v>
      </c>
      <c r="H184" s="9" t="s">
        <v>593</v>
      </c>
      <c r="I184" s="10">
        <v>45491</v>
      </c>
    </row>
    <row r="185" spans="1:9" x14ac:dyDescent="0.15">
      <c r="A185" s="9">
        <v>184</v>
      </c>
      <c r="B185" s="9" t="s">
        <v>9</v>
      </c>
      <c r="C185" s="9">
        <v>1915</v>
      </c>
      <c r="D185" s="10">
        <v>45639</v>
      </c>
      <c r="E185" s="13" t="str">
        <f>+HYPERLINK("http://trademark.i-assist.jp/data/china/image_1915th/79955508.pdf","79955508")</f>
        <v>79955508</v>
      </c>
      <c r="F185" s="9" t="s">
        <v>594</v>
      </c>
      <c r="G185" s="12" t="s">
        <v>595</v>
      </c>
      <c r="H185" s="9" t="s">
        <v>596</v>
      </c>
      <c r="I185" s="10">
        <v>45496</v>
      </c>
    </row>
    <row r="186" spans="1:9" x14ac:dyDescent="0.15">
      <c r="A186" s="9">
        <v>185</v>
      </c>
      <c r="B186" s="9" t="s">
        <v>9</v>
      </c>
      <c r="C186" s="9">
        <v>1915</v>
      </c>
      <c r="D186" s="10">
        <v>45639</v>
      </c>
      <c r="E186" s="13" t="str">
        <f>+HYPERLINK("http://trademark.i-assist.jp/data/china/image_1915th/79963150.pdf","79963150")</f>
        <v>79963150</v>
      </c>
      <c r="F186" s="12" t="s">
        <v>597</v>
      </c>
      <c r="G186" s="12" t="s">
        <v>598</v>
      </c>
      <c r="H186" s="9" t="s">
        <v>599</v>
      </c>
      <c r="I186" s="10">
        <v>45497</v>
      </c>
    </row>
    <row r="187" spans="1:9" x14ac:dyDescent="0.15">
      <c r="A187" s="9">
        <v>186</v>
      </c>
      <c r="B187" s="9" t="s">
        <v>9</v>
      </c>
      <c r="C187" s="9">
        <v>1915</v>
      </c>
      <c r="D187" s="10">
        <v>45639</v>
      </c>
      <c r="E187" s="13" t="str">
        <f>+HYPERLINK("http://trademark.i-assist.jp/data/china/image_1915th/80004513.pdf","80004513")</f>
        <v>80004513</v>
      </c>
      <c r="F187" s="9" t="s">
        <v>600</v>
      </c>
      <c r="G187" s="12" t="s">
        <v>601</v>
      </c>
      <c r="H187" s="9" t="s">
        <v>602</v>
      </c>
      <c r="I187" s="10">
        <v>45498</v>
      </c>
    </row>
    <row r="188" spans="1:9" x14ac:dyDescent="0.15">
      <c r="A188" s="9">
        <v>187</v>
      </c>
      <c r="B188" s="9" t="s">
        <v>9</v>
      </c>
      <c r="C188" s="9">
        <v>1915</v>
      </c>
      <c r="D188" s="10">
        <v>45639</v>
      </c>
      <c r="E188" s="13" t="str">
        <f>+HYPERLINK("http://trademark.i-assist.jp/data/china/image_1915th/80015270.pdf","80015270")</f>
        <v>80015270</v>
      </c>
      <c r="F188" s="12" t="s">
        <v>15</v>
      </c>
      <c r="G188" s="9" t="s">
        <v>603</v>
      </c>
      <c r="H188" s="9" t="s">
        <v>604</v>
      </c>
      <c r="I188" s="10">
        <v>45499</v>
      </c>
    </row>
    <row r="189" spans="1:9" x14ac:dyDescent="0.15">
      <c r="A189" s="9">
        <v>188</v>
      </c>
      <c r="B189" s="9" t="s">
        <v>9</v>
      </c>
      <c r="C189" s="9">
        <v>1915</v>
      </c>
      <c r="D189" s="10">
        <v>45639</v>
      </c>
      <c r="E189" s="13" t="str">
        <f>+HYPERLINK("http://trademark.i-assist.jp/data/china/image_1915th/80041494.pdf","80041494")</f>
        <v>80041494</v>
      </c>
      <c r="F189" s="9" t="s">
        <v>605</v>
      </c>
      <c r="G189" s="11" t="s">
        <v>18</v>
      </c>
      <c r="H189" s="9" t="s">
        <v>606</v>
      </c>
      <c r="I189" s="10">
        <v>45501</v>
      </c>
    </row>
    <row r="190" spans="1:9" x14ac:dyDescent="0.15">
      <c r="A190" s="9">
        <v>189</v>
      </c>
      <c r="B190" s="9" t="s">
        <v>9</v>
      </c>
      <c r="C190" s="9">
        <v>1915</v>
      </c>
      <c r="D190" s="10">
        <v>45639</v>
      </c>
      <c r="E190" s="13" t="str">
        <f>+HYPERLINK("http://trademark.i-assist.jp/data/china/image_1915th/80045228.pdf","80045228")</f>
        <v>80045228</v>
      </c>
      <c r="F190" s="9" t="s">
        <v>607</v>
      </c>
      <c r="G190" s="9" t="s">
        <v>608</v>
      </c>
      <c r="H190" s="9" t="s">
        <v>609</v>
      </c>
      <c r="I190" s="10">
        <v>45502</v>
      </c>
    </row>
    <row r="191" spans="1:9" x14ac:dyDescent="0.15">
      <c r="A191" s="9">
        <v>190</v>
      </c>
      <c r="B191" s="9" t="s">
        <v>9</v>
      </c>
      <c r="C191" s="9">
        <v>1915</v>
      </c>
      <c r="D191" s="10">
        <v>45639</v>
      </c>
      <c r="E191" s="13" t="str">
        <f>+HYPERLINK("http://trademark.i-assist.jp/data/china/image_1915th/80061660.pdf","80061660")</f>
        <v>80061660</v>
      </c>
      <c r="F191" s="9" t="s">
        <v>610</v>
      </c>
      <c r="G191" s="9" t="s">
        <v>608</v>
      </c>
      <c r="H191" s="9" t="s">
        <v>611</v>
      </c>
      <c r="I191" s="10">
        <v>45502</v>
      </c>
    </row>
    <row r="192" spans="1:9" x14ac:dyDescent="0.15">
      <c r="A192" s="9">
        <v>191</v>
      </c>
      <c r="B192" s="9" t="s">
        <v>9</v>
      </c>
      <c r="C192" s="9">
        <v>1915</v>
      </c>
      <c r="D192" s="10">
        <v>45639</v>
      </c>
      <c r="E192" s="13" t="str">
        <f>+HYPERLINK("http://trademark.i-assist.jp/data/china/image_1915th/80063209.pdf","80063209")</f>
        <v>80063209</v>
      </c>
      <c r="F192" s="12" t="s">
        <v>612</v>
      </c>
      <c r="G192" s="12" t="s">
        <v>613</v>
      </c>
      <c r="H192" s="9" t="s">
        <v>614</v>
      </c>
      <c r="I192" s="10">
        <v>45502</v>
      </c>
    </row>
    <row r="193" spans="1:9" x14ac:dyDescent="0.15">
      <c r="A193" s="9">
        <v>192</v>
      </c>
      <c r="B193" s="9" t="s">
        <v>9</v>
      </c>
      <c r="C193" s="9">
        <v>1915</v>
      </c>
      <c r="D193" s="10">
        <v>45639</v>
      </c>
      <c r="E193" s="13" t="str">
        <f>+HYPERLINK("http://trademark.i-assist.jp/data/china/image_1915th/80088112.pdf","80088112")</f>
        <v>80088112</v>
      </c>
      <c r="F193" s="12" t="s">
        <v>615</v>
      </c>
      <c r="G193" s="12" t="s">
        <v>616</v>
      </c>
      <c r="H193" s="12" t="s">
        <v>617</v>
      </c>
      <c r="I193" s="10">
        <v>45503</v>
      </c>
    </row>
    <row r="194" spans="1:9" x14ac:dyDescent="0.15">
      <c r="A194" s="9">
        <v>193</v>
      </c>
      <c r="B194" s="9" t="s">
        <v>9</v>
      </c>
      <c r="C194" s="9">
        <v>1915</v>
      </c>
      <c r="D194" s="10">
        <v>45639</v>
      </c>
      <c r="E194" s="13" t="str">
        <f>+HYPERLINK("http://trademark.i-assist.jp/data/china/image_1915th/80088120.pdf","80088120")</f>
        <v>80088120</v>
      </c>
      <c r="F194" s="12" t="s">
        <v>615</v>
      </c>
      <c r="G194" s="12" t="s">
        <v>616</v>
      </c>
      <c r="H194" s="9" t="s">
        <v>618</v>
      </c>
      <c r="I194" s="10">
        <v>45503</v>
      </c>
    </row>
    <row r="195" spans="1:9" x14ac:dyDescent="0.15">
      <c r="A195" s="9">
        <v>194</v>
      </c>
      <c r="B195" s="9" t="s">
        <v>9</v>
      </c>
      <c r="C195" s="9">
        <v>1915</v>
      </c>
      <c r="D195" s="10">
        <v>45639</v>
      </c>
      <c r="E195" s="13" t="str">
        <f>+HYPERLINK("http://trademark.i-assist.jp/data/china/image_1915th/80094895.pdf","80094895")</f>
        <v>80094895</v>
      </c>
      <c r="F195" s="9" t="s">
        <v>619</v>
      </c>
      <c r="G195" s="9" t="s">
        <v>620</v>
      </c>
      <c r="H195" s="9" t="s">
        <v>621</v>
      </c>
      <c r="I195" s="10">
        <v>45503</v>
      </c>
    </row>
    <row r="196" spans="1:9" x14ac:dyDescent="0.15">
      <c r="A196" s="9">
        <v>195</v>
      </c>
      <c r="B196" s="9" t="s">
        <v>9</v>
      </c>
      <c r="C196" s="9">
        <v>1915</v>
      </c>
      <c r="D196" s="10">
        <v>45639</v>
      </c>
      <c r="E196" s="13" t="str">
        <f>+HYPERLINK("http://trademark.i-assist.jp/data/china/image_1915th/80100182.pdf","80100182")</f>
        <v>80100182</v>
      </c>
      <c r="F196" s="9" t="s">
        <v>622</v>
      </c>
      <c r="G196" s="9" t="s">
        <v>544</v>
      </c>
      <c r="H196" s="9" t="s">
        <v>623</v>
      </c>
      <c r="I196" s="10">
        <v>45504</v>
      </c>
    </row>
    <row r="197" spans="1:9" x14ac:dyDescent="0.15">
      <c r="A197" s="9">
        <v>196</v>
      </c>
      <c r="B197" s="9" t="s">
        <v>9</v>
      </c>
      <c r="C197" s="9">
        <v>1915</v>
      </c>
      <c r="D197" s="10">
        <v>45639</v>
      </c>
      <c r="E197" s="13" t="str">
        <f>+HYPERLINK("http://trademark.i-assist.jp/data/china/image_1915th/80113364.pdf","80113364")</f>
        <v>80113364</v>
      </c>
      <c r="F197" s="9" t="s">
        <v>624</v>
      </c>
      <c r="G197" s="12" t="s">
        <v>625</v>
      </c>
      <c r="H197" s="9" t="s">
        <v>626</v>
      </c>
      <c r="I197" s="10">
        <v>45504</v>
      </c>
    </row>
    <row r="198" spans="1:9" x14ac:dyDescent="0.15">
      <c r="A198" s="9">
        <v>197</v>
      </c>
      <c r="B198" s="9" t="s">
        <v>9</v>
      </c>
      <c r="C198" s="9">
        <v>1915</v>
      </c>
      <c r="D198" s="10">
        <v>45639</v>
      </c>
      <c r="E198" s="13" t="str">
        <f>+HYPERLINK("http://trademark.i-assist.jp/data/china/image_1915th/80119932.pdf","80119932")</f>
        <v>80119932</v>
      </c>
      <c r="F198" s="9" t="s">
        <v>627</v>
      </c>
      <c r="G198" s="12" t="s">
        <v>628</v>
      </c>
      <c r="H198" s="9" t="s">
        <v>629</v>
      </c>
      <c r="I198" s="10">
        <v>45505</v>
      </c>
    </row>
    <row r="199" spans="1:9" x14ac:dyDescent="0.15">
      <c r="A199" s="9">
        <v>198</v>
      </c>
      <c r="B199" s="9" t="s">
        <v>9</v>
      </c>
      <c r="C199" s="9">
        <v>1915</v>
      </c>
      <c r="D199" s="10">
        <v>45639</v>
      </c>
      <c r="E199" s="13" t="str">
        <f>+HYPERLINK("http://trademark.i-assist.jp/data/china/image_1915th/80121038.pdf","80121038")</f>
        <v>80121038</v>
      </c>
      <c r="F199" s="9" t="s">
        <v>630</v>
      </c>
      <c r="G199" s="12" t="s">
        <v>631</v>
      </c>
      <c r="H199" s="12" t="s">
        <v>632</v>
      </c>
      <c r="I199" s="10">
        <v>45505</v>
      </c>
    </row>
    <row r="200" spans="1:9" x14ac:dyDescent="0.15">
      <c r="A200" s="9">
        <v>199</v>
      </c>
      <c r="B200" s="9" t="s">
        <v>9</v>
      </c>
      <c r="C200" s="9">
        <v>1915</v>
      </c>
      <c r="D200" s="10">
        <v>45639</v>
      </c>
      <c r="E200" s="13" t="str">
        <f>+HYPERLINK("http://trademark.i-assist.jp/data/china/image_1915th/80131147.pdf","80131147")</f>
        <v>80131147</v>
      </c>
      <c r="F200" s="9" t="s">
        <v>633</v>
      </c>
      <c r="G200" s="9" t="s">
        <v>634</v>
      </c>
      <c r="H200" s="9" t="s">
        <v>635</v>
      </c>
      <c r="I200" s="10">
        <v>45505</v>
      </c>
    </row>
    <row r="201" spans="1:9" x14ac:dyDescent="0.15">
      <c r="A201" s="9">
        <v>200</v>
      </c>
      <c r="B201" s="9" t="s">
        <v>9</v>
      </c>
      <c r="C201" s="9">
        <v>1915</v>
      </c>
      <c r="D201" s="10">
        <v>45639</v>
      </c>
      <c r="E201" s="13" t="str">
        <f>+HYPERLINK("http://trademark.i-assist.jp/data/china/image_1915th/80141400.pdf","80141400")</f>
        <v>80141400</v>
      </c>
      <c r="F201" s="9" t="s">
        <v>636</v>
      </c>
      <c r="G201" s="9" t="s">
        <v>637</v>
      </c>
      <c r="H201" s="9" t="s">
        <v>638</v>
      </c>
      <c r="I201" s="10">
        <v>45506</v>
      </c>
    </row>
    <row r="202" spans="1:9" x14ac:dyDescent="0.15">
      <c r="A202" s="9">
        <v>201</v>
      </c>
      <c r="B202" s="9" t="s">
        <v>9</v>
      </c>
      <c r="C202" s="9">
        <v>1915</v>
      </c>
      <c r="D202" s="10">
        <v>45639</v>
      </c>
      <c r="E202" s="13" t="str">
        <f>+HYPERLINK("http://trademark.i-assist.jp/data/china/image_1915th/80153271.pdf","80153271")</f>
        <v>80153271</v>
      </c>
      <c r="F202" s="9" t="s">
        <v>639</v>
      </c>
      <c r="G202" s="12" t="s">
        <v>640</v>
      </c>
      <c r="H202" s="12" t="s">
        <v>641</v>
      </c>
      <c r="I202" s="10">
        <v>45506</v>
      </c>
    </row>
    <row r="203" spans="1:9" x14ac:dyDescent="0.15">
      <c r="A203" s="9">
        <v>202</v>
      </c>
      <c r="B203" s="9" t="s">
        <v>9</v>
      </c>
      <c r="C203" s="9">
        <v>1915</v>
      </c>
      <c r="D203" s="10">
        <v>45639</v>
      </c>
      <c r="E203" s="13" t="str">
        <f>+HYPERLINK("http://trademark.i-assist.jp/data/china/image_1915th/80156506.pdf","80156506")</f>
        <v>80156506</v>
      </c>
      <c r="F203" s="12" t="s">
        <v>642</v>
      </c>
      <c r="G203" s="12" t="s">
        <v>640</v>
      </c>
      <c r="H203" s="9" t="s">
        <v>643</v>
      </c>
      <c r="I203" s="10">
        <v>45506</v>
      </c>
    </row>
    <row r="204" spans="1:9" x14ac:dyDescent="0.15">
      <c r="A204" s="9">
        <v>203</v>
      </c>
      <c r="B204" s="9" t="s">
        <v>9</v>
      </c>
      <c r="C204" s="9">
        <v>1915</v>
      </c>
      <c r="D204" s="10">
        <v>45639</v>
      </c>
      <c r="E204" s="13" t="str">
        <f>+HYPERLINK("http://trademark.i-assist.jp/data/china/image_1915th/80156516.pdf","80156516")</f>
        <v>80156516</v>
      </c>
      <c r="F204" s="12" t="s">
        <v>644</v>
      </c>
      <c r="G204" s="12" t="s">
        <v>645</v>
      </c>
      <c r="H204" s="9" t="s">
        <v>646</v>
      </c>
      <c r="I204" s="10">
        <v>45506</v>
      </c>
    </row>
    <row r="205" spans="1:9" x14ac:dyDescent="0.15">
      <c r="A205" s="9">
        <v>204</v>
      </c>
      <c r="B205" s="9" t="s">
        <v>9</v>
      </c>
      <c r="C205" s="9">
        <v>1915</v>
      </c>
      <c r="D205" s="10">
        <v>45639</v>
      </c>
      <c r="E205" s="13" t="str">
        <f>+HYPERLINK("http://trademark.i-assist.jp/data/china/image_1915th/80167970.pdf","80167970")</f>
        <v>80167970</v>
      </c>
      <c r="F205" s="9" t="s">
        <v>647</v>
      </c>
      <c r="G205" s="12" t="s">
        <v>648</v>
      </c>
      <c r="H205" s="9" t="s">
        <v>649</v>
      </c>
      <c r="I205" s="10">
        <v>45507</v>
      </c>
    </row>
    <row r="206" spans="1:9" x14ac:dyDescent="0.15">
      <c r="A206" s="9">
        <v>205</v>
      </c>
      <c r="B206" s="9" t="s">
        <v>9</v>
      </c>
      <c r="C206" s="9">
        <v>1915</v>
      </c>
      <c r="D206" s="10">
        <v>45639</v>
      </c>
      <c r="E206" s="13" t="str">
        <f>+HYPERLINK("http://trademark.i-assist.jp/data/china/image_1915th/80168410.pdf","80168410")</f>
        <v>80168410</v>
      </c>
      <c r="F206" s="12" t="s">
        <v>15</v>
      </c>
      <c r="G206" s="9" t="s">
        <v>650</v>
      </c>
      <c r="H206" s="9" t="s">
        <v>651</v>
      </c>
      <c r="I206" s="10">
        <v>45507</v>
      </c>
    </row>
    <row r="207" spans="1:9" x14ac:dyDescent="0.15">
      <c r="A207" s="9">
        <v>206</v>
      </c>
      <c r="B207" s="9" t="s">
        <v>9</v>
      </c>
      <c r="C207" s="9">
        <v>1915</v>
      </c>
      <c r="D207" s="10">
        <v>45639</v>
      </c>
      <c r="E207" s="13" t="str">
        <f>+HYPERLINK("http://trademark.i-assist.jp/data/china/image_1915th/80176621.pdf","80176621")</f>
        <v>80176621</v>
      </c>
      <c r="F207" s="9" t="s">
        <v>652</v>
      </c>
      <c r="G207" s="9" t="s">
        <v>653</v>
      </c>
      <c r="H207" s="9" t="s">
        <v>654</v>
      </c>
      <c r="I207" s="10">
        <v>45509</v>
      </c>
    </row>
    <row r="208" spans="1:9" x14ac:dyDescent="0.15">
      <c r="A208" s="9">
        <v>207</v>
      </c>
      <c r="B208" s="9" t="s">
        <v>9</v>
      </c>
      <c r="C208" s="9">
        <v>1915</v>
      </c>
      <c r="D208" s="10">
        <v>45639</v>
      </c>
      <c r="E208" s="13" t="str">
        <f>+HYPERLINK("http://trademark.i-assist.jp/data/china/image_1915th/80177787.pdf","80177787")</f>
        <v>80177787</v>
      </c>
      <c r="F208" s="9" t="s">
        <v>655</v>
      </c>
      <c r="G208" s="9" t="s">
        <v>656</v>
      </c>
      <c r="H208" s="9" t="s">
        <v>657</v>
      </c>
      <c r="I208" s="10">
        <v>45509</v>
      </c>
    </row>
    <row r="209" spans="1:9" x14ac:dyDescent="0.15">
      <c r="A209" s="9">
        <v>208</v>
      </c>
      <c r="B209" s="9" t="s">
        <v>9</v>
      </c>
      <c r="C209" s="9">
        <v>1915</v>
      </c>
      <c r="D209" s="10">
        <v>45639</v>
      </c>
      <c r="E209" s="13" t="str">
        <f>+HYPERLINK("http://trademark.i-assist.jp/data/china/image_1915th/80179531.pdf","80179531")</f>
        <v>80179531</v>
      </c>
      <c r="F209" s="9" t="s">
        <v>658</v>
      </c>
      <c r="G209" s="9" t="s">
        <v>659</v>
      </c>
      <c r="H209" s="9" t="s">
        <v>660</v>
      </c>
      <c r="I209" s="10">
        <v>45509</v>
      </c>
    </row>
    <row r="210" spans="1:9" x14ac:dyDescent="0.15">
      <c r="A210" s="9">
        <v>209</v>
      </c>
      <c r="B210" s="9" t="s">
        <v>9</v>
      </c>
      <c r="C210" s="9">
        <v>1915</v>
      </c>
      <c r="D210" s="10">
        <v>45639</v>
      </c>
      <c r="E210" s="13" t="str">
        <f>+HYPERLINK("http://trademark.i-assist.jp/data/china/image_1915th/80185236.pdf","80185236")</f>
        <v>80185236</v>
      </c>
      <c r="F210" s="9" t="s">
        <v>661</v>
      </c>
      <c r="G210" s="9" t="s">
        <v>656</v>
      </c>
      <c r="H210" s="9" t="s">
        <v>662</v>
      </c>
      <c r="I210" s="10">
        <v>45509</v>
      </c>
    </row>
    <row r="211" spans="1:9" x14ac:dyDescent="0.15">
      <c r="A211" s="9">
        <v>210</v>
      </c>
      <c r="B211" s="9" t="s">
        <v>9</v>
      </c>
      <c r="C211" s="9">
        <v>1915</v>
      </c>
      <c r="D211" s="10">
        <v>45639</v>
      </c>
      <c r="E211" s="13" t="str">
        <f>+HYPERLINK("http://trademark.i-assist.jp/data/china/image_1915th/80185915.pdf","80185915")</f>
        <v>80185915</v>
      </c>
      <c r="F211" s="12" t="s">
        <v>663</v>
      </c>
      <c r="G211" s="12" t="s">
        <v>664</v>
      </c>
      <c r="H211" s="9" t="s">
        <v>665</v>
      </c>
      <c r="I211" s="10">
        <v>45509</v>
      </c>
    </row>
    <row r="212" spans="1:9" x14ac:dyDescent="0.15">
      <c r="A212" s="9">
        <v>211</v>
      </c>
      <c r="B212" s="9" t="s">
        <v>9</v>
      </c>
      <c r="C212" s="9">
        <v>1915</v>
      </c>
      <c r="D212" s="10">
        <v>45639</v>
      </c>
      <c r="E212" s="13" t="str">
        <f>+HYPERLINK("http://trademark.i-assist.jp/data/china/image_1915th/80188008.pdf","80188008")</f>
        <v>80188008</v>
      </c>
      <c r="F212" s="9" t="s">
        <v>666</v>
      </c>
      <c r="G212" s="9" t="s">
        <v>667</v>
      </c>
      <c r="H212" s="9" t="s">
        <v>668</v>
      </c>
      <c r="I212" s="10">
        <v>45509</v>
      </c>
    </row>
    <row r="213" spans="1:9" x14ac:dyDescent="0.15">
      <c r="A213" s="9">
        <v>212</v>
      </c>
      <c r="B213" s="9" t="s">
        <v>9</v>
      </c>
      <c r="C213" s="9">
        <v>1915</v>
      </c>
      <c r="D213" s="10">
        <v>45639</v>
      </c>
      <c r="E213" s="13" t="str">
        <f>+HYPERLINK("http://trademark.i-assist.jp/data/china/image_1915th/80191212.pdf","80191212")</f>
        <v>80191212</v>
      </c>
      <c r="F213" s="12" t="s">
        <v>15</v>
      </c>
      <c r="G213" s="9" t="s">
        <v>667</v>
      </c>
      <c r="H213" s="12" t="s">
        <v>669</v>
      </c>
      <c r="I213" s="10">
        <v>45509</v>
      </c>
    </row>
    <row r="214" spans="1:9" x14ac:dyDescent="0.15">
      <c r="A214" s="9">
        <v>213</v>
      </c>
      <c r="B214" s="9" t="s">
        <v>9</v>
      </c>
      <c r="C214" s="9">
        <v>1915</v>
      </c>
      <c r="D214" s="10">
        <v>45639</v>
      </c>
      <c r="E214" s="13" t="str">
        <f>+HYPERLINK("http://trademark.i-assist.jp/data/china/image_1915th/80195911.pdf","80195911")</f>
        <v>80195911</v>
      </c>
      <c r="F214" s="9" t="s">
        <v>670</v>
      </c>
      <c r="G214" s="12" t="s">
        <v>671</v>
      </c>
      <c r="H214" s="12" t="s">
        <v>672</v>
      </c>
      <c r="I214" s="10">
        <v>45509</v>
      </c>
    </row>
    <row r="215" spans="1:9" x14ac:dyDescent="0.15">
      <c r="A215" s="9">
        <v>214</v>
      </c>
      <c r="B215" s="9" t="s">
        <v>9</v>
      </c>
      <c r="C215" s="9">
        <v>1915</v>
      </c>
      <c r="D215" s="10">
        <v>45639</v>
      </c>
      <c r="E215" s="13" t="str">
        <f>+HYPERLINK("http://trademark.i-assist.jp/data/china/image_1915th/80211320.pdf","80211320")</f>
        <v>80211320</v>
      </c>
      <c r="F215" s="12" t="s">
        <v>15</v>
      </c>
      <c r="G215" s="9" t="s">
        <v>79</v>
      </c>
      <c r="H215" s="9" t="s">
        <v>673</v>
      </c>
      <c r="I215" s="10">
        <v>45510</v>
      </c>
    </row>
    <row r="216" spans="1:9" x14ac:dyDescent="0.15">
      <c r="A216" s="9">
        <v>215</v>
      </c>
      <c r="B216" s="9" t="s">
        <v>9</v>
      </c>
      <c r="C216" s="9">
        <v>1915</v>
      </c>
      <c r="D216" s="10">
        <v>45639</v>
      </c>
      <c r="E216" s="13" t="str">
        <f>+HYPERLINK("http://trademark.i-assist.jp/data/china/image_1915th/80223114A.pdf","80223114A")</f>
        <v>80223114A</v>
      </c>
      <c r="F216" s="9" t="s">
        <v>674</v>
      </c>
      <c r="G216" s="12" t="s">
        <v>675</v>
      </c>
      <c r="H216" s="9" t="s">
        <v>676</v>
      </c>
      <c r="I216" s="10">
        <v>45511</v>
      </c>
    </row>
    <row r="217" spans="1:9" x14ac:dyDescent="0.15">
      <c r="A217" s="9">
        <v>216</v>
      </c>
      <c r="B217" s="9" t="s">
        <v>9</v>
      </c>
      <c r="C217" s="9">
        <v>1915</v>
      </c>
      <c r="D217" s="10">
        <v>45639</v>
      </c>
      <c r="E217" s="13" t="str">
        <f>+HYPERLINK("http://trademark.i-assist.jp/data/china/image_1915th/80224835.pdf","80224835")</f>
        <v>80224835</v>
      </c>
      <c r="F217" s="9" t="s">
        <v>677</v>
      </c>
      <c r="G217" s="9" t="s">
        <v>678</v>
      </c>
      <c r="H217" s="12" t="s">
        <v>679</v>
      </c>
      <c r="I217" s="10">
        <v>45511</v>
      </c>
    </row>
    <row r="218" spans="1:9" x14ac:dyDescent="0.15">
      <c r="A218" s="9">
        <v>217</v>
      </c>
      <c r="B218" s="9" t="s">
        <v>9</v>
      </c>
      <c r="C218" s="9">
        <v>1915</v>
      </c>
      <c r="D218" s="10">
        <v>45639</v>
      </c>
      <c r="E218" s="13" t="str">
        <f>+HYPERLINK("http://trademark.i-assist.jp/data/china/image_1915th/80228763.pdf","80228763")</f>
        <v>80228763</v>
      </c>
      <c r="F218" s="9" t="s">
        <v>680</v>
      </c>
      <c r="G218" s="9" t="s">
        <v>681</v>
      </c>
      <c r="H218" s="9" t="s">
        <v>682</v>
      </c>
      <c r="I218" s="10">
        <v>45511</v>
      </c>
    </row>
    <row r="219" spans="1:9" x14ac:dyDescent="0.15">
      <c r="A219" s="9">
        <v>218</v>
      </c>
      <c r="B219" s="9" t="s">
        <v>9</v>
      </c>
      <c r="C219" s="9">
        <v>1915</v>
      </c>
      <c r="D219" s="10">
        <v>45639</v>
      </c>
      <c r="E219" s="13" t="str">
        <f>+HYPERLINK("http://trademark.i-assist.jp/data/china/image_1915th/80233261.pdf","80233261")</f>
        <v>80233261</v>
      </c>
      <c r="F219" s="9" t="s">
        <v>683</v>
      </c>
      <c r="G219" s="9" t="s">
        <v>684</v>
      </c>
      <c r="H219" s="9" t="s">
        <v>685</v>
      </c>
      <c r="I219" s="10">
        <v>45511</v>
      </c>
    </row>
    <row r="220" spans="1:9" x14ac:dyDescent="0.15">
      <c r="A220" s="9">
        <v>219</v>
      </c>
      <c r="B220" s="9" t="s">
        <v>9</v>
      </c>
      <c r="C220" s="9">
        <v>1915</v>
      </c>
      <c r="D220" s="10">
        <v>45639</v>
      </c>
      <c r="E220" s="13" t="str">
        <f>+HYPERLINK("http://trademark.i-assist.jp/data/china/image_1915th/80235370.pdf","80235370")</f>
        <v>80235370</v>
      </c>
      <c r="F220" s="9" t="s">
        <v>686</v>
      </c>
      <c r="G220" s="9" t="s">
        <v>687</v>
      </c>
      <c r="H220" s="9" t="s">
        <v>688</v>
      </c>
      <c r="I220" s="10">
        <v>45511</v>
      </c>
    </row>
    <row r="221" spans="1:9" x14ac:dyDescent="0.15">
      <c r="A221" s="9">
        <v>220</v>
      </c>
      <c r="B221" s="9" t="s">
        <v>9</v>
      </c>
      <c r="C221" s="9">
        <v>1915</v>
      </c>
      <c r="D221" s="10">
        <v>45639</v>
      </c>
      <c r="E221" s="13" t="str">
        <f>+HYPERLINK("http://trademark.i-assist.jp/data/china/image_1915th/80259898.pdf","80259898")</f>
        <v>80259898</v>
      </c>
      <c r="F221" s="9" t="s">
        <v>689</v>
      </c>
      <c r="G221" s="9" t="s">
        <v>690</v>
      </c>
      <c r="H221" s="9" t="s">
        <v>691</v>
      </c>
      <c r="I221" s="10">
        <v>45512</v>
      </c>
    </row>
    <row r="222" spans="1:9" x14ac:dyDescent="0.15">
      <c r="A222" s="9">
        <v>221</v>
      </c>
      <c r="B222" s="9" t="s">
        <v>9</v>
      </c>
      <c r="C222" s="9">
        <v>1915</v>
      </c>
      <c r="D222" s="10">
        <v>45639</v>
      </c>
      <c r="E222" s="13" t="str">
        <f>+HYPERLINK("http://trademark.i-assist.jp/data/china/image_1915th/80260193.pdf","80260193")</f>
        <v>80260193</v>
      </c>
      <c r="F222" s="9" t="s">
        <v>692</v>
      </c>
      <c r="G222" s="9" t="s">
        <v>693</v>
      </c>
      <c r="H222" s="9" t="s">
        <v>694</v>
      </c>
      <c r="I222" s="10">
        <v>45512</v>
      </c>
    </row>
    <row r="223" spans="1:9" x14ac:dyDescent="0.15">
      <c r="A223" s="9">
        <v>222</v>
      </c>
      <c r="B223" s="9" t="s">
        <v>9</v>
      </c>
      <c r="C223" s="9">
        <v>1915</v>
      </c>
      <c r="D223" s="10">
        <v>45639</v>
      </c>
      <c r="E223" s="13" t="str">
        <f>+HYPERLINK("http://trademark.i-assist.jp/data/china/image_1915th/80261713.pdf","80261713")</f>
        <v>80261713</v>
      </c>
      <c r="F223" s="9" t="s">
        <v>695</v>
      </c>
      <c r="G223" s="9" t="s">
        <v>696</v>
      </c>
      <c r="H223" s="9" t="s">
        <v>697</v>
      </c>
      <c r="I223" s="10">
        <v>45512</v>
      </c>
    </row>
    <row r="224" spans="1:9" x14ac:dyDescent="0.15">
      <c r="A224" s="9">
        <v>223</v>
      </c>
      <c r="B224" s="9" t="s">
        <v>9</v>
      </c>
      <c r="C224" s="9">
        <v>1915</v>
      </c>
      <c r="D224" s="10">
        <v>45639</v>
      </c>
      <c r="E224" s="13" t="str">
        <f>+HYPERLINK("http://trademark.i-assist.jp/data/china/image_1915th/80262568.pdf","80262568")</f>
        <v>80262568</v>
      </c>
      <c r="F224" s="9" t="s">
        <v>698</v>
      </c>
      <c r="G224" s="9" t="s">
        <v>699</v>
      </c>
      <c r="H224" s="9" t="s">
        <v>700</v>
      </c>
      <c r="I224" s="10">
        <v>45512</v>
      </c>
    </row>
    <row r="225" spans="1:9" x14ac:dyDescent="0.15">
      <c r="A225" s="9">
        <v>224</v>
      </c>
      <c r="B225" s="9" t="s">
        <v>9</v>
      </c>
      <c r="C225" s="9">
        <v>1915</v>
      </c>
      <c r="D225" s="10">
        <v>45639</v>
      </c>
      <c r="E225" s="13" t="str">
        <f>+HYPERLINK("http://trademark.i-assist.jp/data/china/image_1915th/80263755.pdf","80263755")</f>
        <v>80263755</v>
      </c>
      <c r="F225" s="12" t="s">
        <v>15</v>
      </c>
      <c r="G225" s="9" t="s">
        <v>701</v>
      </c>
      <c r="H225" s="9" t="s">
        <v>702</v>
      </c>
      <c r="I225" s="10">
        <v>45512</v>
      </c>
    </row>
    <row r="226" spans="1:9" x14ac:dyDescent="0.15">
      <c r="A226" s="9">
        <v>225</v>
      </c>
      <c r="B226" s="9" t="s">
        <v>9</v>
      </c>
      <c r="C226" s="9">
        <v>1915</v>
      </c>
      <c r="D226" s="10">
        <v>45639</v>
      </c>
      <c r="E226" s="13" t="str">
        <f>+HYPERLINK("http://trademark.i-assist.jp/data/china/image_1915th/80271009.pdf","80271009")</f>
        <v>80271009</v>
      </c>
      <c r="F226" s="12" t="s">
        <v>15</v>
      </c>
      <c r="G226" s="9" t="s">
        <v>703</v>
      </c>
      <c r="H226" s="9" t="s">
        <v>704</v>
      </c>
      <c r="I226" s="10">
        <v>45513</v>
      </c>
    </row>
    <row r="227" spans="1:9" x14ac:dyDescent="0.15">
      <c r="A227" s="9">
        <v>226</v>
      </c>
      <c r="B227" s="9" t="s">
        <v>9</v>
      </c>
      <c r="C227" s="9">
        <v>1915</v>
      </c>
      <c r="D227" s="10">
        <v>45639</v>
      </c>
      <c r="E227" s="13" t="str">
        <f>+HYPERLINK("http://trademark.i-assist.jp/data/china/image_1915th/80276700.pdf","80276700")</f>
        <v>80276700</v>
      </c>
      <c r="F227" s="9" t="s">
        <v>705</v>
      </c>
      <c r="G227" s="9" t="s">
        <v>706</v>
      </c>
      <c r="H227" s="9" t="s">
        <v>707</v>
      </c>
      <c r="I227" s="10">
        <v>45513</v>
      </c>
    </row>
    <row r="228" spans="1:9" x14ac:dyDescent="0.15">
      <c r="A228" s="9">
        <v>227</v>
      </c>
      <c r="B228" s="9" t="s">
        <v>9</v>
      </c>
      <c r="C228" s="9">
        <v>1915</v>
      </c>
      <c r="D228" s="10">
        <v>45639</v>
      </c>
      <c r="E228" s="13" t="str">
        <f>+HYPERLINK("http://trademark.i-assist.jp/data/china/image_1915th/80283115.pdf","80283115")</f>
        <v>80283115</v>
      </c>
      <c r="F228" s="9" t="s">
        <v>708</v>
      </c>
      <c r="G228" s="9" t="s">
        <v>706</v>
      </c>
      <c r="H228" s="9" t="s">
        <v>709</v>
      </c>
      <c r="I228" s="10">
        <v>45513</v>
      </c>
    </row>
    <row r="229" spans="1:9" x14ac:dyDescent="0.15">
      <c r="A229" s="9">
        <v>228</v>
      </c>
      <c r="B229" s="9" t="s">
        <v>9</v>
      </c>
      <c r="C229" s="9">
        <v>1915</v>
      </c>
      <c r="D229" s="10">
        <v>45639</v>
      </c>
      <c r="E229" s="13" t="str">
        <f>+HYPERLINK("http://trademark.i-assist.jp/data/china/image_1915th/80285112.pdf","80285112")</f>
        <v>80285112</v>
      </c>
      <c r="F229" s="9" t="s">
        <v>710</v>
      </c>
      <c r="G229" s="9" t="s">
        <v>17</v>
      </c>
      <c r="H229" s="9" t="s">
        <v>711</v>
      </c>
      <c r="I229" s="10">
        <v>45513</v>
      </c>
    </row>
    <row r="230" spans="1:9" x14ac:dyDescent="0.15">
      <c r="A230" s="9">
        <v>229</v>
      </c>
      <c r="B230" s="9" t="s">
        <v>9</v>
      </c>
      <c r="C230" s="9">
        <v>1915</v>
      </c>
      <c r="D230" s="10">
        <v>45639</v>
      </c>
      <c r="E230" s="13" t="str">
        <f>+HYPERLINK("http://trademark.i-assist.jp/data/china/image_1915th/80286336.pdf","80286336")</f>
        <v>80286336</v>
      </c>
      <c r="F230" s="9" t="s">
        <v>712</v>
      </c>
      <c r="G230" s="9" t="s">
        <v>713</v>
      </c>
      <c r="H230" s="9" t="s">
        <v>714</v>
      </c>
      <c r="I230" s="10">
        <v>45513</v>
      </c>
    </row>
    <row r="231" spans="1:9" x14ac:dyDescent="0.15">
      <c r="A231" s="9">
        <v>230</v>
      </c>
      <c r="B231" s="9" t="s">
        <v>9</v>
      </c>
      <c r="C231" s="9">
        <v>1915</v>
      </c>
      <c r="D231" s="10">
        <v>45639</v>
      </c>
      <c r="E231" s="13" t="str">
        <f>+HYPERLINK("http://trademark.i-assist.jp/data/china/image_1915th/80289436.pdf","80289436")</f>
        <v>80289436</v>
      </c>
      <c r="F231" s="9" t="s">
        <v>715</v>
      </c>
      <c r="G231" s="9" t="s">
        <v>716</v>
      </c>
      <c r="H231" s="9" t="s">
        <v>717</v>
      </c>
      <c r="I231" s="10">
        <v>45513</v>
      </c>
    </row>
    <row r="232" spans="1:9" x14ac:dyDescent="0.15">
      <c r="A232" s="9">
        <v>231</v>
      </c>
      <c r="B232" s="9" t="s">
        <v>9</v>
      </c>
      <c r="C232" s="9">
        <v>1915</v>
      </c>
      <c r="D232" s="10">
        <v>45639</v>
      </c>
      <c r="E232" s="13" t="str">
        <f>+HYPERLINK("http://trademark.i-assist.jp/data/china/image_1915th/80290530.pdf","80290530")</f>
        <v>80290530</v>
      </c>
      <c r="F232" s="12" t="s">
        <v>15</v>
      </c>
      <c r="G232" s="12" t="s">
        <v>718</v>
      </c>
      <c r="H232" s="9" t="s">
        <v>719</v>
      </c>
      <c r="I232" s="10">
        <v>45513</v>
      </c>
    </row>
    <row r="233" spans="1:9" x14ac:dyDescent="0.15">
      <c r="A233" s="9">
        <v>232</v>
      </c>
      <c r="B233" s="9" t="s">
        <v>9</v>
      </c>
      <c r="C233" s="9">
        <v>1915</v>
      </c>
      <c r="D233" s="10">
        <v>45639</v>
      </c>
      <c r="E233" s="13" t="str">
        <f>+HYPERLINK("http://trademark.i-assist.jp/data/china/image_1915th/80295151.pdf","80295151")</f>
        <v>80295151</v>
      </c>
      <c r="F233" s="9" t="s">
        <v>720</v>
      </c>
      <c r="G233" s="9" t="s">
        <v>721</v>
      </c>
      <c r="H233" s="9" t="s">
        <v>722</v>
      </c>
      <c r="I233" s="10">
        <v>45514</v>
      </c>
    </row>
    <row r="234" spans="1:9" x14ac:dyDescent="0.15">
      <c r="A234" s="9">
        <v>233</v>
      </c>
      <c r="B234" s="9" t="s">
        <v>9</v>
      </c>
      <c r="C234" s="9">
        <v>1915</v>
      </c>
      <c r="D234" s="10">
        <v>45639</v>
      </c>
      <c r="E234" s="13" t="str">
        <f>+HYPERLINK("http://trademark.i-assist.jp/data/china/image_1915th/80298398.pdf","80298398")</f>
        <v>80298398</v>
      </c>
      <c r="F234" s="9" t="s">
        <v>723</v>
      </c>
      <c r="G234" s="9" t="s">
        <v>724</v>
      </c>
      <c r="H234" s="12" t="s">
        <v>725</v>
      </c>
      <c r="I234" s="10">
        <v>45515</v>
      </c>
    </row>
    <row r="235" spans="1:9" x14ac:dyDescent="0.15">
      <c r="A235" s="9">
        <v>234</v>
      </c>
      <c r="B235" s="9" t="s">
        <v>9</v>
      </c>
      <c r="C235" s="9">
        <v>1915</v>
      </c>
      <c r="D235" s="10">
        <v>45639</v>
      </c>
      <c r="E235" s="13" t="str">
        <f>+HYPERLINK("http://trademark.i-assist.jp/data/china/image_1915th/80298399.pdf","80298399")</f>
        <v>80298399</v>
      </c>
      <c r="F235" s="9" t="s">
        <v>726</v>
      </c>
      <c r="G235" s="9" t="s">
        <v>724</v>
      </c>
      <c r="H235" s="12" t="s">
        <v>727</v>
      </c>
      <c r="I235" s="10">
        <v>45515</v>
      </c>
    </row>
    <row r="236" spans="1:9" x14ac:dyDescent="0.15">
      <c r="A236" s="9">
        <v>235</v>
      </c>
      <c r="B236" s="9" t="s">
        <v>9</v>
      </c>
      <c r="C236" s="9">
        <v>1915</v>
      </c>
      <c r="D236" s="10">
        <v>45639</v>
      </c>
      <c r="E236" s="13" t="str">
        <f>+HYPERLINK("http://trademark.i-assist.jp/data/china/image_1915th/80307380.pdf","80307380")</f>
        <v>80307380</v>
      </c>
      <c r="F236" s="9" t="s">
        <v>728</v>
      </c>
      <c r="G236" s="9" t="s">
        <v>729</v>
      </c>
      <c r="H236" s="9" t="s">
        <v>730</v>
      </c>
      <c r="I236" s="10">
        <v>45516</v>
      </c>
    </row>
    <row r="237" spans="1:9" x14ac:dyDescent="0.15">
      <c r="A237" s="9">
        <v>236</v>
      </c>
      <c r="B237" s="9" t="s">
        <v>9</v>
      </c>
      <c r="C237" s="9">
        <v>1915</v>
      </c>
      <c r="D237" s="10">
        <v>45639</v>
      </c>
      <c r="E237" s="13" t="str">
        <f>+HYPERLINK("http://trademark.i-assist.jp/data/china/image_1915th/80313975.pdf","80313975")</f>
        <v>80313975</v>
      </c>
      <c r="F237" s="12" t="s">
        <v>731</v>
      </c>
      <c r="G237" s="12" t="s">
        <v>44</v>
      </c>
      <c r="H237" s="9" t="s">
        <v>732</v>
      </c>
      <c r="I237" s="10">
        <v>45516</v>
      </c>
    </row>
    <row r="238" spans="1:9" x14ac:dyDescent="0.15">
      <c r="A238" s="9">
        <v>237</v>
      </c>
      <c r="B238" s="9" t="s">
        <v>9</v>
      </c>
      <c r="C238" s="9">
        <v>1915</v>
      </c>
      <c r="D238" s="10">
        <v>45639</v>
      </c>
      <c r="E238" s="13" t="str">
        <f>+HYPERLINK("http://trademark.i-assist.jp/data/china/image_1915th/80344238.pdf","80344238")</f>
        <v>80344238</v>
      </c>
      <c r="F238" s="9" t="s">
        <v>733</v>
      </c>
      <c r="G238" s="9" t="s">
        <v>734</v>
      </c>
      <c r="H238" s="9" t="s">
        <v>735</v>
      </c>
      <c r="I238" s="10">
        <v>45517</v>
      </c>
    </row>
    <row r="239" spans="1:9" x14ac:dyDescent="0.15">
      <c r="A239" s="9">
        <v>238</v>
      </c>
      <c r="B239" s="9" t="s">
        <v>9</v>
      </c>
      <c r="C239" s="9">
        <v>1915</v>
      </c>
      <c r="D239" s="10">
        <v>45639</v>
      </c>
      <c r="E239" s="13" t="str">
        <f>+HYPERLINK("http://trademark.i-assist.jp/data/china/image_1915th/80347700.pdf","80347700")</f>
        <v>80347700</v>
      </c>
      <c r="F239" s="9" t="s">
        <v>736</v>
      </c>
      <c r="G239" s="9" t="s">
        <v>736</v>
      </c>
      <c r="H239" s="9" t="s">
        <v>737</v>
      </c>
      <c r="I239" s="10">
        <v>45518</v>
      </c>
    </row>
    <row r="240" spans="1:9" x14ac:dyDescent="0.15">
      <c r="A240" s="9">
        <v>239</v>
      </c>
      <c r="B240" s="9" t="s">
        <v>9</v>
      </c>
      <c r="C240" s="9">
        <v>1915</v>
      </c>
      <c r="D240" s="10">
        <v>45639</v>
      </c>
      <c r="E240" s="13" t="str">
        <f>+HYPERLINK("http://trademark.i-assist.jp/data/china/image_1915th/80352285.pdf","80352285")</f>
        <v>80352285</v>
      </c>
      <c r="F240" s="9" t="s">
        <v>738</v>
      </c>
      <c r="G240" s="12" t="s">
        <v>739</v>
      </c>
      <c r="H240" s="9" t="s">
        <v>740</v>
      </c>
      <c r="I240" s="10">
        <v>45518</v>
      </c>
    </row>
    <row r="241" spans="1:9" x14ac:dyDescent="0.15">
      <c r="A241" s="9">
        <v>240</v>
      </c>
      <c r="B241" s="9" t="s">
        <v>9</v>
      </c>
      <c r="C241" s="9">
        <v>1915</v>
      </c>
      <c r="D241" s="10">
        <v>45639</v>
      </c>
      <c r="E241" s="13" t="str">
        <f>+HYPERLINK("http://trademark.i-assist.jp/data/china/image_1915th/80368449.pdf","80368449")</f>
        <v>80368449</v>
      </c>
      <c r="F241" s="12" t="s">
        <v>15</v>
      </c>
      <c r="G241" s="9" t="s">
        <v>741</v>
      </c>
      <c r="H241" s="9" t="s">
        <v>742</v>
      </c>
      <c r="I241" s="10">
        <v>45518</v>
      </c>
    </row>
    <row r="242" spans="1:9" x14ac:dyDescent="0.15">
      <c r="A242" s="9">
        <v>241</v>
      </c>
      <c r="B242" s="9" t="s">
        <v>9</v>
      </c>
      <c r="C242" s="9">
        <v>1915</v>
      </c>
      <c r="D242" s="10">
        <v>45639</v>
      </c>
      <c r="E242" s="13" t="str">
        <f>+HYPERLINK("http://trademark.i-assist.jp/data/china/image_1915th/80372512.pdf","80372512")</f>
        <v>80372512</v>
      </c>
      <c r="F242" s="9" t="s">
        <v>743</v>
      </c>
      <c r="G242" s="12" t="s">
        <v>744</v>
      </c>
      <c r="H242" s="9" t="s">
        <v>745</v>
      </c>
      <c r="I242" s="10">
        <v>45519</v>
      </c>
    </row>
    <row r="243" spans="1:9" x14ac:dyDescent="0.15">
      <c r="A243" s="9">
        <v>242</v>
      </c>
      <c r="B243" s="9" t="s">
        <v>9</v>
      </c>
      <c r="C243" s="9">
        <v>1915</v>
      </c>
      <c r="D243" s="10">
        <v>45639</v>
      </c>
      <c r="E243" s="13" t="str">
        <f>+HYPERLINK("http://trademark.i-assist.jp/data/china/image_1915th/80387749.pdf","80387749")</f>
        <v>80387749</v>
      </c>
      <c r="F243" s="9" t="s">
        <v>746</v>
      </c>
      <c r="G243" s="12" t="s">
        <v>747</v>
      </c>
      <c r="H243" s="9" t="s">
        <v>748</v>
      </c>
      <c r="I243" s="10">
        <v>45519</v>
      </c>
    </row>
    <row r="244" spans="1:9" x14ac:dyDescent="0.15">
      <c r="A244" s="9">
        <v>243</v>
      </c>
      <c r="B244" s="9" t="s">
        <v>9</v>
      </c>
      <c r="C244" s="9">
        <v>1915</v>
      </c>
      <c r="D244" s="10">
        <v>45639</v>
      </c>
      <c r="E244" s="13" t="str">
        <f>+HYPERLINK("http://trademark.i-assist.jp/data/china/image_1915th/80387952.pdf","80387952")</f>
        <v>80387952</v>
      </c>
      <c r="F244" s="9" t="s">
        <v>749</v>
      </c>
      <c r="G244" s="9" t="s">
        <v>62</v>
      </c>
      <c r="H244" s="9" t="s">
        <v>750</v>
      </c>
      <c r="I244" s="10">
        <v>45519</v>
      </c>
    </row>
    <row r="245" spans="1:9" x14ac:dyDescent="0.15">
      <c r="A245" s="9">
        <v>244</v>
      </c>
      <c r="B245" s="9" t="s">
        <v>9</v>
      </c>
      <c r="C245" s="9">
        <v>1915</v>
      </c>
      <c r="D245" s="10">
        <v>45639</v>
      </c>
      <c r="E245" s="13" t="str">
        <f>+HYPERLINK("http://trademark.i-assist.jp/data/china/image_1915th/80388889.pdf","80388889")</f>
        <v>80388889</v>
      </c>
      <c r="F245" s="9" t="s">
        <v>751</v>
      </c>
      <c r="G245" s="9" t="s">
        <v>752</v>
      </c>
      <c r="H245" s="9" t="s">
        <v>753</v>
      </c>
      <c r="I245" s="10">
        <v>45519</v>
      </c>
    </row>
    <row r="246" spans="1:9" x14ac:dyDescent="0.15">
      <c r="A246" s="9">
        <v>245</v>
      </c>
      <c r="B246" s="9" t="s">
        <v>9</v>
      </c>
      <c r="C246" s="9">
        <v>1915</v>
      </c>
      <c r="D246" s="10">
        <v>45639</v>
      </c>
      <c r="E246" s="13" t="str">
        <f>+HYPERLINK("http://trademark.i-assist.jp/data/china/image_1915th/80391035.pdf","80391035")</f>
        <v>80391035</v>
      </c>
      <c r="F246" s="9" t="s">
        <v>754</v>
      </c>
      <c r="G246" s="9" t="s">
        <v>755</v>
      </c>
      <c r="H246" s="12" t="s">
        <v>756</v>
      </c>
      <c r="I246" s="10">
        <v>45519</v>
      </c>
    </row>
    <row r="247" spans="1:9" x14ac:dyDescent="0.15">
      <c r="A247" s="9">
        <v>246</v>
      </c>
      <c r="B247" s="9" t="s">
        <v>9</v>
      </c>
      <c r="C247" s="9">
        <v>1915</v>
      </c>
      <c r="D247" s="10">
        <v>45639</v>
      </c>
      <c r="E247" s="13" t="str">
        <f>+HYPERLINK("http://trademark.i-assist.jp/data/china/image_1915th/80397669.pdf","80397669")</f>
        <v>80397669</v>
      </c>
      <c r="F247" s="9" t="s">
        <v>757</v>
      </c>
      <c r="G247" s="9" t="s">
        <v>758</v>
      </c>
      <c r="H247" s="9" t="s">
        <v>759</v>
      </c>
      <c r="I247" s="10">
        <v>45520</v>
      </c>
    </row>
    <row r="248" spans="1:9" x14ac:dyDescent="0.15">
      <c r="A248" s="9">
        <v>247</v>
      </c>
      <c r="B248" s="9" t="s">
        <v>9</v>
      </c>
      <c r="C248" s="9">
        <v>1915</v>
      </c>
      <c r="D248" s="10">
        <v>45639</v>
      </c>
      <c r="E248" s="13" t="str">
        <f>+HYPERLINK("http://trademark.i-assist.jp/data/china/image_1915th/80401048.pdf","80401048")</f>
        <v>80401048</v>
      </c>
      <c r="F248" s="9" t="s">
        <v>760</v>
      </c>
      <c r="G248" s="9" t="s">
        <v>761</v>
      </c>
      <c r="H248" s="9" t="s">
        <v>762</v>
      </c>
      <c r="I248" s="10">
        <v>45520</v>
      </c>
    </row>
    <row r="249" spans="1:9" x14ac:dyDescent="0.15">
      <c r="A249" s="9">
        <v>248</v>
      </c>
      <c r="B249" s="9" t="s">
        <v>9</v>
      </c>
      <c r="C249" s="9">
        <v>1915</v>
      </c>
      <c r="D249" s="10">
        <v>45639</v>
      </c>
      <c r="E249" s="13" t="str">
        <f>+HYPERLINK("http://trademark.i-assist.jp/data/china/image_1915th/80402733.pdf","80402733")</f>
        <v>80402733</v>
      </c>
      <c r="F249" s="12" t="s">
        <v>15</v>
      </c>
      <c r="G249" s="12" t="s">
        <v>48</v>
      </c>
      <c r="H249" s="12" t="s">
        <v>763</v>
      </c>
      <c r="I249" s="10">
        <v>45520</v>
      </c>
    </row>
    <row r="250" spans="1:9" x14ac:dyDescent="0.15">
      <c r="A250" s="9">
        <v>249</v>
      </c>
      <c r="B250" s="9" t="s">
        <v>9</v>
      </c>
      <c r="C250" s="9">
        <v>1915</v>
      </c>
      <c r="D250" s="10">
        <v>45639</v>
      </c>
      <c r="E250" s="13" t="str">
        <f>+HYPERLINK("http://trademark.i-assist.jp/data/china/image_1915th/80405229.pdf","80405229")</f>
        <v>80405229</v>
      </c>
      <c r="F250" s="9" t="s">
        <v>764</v>
      </c>
      <c r="G250" s="9" t="s">
        <v>765</v>
      </c>
      <c r="H250" s="9" t="s">
        <v>766</v>
      </c>
      <c r="I250" s="10">
        <v>45520</v>
      </c>
    </row>
    <row r="251" spans="1:9" x14ac:dyDescent="0.15">
      <c r="A251" s="9">
        <v>250</v>
      </c>
      <c r="B251" s="9" t="s">
        <v>9</v>
      </c>
      <c r="C251" s="9">
        <v>1915</v>
      </c>
      <c r="D251" s="10">
        <v>45639</v>
      </c>
      <c r="E251" s="13" t="str">
        <f>+HYPERLINK("http://trademark.i-assist.jp/data/china/image_1915th/80413207.pdf","80413207")</f>
        <v>80413207</v>
      </c>
      <c r="F251" s="9" t="s">
        <v>767</v>
      </c>
      <c r="G251" s="9" t="s">
        <v>768</v>
      </c>
      <c r="H251" s="9" t="s">
        <v>769</v>
      </c>
      <c r="I251" s="10">
        <v>45520</v>
      </c>
    </row>
    <row r="252" spans="1:9" x14ac:dyDescent="0.15">
      <c r="A252" s="9">
        <v>251</v>
      </c>
      <c r="B252" s="9" t="s">
        <v>9</v>
      </c>
      <c r="C252" s="9">
        <v>1915</v>
      </c>
      <c r="D252" s="10">
        <v>45639</v>
      </c>
      <c r="E252" s="13" t="str">
        <f>+HYPERLINK("http://trademark.i-assist.jp/data/china/image_1915th/80421435.pdf","80421435")</f>
        <v>80421435</v>
      </c>
      <c r="F252" s="9" t="s">
        <v>770</v>
      </c>
      <c r="G252" s="9" t="s">
        <v>771</v>
      </c>
      <c r="H252" s="9" t="s">
        <v>772</v>
      </c>
      <c r="I252" s="10">
        <v>45521</v>
      </c>
    </row>
    <row r="253" spans="1:9" x14ac:dyDescent="0.15">
      <c r="A253" s="9">
        <v>252</v>
      </c>
      <c r="B253" s="9" t="s">
        <v>9</v>
      </c>
      <c r="C253" s="9">
        <v>1915</v>
      </c>
      <c r="D253" s="10">
        <v>45639</v>
      </c>
      <c r="E253" s="13" t="str">
        <f>+HYPERLINK("http://trademark.i-assist.jp/data/china/image_1915th/80427601.pdf","80427601")</f>
        <v>80427601</v>
      </c>
      <c r="F253" s="9" t="s">
        <v>773</v>
      </c>
      <c r="G253" s="9" t="s">
        <v>774</v>
      </c>
      <c r="H253" s="9" t="s">
        <v>775</v>
      </c>
      <c r="I253" s="10">
        <v>45523</v>
      </c>
    </row>
    <row r="254" spans="1:9" x14ac:dyDescent="0.15">
      <c r="A254" s="9">
        <v>253</v>
      </c>
      <c r="B254" s="9" t="s">
        <v>9</v>
      </c>
      <c r="C254" s="9">
        <v>1915</v>
      </c>
      <c r="D254" s="10">
        <v>45639</v>
      </c>
      <c r="E254" s="13" t="str">
        <f>+HYPERLINK("http://trademark.i-assist.jp/data/china/image_1915th/80433012.pdf","80433012")</f>
        <v>80433012</v>
      </c>
      <c r="F254" s="12" t="s">
        <v>15</v>
      </c>
      <c r="G254" s="9" t="s">
        <v>52</v>
      </c>
      <c r="H254" s="9" t="s">
        <v>776</v>
      </c>
      <c r="I254" s="10">
        <v>45523</v>
      </c>
    </row>
    <row r="255" spans="1:9" x14ac:dyDescent="0.15">
      <c r="A255" s="9">
        <v>254</v>
      </c>
      <c r="B255" s="9" t="s">
        <v>9</v>
      </c>
      <c r="C255" s="9">
        <v>1915</v>
      </c>
      <c r="D255" s="10">
        <v>45639</v>
      </c>
      <c r="E255" s="13" t="str">
        <f>+HYPERLINK("http://trademark.i-assist.jp/data/china/image_1915th/80435477.pdf","80435477")</f>
        <v>80435477</v>
      </c>
      <c r="F255" s="9" t="s">
        <v>777</v>
      </c>
      <c r="G255" s="12" t="s">
        <v>778</v>
      </c>
      <c r="H255" s="12" t="s">
        <v>779</v>
      </c>
      <c r="I255" s="10">
        <v>45523</v>
      </c>
    </row>
    <row r="256" spans="1:9" x14ac:dyDescent="0.15">
      <c r="A256" s="9">
        <v>255</v>
      </c>
      <c r="B256" s="9" t="s">
        <v>9</v>
      </c>
      <c r="C256" s="9">
        <v>1915</v>
      </c>
      <c r="D256" s="10">
        <v>45639</v>
      </c>
      <c r="E256" s="13" t="str">
        <f>+HYPERLINK("http://trademark.i-assist.jp/data/china/image_1915th/80435780.pdf","80435780")</f>
        <v>80435780</v>
      </c>
      <c r="F256" s="9" t="s">
        <v>780</v>
      </c>
      <c r="G256" s="12" t="s">
        <v>781</v>
      </c>
      <c r="H256" s="9" t="s">
        <v>782</v>
      </c>
      <c r="I256" s="10">
        <v>45523</v>
      </c>
    </row>
    <row r="257" spans="1:9" x14ac:dyDescent="0.15">
      <c r="A257" s="9">
        <v>256</v>
      </c>
      <c r="B257" s="9" t="s">
        <v>9</v>
      </c>
      <c r="C257" s="9">
        <v>1915</v>
      </c>
      <c r="D257" s="10">
        <v>45639</v>
      </c>
      <c r="E257" s="13" t="str">
        <f>+HYPERLINK("http://trademark.i-assist.jp/data/china/image_1915th/80440275.pdf","80440275")</f>
        <v>80440275</v>
      </c>
      <c r="F257" s="9" t="s">
        <v>783</v>
      </c>
      <c r="G257" s="9" t="s">
        <v>784</v>
      </c>
      <c r="H257" s="9" t="s">
        <v>785</v>
      </c>
      <c r="I257" s="10">
        <v>45523</v>
      </c>
    </row>
    <row r="258" spans="1:9" x14ac:dyDescent="0.15">
      <c r="A258" s="9">
        <v>257</v>
      </c>
      <c r="B258" s="9" t="s">
        <v>9</v>
      </c>
      <c r="C258" s="9">
        <v>1915</v>
      </c>
      <c r="D258" s="10">
        <v>45639</v>
      </c>
      <c r="E258" s="13" t="str">
        <f>+HYPERLINK("http://trademark.i-assist.jp/data/china/image_1915th/80449467.pdf","80449467")</f>
        <v>80449467</v>
      </c>
      <c r="F258" s="9" t="s">
        <v>786</v>
      </c>
      <c r="G258" s="9" t="s">
        <v>787</v>
      </c>
      <c r="H258" s="9" t="s">
        <v>788</v>
      </c>
      <c r="I258" s="10">
        <v>45523</v>
      </c>
    </row>
    <row r="259" spans="1:9" x14ac:dyDescent="0.15">
      <c r="A259" s="9">
        <v>258</v>
      </c>
      <c r="B259" s="9" t="s">
        <v>9</v>
      </c>
      <c r="C259" s="9">
        <v>1915</v>
      </c>
      <c r="D259" s="10">
        <v>45639</v>
      </c>
      <c r="E259" s="13" t="str">
        <f>+HYPERLINK("http://trademark.i-assist.jp/data/china/image_1915th/80459356.pdf","80459356")</f>
        <v>80459356</v>
      </c>
      <c r="F259" s="9" t="s">
        <v>789</v>
      </c>
      <c r="G259" s="12" t="s">
        <v>790</v>
      </c>
      <c r="H259" s="12" t="s">
        <v>791</v>
      </c>
      <c r="I259" s="10">
        <v>45524</v>
      </c>
    </row>
    <row r="260" spans="1:9" x14ac:dyDescent="0.15">
      <c r="A260" s="9">
        <v>259</v>
      </c>
      <c r="B260" s="9" t="s">
        <v>9</v>
      </c>
      <c r="C260" s="9">
        <v>1915</v>
      </c>
      <c r="D260" s="10">
        <v>45639</v>
      </c>
      <c r="E260" s="13" t="str">
        <f>+HYPERLINK("http://trademark.i-assist.jp/data/china/image_1915th/80459743.pdf","80459743")</f>
        <v>80459743</v>
      </c>
      <c r="F260" s="12" t="s">
        <v>15</v>
      </c>
      <c r="G260" s="12" t="s">
        <v>792</v>
      </c>
      <c r="H260" s="9" t="s">
        <v>793</v>
      </c>
      <c r="I260" s="10">
        <v>45524</v>
      </c>
    </row>
    <row r="261" spans="1:9" x14ac:dyDescent="0.15">
      <c r="A261" s="9">
        <v>260</v>
      </c>
      <c r="B261" s="9" t="s">
        <v>9</v>
      </c>
      <c r="C261" s="9">
        <v>1915</v>
      </c>
      <c r="D261" s="10">
        <v>45639</v>
      </c>
      <c r="E261" s="13" t="str">
        <f>+HYPERLINK("http://trademark.i-assist.jp/data/china/image_1915th/80460135.pdf","80460135")</f>
        <v>80460135</v>
      </c>
      <c r="F261" s="9" t="s">
        <v>794</v>
      </c>
      <c r="G261" s="12" t="s">
        <v>795</v>
      </c>
      <c r="H261" s="9" t="s">
        <v>796</v>
      </c>
      <c r="I261" s="10">
        <v>45524</v>
      </c>
    </row>
    <row r="262" spans="1:9" x14ac:dyDescent="0.15">
      <c r="A262" s="9">
        <v>261</v>
      </c>
      <c r="B262" s="9" t="s">
        <v>9</v>
      </c>
      <c r="C262" s="9">
        <v>1915</v>
      </c>
      <c r="D262" s="10">
        <v>45639</v>
      </c>
      <c r="E262" s="13" t="str">
        <f>+HYPERLINK("http://trademark.i-assist.jp/data/china/image_1915th/80460640.pdf","80460640")</f>
        <v>80460640</v>
      </c>
      <c r="F262" s="9" t="s">
        <v>797</v>
      </c>
      <c r="G262" s="9" t="s">
        <v>798</v>
      </c>
      <c r="H262" s="9" t="s">
        <v>799</v>
      </c>
      <c r="I262" s="10">
        <v>45524</v>
      </c>
    </row>
    <row r="263" spans="1:9" x14ac:dyDescent="0.15">
      <c r="A263" s="9">
        <v>262</v>
      </c>
      <c r="B263" s="9" t="s">
        <v>9</v>
      </c>
      <c r="C263" s="9">
        <v>1915</v>
      </c>
      <c r="D263" s="10">
        <v>45639</v>
      </c>
      <c r="E263" s="13" t="str">
        <f>+HYPERLINK("http://trademark.i-assist.jp/data/china/image_1915th/80460823.pdf","80460823")</f>
        <v>80460823</v>
      </c>
      <c r="F263" s="9" t="s">
        <v>800</v>
      </c>
      <c r="G263" s="9" t="s">
        <v>801</v>
      </c>
      <c r="H263" s="9" t="s">
        <v>802</v>
      </c>
      <c r="I263" s="10">
        <v>45524</v>
      </c>
    </row>
    <row r="264" spans="1:9" x14ac:dyDescent="0.15">
      <c r="A264" s="9">
        <v>263</v>
      </c>
      <c r="B264" s="9" t="s">
        <v>9</v>
      </c>
      <c r="C264" s="9">
        <v>1915</v>
      </c>
      <c r="D264" s="10">
        <v>45639</v>
      </c>
      <c r="E264" s="13" t="str">
        <f>+HYPERLINK("http://trademark.i-assist.jp/data/china/image_1915th/80462272.pdf","80462272")</f>
        <v>80462272</v>
      </c>
      <c r="F264" s="9" t="s">
        <v>803</v>
      </c>
      <c r="G264" s="9" t="s">
        <v>804</v>
      </c>
      <c r="H264" s="9" t="s">
        <v>805</v>
      </c>
      <c r="I264" s="10">
        <v>45524</v>
      </c>
    </row>
    <row r="265" spans="1:9" x14ac:dyDescent="0.15">
      <c r="A265" s="9">
        <v>264</v>
      </c>
      <c r="B265" s="9" t="s">
        <v>9</v>
      </c>
      <c r="C265" s="9">
        <v>1915</v>
      </c>
      <c r="D265" s="10">
        <v>45639</v>
      </c>
      <c r="E265" s="13" t="str">
        <f>+HYPERLINK("http://trademark.i-assist.jp/data/china/image_1915th/80463859.pdf","80463859")</f>
        <v>80463859</v>
      </c>
      <c r="F265" s="9" t="s">
        <v>806</v>
      </c>
      <c r="G265" s="9" t="s">
        <v>807</v>
      </c>
      <c r="H265" s="9" t="s">
        <v>808</v>
      </c>
      <c r="I265" s="10">
        <v>45524</v>
      </c>
    </row>
    <row r="266" spans="1:9" x14ac:dyDescent="0.15">
      <c r="A266" s="9">
        <v>265</v>
      </c>
      <c r="B266" s="9" t="s">
        <v>9</v>
      </c>
      <c r="C266" s="9">
        <v>1915</v>
      </c>
      <c r="D266" s="10">
        <v>45639</v>
      </c>
      <c r="E266" s="13" t="str">
        <f>+HYPERLINK("http://trademark.i-assist.jp/data/china/image_1915th/80464867.pdf","80464867")</f>
        <v>80464867</v>
      </c>
      <c r="F266" s="9" t="s">
        <v>809</v>
      </c>
      <c r="G266" s="9" t="s">
        <v>807</v>
      </c>
      <c r="H266" s="9" t="s">
        <v>810</v>
      </c>
      <c r="I266" s="10">
        <v>45524</v>
      </c>
    </row>
    <row r="267" spans="1:9" x14ac:dyDescent="0.15">
      <c r="A267" s="9">
        <v>266</v>
      </c>
      <c r="B267" s="9" t="s">
        <v>9</v>
      </c>
      <c r="C267" s="9">
        <v>1915</v>
      </c>
      <c r="D267" s="10">
        <v>45639</v>
      </c>
      <c r="E267" s="13" t="str">
        <f>+HYPERLINK("http://trademark.i-assist.jp/data/china/image_1915th/80465319.pdf","80465319")</f>
        <v>80465319</v>
      </c>
      <c r="F267" s="9" t="s">
        <v>811</v>
      </c>
      <c r="G267" s="9" t="s">
        <v>807</v>
      </c>
      <c r="H267" s="9" t="s">
        <v>812</v>
      </c>
      <c r="I267" s="10">
        <v>45524</v>
      </c>
    </row>
    <row r="268" spans="1:9" x14ac:dyDescent="0.15">
      <c r="A268" s="9">
        <v>267</v>
      </c>
      <c r="B268" s="9" t="s">
        <v>9</v>
      </c>
      <c r="C268" s="9">
        <v>1915</v>
      </c>
      <c r="D268" s="10">
        <v>45639</v>
      </c>
      <c r="E268" s="13" t="str">
        <f>+HYPERLINK("http://trademark.i-assist.jp/data/china/image_1915th/80465614.pdf","80465614")</f>
        <v>80465614</v>
      </c>
      <c r="F268" s="12" t="s">
        <v>813</v>
      </c>
      <c r="G268" s="9" t="s">
        <v>814</v>
      </c>
      <c r="H268" s="9" t="s">
        <v>815</v>
      </c>
      <c r="I268" s="10">
        <v>45524</v>
      </c>
    </row>
    <row r="269" spans="1:9" x14ac:dyDescent="0.15">
      <c r="A269" s="9">
        <v>268</v>
      </c>
      <c r="B269" s="9" t="s">
        <v>9</v>
      </c>
      <c r="C269" s="9">
        <v>1915</v>
      </c>
      <c r="D269" s="10">
        <v>45639</v>
      </c>
      <c r="E269" s="13" t="str">
        <f>+HYPERLINK("http://trademark.i-assist.jp/data/china/image_1915th/80469573.pdf","80469573")</f>
        <v>80469573</v>
      </c>
      <c r="F269" s="9" t="s">
        <v>816</v>
      </c>
      <c r="G269" s="12" t="s">
        <v>790</v>
      </c>
      <c r="H269" s="9" t="s">
        <v>817</v>
      </c>
      <c r="I269" s="10">
        <v>45524</v>
      </c>
    </row>
    <row r="270" spans="1:9" x14ac:dyDescent="0.15">
      <c r="A270" s="9">
        <v>269</v>
      </c>
      <c r="B270" s="9" t="s">
        <v>9</v>
      </c>
      <c r="C270" s="9">
        <v>1915</v>
      </c>
      <c r="D270" s="10">
        <v>45639</v>
      </c>
      <c r="E270" s="13" t="str">
        <f>+HYPERLINK("http://trademark.i-assist.jp/data/china/image_1915th/80469888.pdf","80469888")</f>
        <v>80469888</v>
      </c>
      <c r="F270" s="12" t="s">
        <v>15</v>
      </c>
      <c r="G270" s="9" t="s">
        <v>818</v>
      </c>
      <c r="H270" s="12" t="s">
        <v>819</v>
      </c>
      <c r="I270" s="10">
        <v>45524</v>
      </c>
    </row>
    <row r="271" spans="1:9" x14ac:dyDescent="0.15">
      <c r="A271" s="9">
        <v>270</v>
      </c>
      <c r="B271" s="9" t="s">
        <v>9</v>
      </c>
      <c r="C271" s="9">
        <v>1915</v>
      </c>
      <c r="D271" s="10">
        <v>45639</v>
      </c>
      <c r="E271" s="13" t="str">
        <f>+HYPERLINK("http://trademark.i-assist.jp/data/china/image_1915th/80470776.pdf","80470776")</f>
        <v>80470776</v>
      </c>
      <c r="F271" s="9" t="s">
        <v>820</v>
      </c>
      <c r="G271" s="9" t="s">
        <v>821</v>
      </c>
      <c r="H271" s="9" t="s">
        <v>822</v>
      </c>
      <c r="I271" s="10">
        <v>45524</v>
      </c>
    </row>
    <row r="272" spans="1:9" x14ac:dyDescent="0.15">
      <c r="A272" s="9">
        <v>271</v>
      </c>
      <c r="B272" s="9" t="s">
        <v>9</v>
      </c>
      <c r="C272" s="9">
        <v>1915</v>
      </c>
      <c r="D272" s="10">
        <v>45639</v>
      </c>
      <c r="E272" s="13" t="str">
        <f>+HYPERLINK("http://trademark.i-assist.jp/data/china/image_1915th/80471852.pdf","80471852")</f>
        <v>80471852</v>
      </c>
      <c r="F272" s="9" t="s">
        <v>823</v>
      </c>
      <c r="G272" s="9" t="s">
        <v>824</v>
      </c>
      <c r="H272" s="9" t="s">
        <v>825</v>
      </c>
      <c r="I272" s="10">
        <v>45524</v>
      </c>
    </row>
    <row r="273" spans="1:9" x14ac:dyDescent="0.15">
      <c r="A273" s="9">
        <v>272</v>
      </c>
      <c r="B273" s="9" t="s">
        <v>9</v>
      </c>
      <c r="C273" s="9">
        <v>1915</v>
      </c>
      <c r="D273" s="10">
        <v>45639</v>
      </c>
      <c r="E273" s="13" t="str">
        <f>+HYPERLINK("http://trademark.i-assist.jp/data/china/image_1915th/80472698.pdf","80472698")</f>
        <v>80472698</v>
      </c>
      <c r="F273" s="9" t="s">
        <v>826</v>
      </c>
      <c r="G273" s="9" t="s">
        <v>827</v>
      </c>
      <c r="H273" s="9" t="s">
        <v>828</v>
      </c>
      <c r="I273" s="10">
        <v>45524</v>
      </c>
    </row>
    <row r="274" spans="1:9" x14ac:dyDescent="0.15">
      <c r="A274" s="9">
        <v>273</v>
      </c>
      <c r="B274" s="9" t="s">
        <v>9</v>
      </c>
      <c r="C274" s="9">
        <v>1915</v>
      </c>
      <c r="D274" s="10">
        <v>45639</v>
      </c>
      <c r="E274" s="13" t="str">
        <f>+HYPERLINK("http://trademark.i-assist.jp/data/china/image_1915th/80485044.pdf","80485044")</f>
        <v>80485044</v>
      </c>
      <c r="F274" s="9" t="s">
        <v>829</v>
      </c>
      <c r="G274" s="9" t="s">
        <v>830</v>
      </c>
      <c r="H274" s="9" t="s">
        <v>831</v>
      </c>
      <c r="I274" s="10">
        <v>45525</v>
      </c>
    </row>
    <row r="275" spans="1:9" x14ac:dyDescent="0.15">
      <c r="A275" s="9">
        <v>274</v>
      </c>
      <c r="B275" s="9" t="s">
        <v>9</v>
      </c>
      <c r="C275" s="9">
        <v>1915</v>
      </c>
      <c r="D275" s="10">
        <v>45639</v>
      </c>
      <c r="E275" s="13" t="str">
        <f>+HYPERLINK("http://trademark.i-assist.jp/data/china/image_1915th/80486242.pdf","80486242")</f>
        <v>80486242</v>
      </c>
      <c r="F275" s="9" t="s">
        <v>832</v>
      </c>
      <c r="G275" s="9" t="s">
        <v>833</v>
      </c>
      <c r="H275" s="9" t="s">
        <v>834</v>
      </c>
      <c r="I275" s="10">
        <v>45525</v>
      </c>
    </row>
    <row r="276" spans="1:9" x14ac:dyDescent="0.15">
      <c r="A276" s="9">
        <v>275</v>
      </c>
      <c r="B276" s="9" t="s">
        <v>9</v>
      </c>
      <c r="C276" s="9">
        <v>1915</v>
      </c>
      <c r="D276" s="10">
        <v>45639</v>
      </c>
      <c r="E276" s="13" t="str">
        <f>+HYPERLINK("http://trademark.i-assist.jp/data/china/image_1915th/80487145.pdf","80487145")</f>
        <v>80487145</v>
      </c>
      <c r="F276" s="9" t="s">
        <v>835</v>
      </c>
      <c r="G276" s="9" t="s">
        <v>836</v>
      </c>
      <c r="H276" s="9" t="s">
        <v>837</v>
      </c>
      <c r="I276" s="10">
        <v>45525</v>
      </c>
    </row>
    <row r="277" spans="1:9" x14ac:dyDescent="0.15">
      <c r="A277" s="9">
        <v>276</v>
      </c>
      <c r="B277" s="9" t="s">
        <v>9</v>
      </c>
      <c r="C277" s="9">
        <v>1915</v>
      </c>
      <c r="D277" s="10">
        <v>45639</v>
      </c>
      <c r="E277" s="13" t="str">
        <f>+HYPERLINK("http://trademark.i-assist.jp/data/china/image_1915th/80490926.pdf","80490926")</f>
        <v>80490926</v>
      </c>
      <c r="F277" s="12" t="s">
        <v>838</v>
      </c>
      <c r="G277" s="9" t="s">
        <v>830</v>
      </c>
      <c r="H277" s="12" t="s">
        <v>839</v>
      </c>
      <c r="I277" s="10">
        <v>45525</v>
      </c>
    </row>
    <row r="278" spans="1:9" x14ac:dyDescent="0.15">
      <c r="A278" s="9">
        <v>277</v>
      </c>
      <c r="B278" s="9" t="s">
        <v>9</v>
      </c>
      <c r="C278" s="9">
        <v>1915</v>
      </c>
      <c r="D278" s="10">
        <v>45639</v>
      </c>
      <c r="E278" s="13" t="str">
        <f>+HYPERLINK("http://trademark.i-assist.jp/data/china/image_1915th/80491179.pdf","80491179")</f>
        <v>80491179</v>
      </c>
      <c r="F278" s="9" t="s">
        <v>840</v>
      </c>
      <c r="G278" s="12" t="s">
        <v>841</v>
      </c>
      <c r="H278" s="9" t="s">
        <v>842</v>
      </c>
      <c r="I278" s="10">
        <v>45525</v>
      </c>
    </row>
    <row r="279" spans="1:9" x14ac:dyDescent="0.15">
      <c r="A279" s="9">
        <v>278</v>
      </c>
      <c r="B279" s="9" t="s">
        <v>9</v>
      </c>
      <c r="C279" s="9">
        <v>1915</v>
      </c>
      <c r="D279" s="10">
        <v>45639</v>
      </c>
      <c r="E279" s="13" t="str">
        <f>+HYPERLINK("http://trademark.i-assist.jp/data/china/image_1915th/80491953.pdf","80491953")</f>
        <v>80491953</v>
      </c>
      <c r="F279" s="9" t="s">
        <v>843</v>
      </c>
      <c r="G279" s="9" t="s">
        <v>844</v>
      </c>
      <c r="H279" s="9" t="s">
        <v>845</v>
      </c>
      <c r="I279" s="10">
        <v>45525</v>
      </c>
    </row>
    <row r="280" spans="1:9" x14ac:dyDescent="0.15">
      <c r="A280" s="9">
        <v>279</v>
      </c>
      <c r="B280" s="9" t="s">
        <v>9</v>
      </c>
      <c r="C280" s="9">
        <v>1915</v>
      </c>
      <c r="D280" s="10">
        <v>45639</v>
      </c>
      <c r="E280" s="13" t="str">
        <f>+HYPERLINK("http://trademark.i-assist.jp/data/china/image_1915th/80494024.pdf","80494024")</f>
        <v>80494024</v>
      </c>
      <c r="F280" s="9" t="s">
        <v>846</v>
      </c>
      <c r="G280" s="9" t="s">
        <v>847</v>
      </c>
      <c r="H280" s="9" t="s">
        <v>848</v>
      </c>
      <c r="I280" s="10">
        <v>45525</v>
      </c>
    </row>
    <row r="281" spans="1:9" x14ac:dyDescent="0.15">
      <c r="A281" s="9">
        <v>280</v>
      </c>
      <c r="B281" s="9" t="s">
        <v>9</v>
      </c>
      <c r="C281" s="9">
        <v>1915</v>
      </c>
      <c r="D281" s="10">
        <v>45639</v>
      </c>
      <c r="E281" s="13" t="str">
        <f>+HYPERLINK("http://trademark.i-assist.jp/data/china/image_1915th/80495644.pdf","80495644")</f>
        <v>80495644</v>
      </c>
      <c r="F281" s="9" t="s">
        <v>849</v>
      </c>
      <c r="G281" s="9" t="s">
        <v>830</v>
      </c>
      <c r="H281" s="9" t="s">
        <v>850</v>
      </c>
      <c r="I281" s="10">
        <v>45525</v>
      </c>
    </row>
    <row r="282" spans="1:9" x14ac:dyDescent="0.15">
      <c r="A282" s="9">
        <v>281</v>
      </c>
      <c r="B282" s="9" t="s">
        <v>9</v>
      </c>
      <c r="C282" s="9">
        <v>1915</v>
      </c>
      <c r="D282" s="10">
        <v>45639</v>
      </c>
      <c r="E282" s="13" t="str">
        <f>+HYPERLINK("http://trademark.i-assist.jp/data/china/image_1915th/80502014.pdf","80502014")</f>
        <v>80502014</v>
      </c>
      <c r="F282" s="12" t="s">
        <v>15</v>
      </c>
      <c r="G282" s="12" t="s">
        <v>851</v>
      </c>
      <c r="H282" s="12" t="s">
        <v>852</v>
      </c>
      <c r="I282" s="10">
        <v>45526</v>
      </c>
    </row>
    <row r="283" spans="1:9" x14ac:dyDescent="0.15">
      <c r="A283" s="9">
        <v>282</v>
      </c>
      <c r="B283" s="9" t="s">
        <v>9</v>
      </c>
      <c r="C283" s="9">
        <v>1915</v>
      </c>
      <c r="D283" s="10">
        <v>45639</v>
      </c>
      <c r="E283" s="13" t="str">
        <f>+HYPERLINK("http://trademark.i-assist.jp/data/china/image_1915th/80509975.pdf","80509975")</f>
        <v>80509975</v>
      </c>
      <c r="F283" s="9" t="s">
        <v>853</v>
      </c>
      <c r="G283" s="9" t="s">
        <v>21</v>
      </c>
      <c r="H283" s="9" t="s">
        <v>854</v>
      </c>
      <c r="I283" s="10">
        <v>45526</v>
      </c>
    </row>
    <row r="284" spans="1:9" x14ac:dyDescent="0.15">
      <c r="A284" s="9">
        <v>283</v>
      </c>
      <c r="B284" s="9" t="s">
        <v>9</v>
      </c>
      <c r="C284" s="9">
        <v>1915</v>
      </c>
      <c r="D284" s="10">
        <v>45639</v>
      </c>
      <c r="E284" s="13" t="str">
        <f>+HYPERLINK("http://trademark.i-assist.jp/data/china/image_1915th/80511373.pdf","80511373")</f>
        <v>80511373</v>
      </c>
      <c r="F284" s="9" t="s">
        <v>855</v>
      </c>
      <c r="G284" s="9" t="s">
        <v>856</v>
      </c>
      <c r="H284" s="9" t="s">
        <v>857</v>
      </c>
      <c r="I284" s="10">
        <v>45526</v>
      </c>
    </row>
    <row r="285" spans="1:9" x14ac:dyDescent="0.15">
      <c r="A285" s="9">
        <v>284</v>
      </c>
      <c r="B285" s="9" t="s">
        <v>9</v>
      </c>
      <c r="C285" s="9">
        <v>1915</v>
      </c>
      <c r="D285" s="10">
        <v>45639</v>
      </c>
      <c r="E285" s="13" t="str">
        <f>+HYPERLINK("http://trademark.i-assist.jp/data/china/image_1915th/80511692.pdf","80511692")</f>
        <v>80511692</v>
      </c>
      <c r="F285" s="12" t="s">
        <v>15</v>
      </c>
      <c r="G285" s="9" t="s">
        <v>858</v>
      </c>
      <c r="H285" s="12" t="s">
        <v>859</v>
      </c>
      <c r="I285" s="10">
        <v>45526</v>
      </c>
    </row>
    <row r="286" spans="1:9" x14ac:dyDescent="0.15">
      <c r="A286" s="9">
        <v>285</v>
      </c>
      <c r="B286" s="9" t="s">
        <v>9</v>
      </c>
      <c r="C286" s="9">
        <v>1915</v>
      </c>
      <c r="D286" s="10">
        <v>45639</v>
      </c>
      <c r="E286" s="13" t="str">
        <f>+HYPERLINK("http://trademark.i-assist.jp/data/china/image_1915th/80512542.pdf","80512542")</f>
        <v>80512542</v>
      </c>
      <c r="F286" s="9" t="s">
        <v>860</v>
      </c>
      <c r="G286" s="9" t="s">
        <v>21</v>
      </c>
      <c r="H286" s="9" t="s">
        <v>861</v>
      </c>
      <c r="I286" s="10">
        <v>45526</v>
      </c>
    </row>
    <row r="287" spans="1:9" x14ac:dyDescent="0.15">
      <c r="A287" s="9">
        <v>286</v>
      </c>
      <c r="B287" s="9" t="s">
        <v>9</v>
      </c>
      <c r="C287" s="9">
        <v>1915</v>
      </c>
      <c r="D287" s="10">
        <v>45639</v>
      </c>
      <c r="E287" s="13" t="str">
        <f>+HYPERLINK("http://trademark.i-assist.jp/data/china/image_1915th/80515819.pdf","80515819")</f>
        <v>80515819</v>
      </c>
      <c r="F287" s="9" t="s">
        <v>862</v>
      </c>
      <c r="G287" s="9" t="s">
        <v>863</v>
      </c>
      <c r="H287" s="9" t="s">
        <v>864</v>
      </c>
      <c r="I287" s="10">
        <v>45526</v>
      </c>
    </row>
    <row r="288" spans="1:9" x14ac:dyDescent="0.15">
      <c r="A288" s="9">
        <v>287</v>
      </c>
      <c r="B288" s="9" t="s">
        <v>9</v>
      </c>
      <c r="C288" s="9">
        <v>1915</v>
      </c>
      <c r="D288" s="10">
        <v>45639</v>
      </c>
      <c r="E288" s="13" t="str">
        <f>+HYPERLINK("http://trademark.i-assist.jp/data/china/image_1915th/80520678.pdf","80520678")</f>
        <v>80520678</v>
      </c>
      <c r="F288" s="9" t="s">
        <v>865</v>
      </c>
      <c r="G288" s="9" t="s">
        <v>866</v>
      </c>
      <c r="H288" s="12" t="s">
        <v>867</v>
      </c>
      <c r="I288" s="10">
        <v>45526</v>
      </c>
    </row>
    <row r="289" spans="1:9" x14ac:dyDescent="0.15">
      <c r="A289" s="9">
        <v>288</v>
      </c>
      <c r="B289" s="9" t="s">
        <v>9</v>
      </c>
      <c r="C289" s="9">
        <v>1915</v>
      </c>
      <c r="D289" s="10">
        <v>45639</v>
      </c>
      <c r="E289" s="13" t="str">
        <f>+HYPERLINK("http://trademark.i-assist.jp/data/china/image_1915th/80523127.pdf","80523127")</f>
        <v>80523127</v>
      </c>
      <c r="F289" s="9" t="s">
        <v>868</v>
      </c>
      <c r="G289" s="9" t="s">
        <v>869</v>
      </c>
      <c r="H289" s="9" t="s">
        <v>870</v>
      </c>
      <c r="I289" s="10">
        <v>45527</v>
      </c>
    </row>
    <row r="290" spans="1:9" x14ac:dyDescent="0.15">
      <c r="A290" s="9">
        <v>289</v>
      </c>
      <c r="B290" s="9" t="s">
        <v>9</v>
      </c>
      <c r="C290" s="9">
        <v>1915</v>
      </c>
      <c r="D290" s="10">
        <v>45639</v>
      </c>
      <c r="E290" s="13" t="str">
        <f>+HYPERLINK("http://trademark.i-assist.jp/data/china/image_1915th/80533812.pdf","80533812")</f>
        <v>80533812</v>
      </c>
      <c r="F290" s="9" t="s">
        <v>871</v>
      </c>
      <c r="G290" s="12" t="s">
        <v>872</v>
      </c>
      <c r="H290" s="9" t="s">
        <v>19</v>
      </c>
      <c r="I290" s="10">
        <v>45527</v>
      </c>
    </row>
    <row r="291" spans="1:9" x14ac:dyDescent="0.15">
      <c r="A291" s="9">
        <v>290</v>
      </c>
      <c r="B291" s="9" t="s">
        <v>9</v>
      </c>
      <c r="C291" s="9">
        <v>1915</v>
      </c>
      <c r="D291" s="10">
        <v>45639</v>
      </c>
      <c r="E291" s="13" t="str">
        <f>+HYPERLINK("http://trademark.i-assist.jp/data/china/image_1915th/80534974.pdf","80534974")</f>
        <v>80534974</v>
      </c>
      <c r="F291" s="9" t="s">
        <v>873</v>
      </c>
      <c r="G291" s="9" t="s">
        <v>874</v>
      </c>
      <c r="H291" s="9" t="s">
        <v>875</v>
      </c>
      <c r="I291" s="10">
        <v>45527</v>
      </c>
    </row>
    <row r="292" spans="1:9" x14ac:dyDescent="0.15">
      <c r="A292" s="9">
        <v>291</v>
      </c>
      <c r="B292" s="9" t="s">
        <v>9</v>
      </c>
      <c r="C292" s="9">
        <v>1915</v>
      </c>
      <c r="D292" s="10">
        <v>45639</v>
      </c>
      <c r="E292" s="13" t="str">
        <f>+HYPERLINK("http://trademark.i-assist.jp/data/china/image_1915th/80537721.pdf","80537721")</f>
        <v>80537721</v>
      </c>
      <c r="F292" s="9" t="s">
        <v>876</v>
      </c>
      <c r="G292" s="12" t="s">
        <v>877</v>
      </c>
      <c r="H292" s="9" t="s">
        <v>878</v>
      </c>
      <c r="I292" s="10">
        <v>45527</v>
      </c>
    </row>
    <row r="293" spans="1:9" x14ac:dyDescent="0.15">
      <c r="A293" s="9">
        <v>292</v>
      </c>
      <c r="B293" s="9" t="s">
        <v>9</v>
      </c>
      <c r="C293" s="9">
        <v>1915</v>
      </c>
      <c r="D293" s="10">
        <v>45639</v>
      </c>
      <c r="E293" s="13" t="str">
        <f>+HYPERLINK("http://trademark.i-assist.jp/data/china/image_1915th/80541069.pdf","80541069")</f>
        <v>80541069</v>
      </c>
      <c r="F293" s="9" t="s">
        <v>879</v>
      </c>
      <c r="G293" s="9" t="s">
        <v>880</v>
      </c>
      <c r="H293" s="9" t="s">
        <v>881</v>
      </c>
      <c r="I293" s="10">
        <v>45527</v>
      </c>
    </row>
    <row r="294" spans="1:9" x14ac:dyDescent="0.15">
      <c r="A294" s="9">
        <v>293</v>
      </c>
      <c r="B294" s="9" t="s">
        <v>9</v>
      </c>
      <c r="C294" s="9">
        <v>1915</v>
      </c>
      <c r="D294" s="10">
        <v>45639</v>
      </c>
      <c r="E294" s="13" t="str">
        <f>+HYPERLINK("http://trademark.i-assist.jp/data/china/image_1915th/80543002.pdf","80543002")</f>
        <v>80543002</v>
      </c>
      <c r="F294" s="9" t="s">
        <v>882</v>
      </c>
      <c r="G294" s="9" t="s">
        <v>801</v>
      </c>
      <c r="H294" s="9" t="s">
        <v>883</v>
      </c>
      <c r="I294" s="10">
        <v>45527</v>
      </c>
    </row>
    <row r="295" spans="1:9" x14ac:dyDescent="0.15">
      <c r="A295" s="9">
        <v>294</v>
      </c>
      <c r="B295" s="9" t="s">
        <v>9</v>
      </c>
      <c r="C295" s="9">
        <v>1915</v>
      </c>
      <c r="D295" s="10">
        <v>45639</v>
      </c>
      <c r="E295" s="13" t="str">
        <f>+HYPERLINK("http://trademark.i-assist.jp/data/china/image_1915th/80544780.pdf","80544780")</f>
        <v>80544780</v>
      </c>
      <c r="F295" s="9" t="s">
        <v>884</v>
      </c>
      <c r="G295" s="12" t="s">
        <v>885</v>
      </c>
      <c r="H295" s="9" t="s">
        <v>886</v>
      </c>
      <c r="I295" s="10">
        <v>45527</v>
      </c>
    </row>
    <row r="296" spans="1:9" x14ac:dyDescent="0.15">
      <c r="A296" s="9">
        <v>295</v>
      </c>
      <c r="B296" s="9" t="s">
        <v>9</v>
      </c>
      <c r="C296" s="9">
        <v>1915</v>
      </c>
      <c r="D296" s="10">
        <v>45639</v>
      </c>
      <c r="E296" s="13" t="str">
        <f>+HYPERLINK("http://trademark.i-assist.jp/data/china/image_1915th/80548957.pdf","80548957")</f>
        <v>80548957</v>
      </c>
      <c r="F296" s="9" t="s">
        <v>887</v>
      </c>
      <c r="G296" s="12" t="s">
        <v>63</v>
      </c>
      <c r="H296" s="9" t="s">
        <v>888</v>
      </c>
      <c r="I296" s="10">
        <v>45528</v>
      </c>
    </row>
    <row r="297" spans="1:9" x14ac:dyDescent="0.15">
      <c r="A297" s="9">
        <v>296</v>
      </c>
      <c r="B297" s="9" t="s">
        <v>9</v>
      </c>
      <c r="C297" s="9">
        <v>1915</v>
      </c>
      <c r="D297" s="10">
        <v>45639</v>
      </c>
      <c r="E297" s="13" t="str">
        <f>+HYPERLINK("http://trademark.i-assist.jp/data/china/image_1915th/80549397.pdf","80549397")</f>
        <v>80549397</v>
      </c>
      <c r="F297" s="12" t="s">
        <v>889</v>
      </c>
      <c r="G297" s="12" t="s">
        <v>890</v>
      </c>
      <c r="H297" s="9" t="s">
        <v>891</v>
      </c>
      <c r="I297" s="10">
        <v>45528</v>
      </c>
    </row>
    <row r="298" spans="1:9" x14ac:dyDescent="0.15">
      <c r="A298" s="9">
        <v>297</v>
      </c>
      <c r="B298" s="9" t="s">
        <v>9</v>
      </c>
      <c r="C298" s="9">
        <v>1915</v>
      </c>
      <c r="D298" s="10">
        <v>45639</v>
      </c>
      <c r="E298" s="13" t="str">
        <f>+HYPERLINK("http://trademark.i-assist.jp/data/china/image_1915th/80552688.pdf","80552688")</f>
        <v>80552688</v>
      </c>
      <c r="F298" s="9" t="s">
        <v>892</v>
      </c>
      <c r="G298" s="9" t="s">
        <v>893</v>
      </c>
      <c r="H298" s="9" t="s">
        <v>894</v>
      </c>
      <c r="I298" s="10">
        <v>45529</v>
      </c>
    </row>
    <row r="299" spans="1:9" x14ac:dyDescent="0.15">
      <c r="A299" s="9">
        <v>298</v>
      </c>
      <c r="B299" s="9" t="s">
        <v>9</v>
      </c>
      <c r="C299" s="9">
        <v>1915</v>
      </c>
      <c r="D299" s="10">
        <v>45639</v>
      </c>
      <c r="E299" s="13" t="str">
        <f>+HYPERLINK("http://trademark.i-assist.jp/data/china/image_1915th/80553462.pdf","80553462")</f>
        <v>80553462</v>
      </c>
      <c r="F299" s="12" t="s">
        <v>895</v>
      </c>
      <c r="G299" s="11" t="s">
        <v>896</v>
      </c>
      <c r="H299" s="9" t="s">
        <v>897</v>
      </c>
      <c r="I299" s="10">
        <v>45529</v>
      </c>
    </row>
    <row r="300" spans="1:9" x14ac:dyDescent="0.15">
      <c r="A300" s="9">
        <v>299</v>
      </c>
      <c r="B300" s="9" t="s">
        <v>9</v>
      </c>
      <c r="C300" s="9">
        <v>1915</v>
      </c>
      <c r="D300" s="10">
        <v>45639</v>
      </c>
      <c r="E300" s="13" t="str">
        <f>+HYPERLINK("http://trademark.i-assist.jp/data/china/image_1915th/80555092.pdf","80555092")</f>
        <v>80555092</v>
      </c>
      <c r="F300" s="9" t="s">
        <v>898</v>
      </c>
      <c r="G300" s="9" t="s">
        <v>899</v>
      </c>
      <c r="H300" s="9" t="s">
        <v>900</v>
      </c>
      <c r="I300" s="10">
        <v>45530</v>
      </c>
    </row>
    <row r="301" spans="1:9" x14ac:dyDescent="0.15">
      <c r="A301" s="9">
        <v>300</v>
      </c>
      <c r="B301" s="9" t="s">
        <v>9</v>
      </c>
      <c r="C301" s="9">
        <v>1915</v>
      </c>
      <c r="D301" s="10">
        <v>45639</v>
      </c>
      <c r="E301" s="13" t="str">
        <f>+HYPERLINK("http://trademark.i-assist.jp/data/china/image_1915th/80559430.pdf","80559430")</f>
        <v>80559430</v>
      </c>
      <c r="F301" s="9" t="s">
        <v>901</v>
      </c>
      <c r="G301" s="12" t="s">
        <v>902</v>
      </c>
      <c r="H301" s="9" t="s">
        <v>903</v>
      </c>
      <c r="I301" s="10">
        <v>45530</v>
      </c>
    </row>
    <row r="302" spans="1:9" x14ac:dyDescent="0.15">
      <c r="A302" s="9">
        <v>301</v>
      </c>
      <c r="B302" s="9" t="s">
        <v>9</v>
      </c>
      <c r="C302" s="9">
        <v>1915</v>
      </c>
      <c r="D302" s="10">
        <v>45639</v>
      </c>
      <c r="E302" s="13" t="str">
        <f>+HYPERLINK("http://trademark.i-assist.jp/data/china/image_1915th/80562762.pdf","80562762")</f>
        <v>80562762</v>
      </c>
      <c r="F302" s="12" t="s">
        <v>904</v>
      </c>
      <c r="G302" s="9" t="s">
        <v>905</v>
      </c>
      <c r="H302" s="9" t="s">
        <v>906</v>
      </c>
      <c r="I302" s="10">
        <v>45530</v>
      </c>
    </row>
    <row r="303" spans="1:9" x14ac:dyDescent="0.15">
      <c r="A303" s="9">
        <v>302</v>
      </c>
      <c r="B303" s="9" t="s">
        <v>9</v>
      </c>
      <c r="C303" s="9">
        <v>1915</v>
      </c>
      <c r="D303" s="10">
        <v>45639</v>
      </c>
      <c r="E303" s="13" t="str">
        <f>+HYPERLINK("http://trademark.i-assist.jp/data/china/image_1915th/80564857.pdf","80564857")</f>
        <v>80564857</v>
      </c>
      <c r="F303" s="9" t="s">
        <v>907</v>
      </c>
      <c r="G303" s="9" t="s">
        <v>70</v>
      </c>
      <c r="H303" s="9" t="s">
        <v>908</v>
      </c>
      <c r="I303" s="10">
        <v>45530</v>
      </c>
    </row>
    <row r="304" spans="1:9" x14ac:dyDescent="0.15">
      <c r="A304" s="9">
        <v>303</v>
      </c>
      <c r="B304" s="9" t="s">
        <v>9</v>
      </c>
      <c r="C304" s="9">
        <v>1915</v>
      </c>
      <c r="D304" s="10">
        <v>45639</v>
      </c>
      <c r="E304" s="13" t="str">
        <f>+HYPERLINK("http://trademark.i-assist.jp/data/china/image_1915th/80569768.pdf","80569768")</f>
        <v>80569768</v>
      </c>
      <c r="F304" s="9" t="s">
        <v>909</v>
      </c>
      <c r="G304" s="12" t="s">
        <v>910</v>
      </c>
      <c r="H304" s="9" t="s">
        <v>911</v>
      </c>
      <c r="I304" s="10">
        <v>45530</v>
      </c>
    </row>
    <row r="305" spans="1:9" x14ac:dyDescent="0.15">
      <c r="A305" s="9">
        <v>304</v>
      </c>
      <c r="B305" s="9" t="s">
        <v>9</v>
      </c>
      <c r="C305" s="9">
        <v>1915</v>
      </c>
      <c r="D305" s="10">
        <v>45639</v>
      </c>
      <c r="E305" s="13" t="str">
        <f>+HYPERLINK("http://trademark.i-assist.jp/data/china/image_1915th/80570601.pdf","80570601")</f>
        <v>80570601</v>
      </c>
      <c r="F305" s="9" t="s">
        <v>912</v>
      </c>
      <c r="G305" s="9" t="s">
        <v>913</v>
      </c>
      <c r="H305" s="9" t="s">
        <v>914</v>
      </c>
      <c r="I305" s="10">
        <v>45530</v>
      </c>
    </row>
    <row r="306" spans="1:9" x14ac:dyDescent="0.15">
      <c r="A306" s="9">
        <v>305</v>
      </c>
      <c r="B306" s="9" t="s">
        <v>9</v>
      </c>
      <c r="C306" s="9">
        <v>1915</v>
      </c>
      <c r="D306" s="10">
        <v>45639</v>
      </c>
      <c r="E306" s="13" t="str">
        <f>+HYPERLINK("http://trademark.i-assist.jp/data/china/image_1915th/80570646.pdf","80570646")</f>
        <v>80570646</v>
      </c>
      <c r="F306" s="9" t="s">
        <v>915</v>
      </c>
      <c r="G306" s="12" t="s">
        <v>916</v>
      </c>
      <c r="H306" s="9" t="s">
        <v>917</v>
      </c>
      <c r="I306" s="10">
        <v>45530</v>
      </c>
    </row>
    <row r="307" spans="1:9" x14ac:dyDescent="0.15">
      <c r="A307" s="9">
        <v>306</v>
      </c>
      <c r="B307" s="9" t="s">
        <v>9</v>
      </c>
      <c r="C307" s="9">
        <v>1915</v>
      </c>
      <c r="D307" s="10">
        <v>45639</v>
      </c>
      <c r="E307" s="13" t="str">
        <f>+HYPERLINK("http://trademark.i-assist.jp/data/china/image_1915th/80571475.pdf","80571475")</f>
        <v>80571475</v>
      </c>
      <c r="F307" s="12" t="s">
        <v>918</v>
      </c>
      <c r="G307" s="9" t="s">
        <v>919</v>
      </c>
      <c r="H307" s="9" t="s">
        <v>920</v>
      </c>
      <c r="I307" s="10">
        <v>45530</v>
      </c>
    </row>
    <row r="308" spans="1:9" x14ac:dyDescent="0.15">
      <c r="A308" s="9">
        <v>307</v>
      </c>
      <c r="B308" s="9" t="s">
        <v>9</v>
      </c>
      <c r="C308" s="9">
        <v>1915</v>
      </c>
      <c r="D308" s="10">
        <v>45639</v>
      </c>
      <c r="E308" s="13" t="str">
        <f>+HYPERLINK("http://trademark.i-assist.jp/data/china/image_1915th/80576089.pdf","80576089")</f>
        <v>80576089</v>
      </c>
      <c r="F308" s="9" t="s">
        <v>921</v>
      </c>
      <c r="G308" s="12" t="s">
        <v>922</v>
      </c>
      <c r="H308" s="9" t="s">
        <v>923</v>
      </c>
      <c r="I308" s="10">
        <v>45530</v>
      </c>
    </row>
    <row r="309" spans="1:9" x14ac:dyDescent="0.15">
      <c r="A309" s="9">
        <v>308</v>
      </c>
      <c r="B309" s="9" t="s">
        <v>9</v>
      </c>
      <c r="C309" s="9">
        <v>1915</v>
      </c>
      <c r="D309" s="10">
        <v>45639</v>
      </c>
      <c r="E309" s="13" t="str">
        <f>+HYPERLINK("http://trademark.i-assist.jp/data/china/image_1915th/80578508.pdf","80578508")</f>
        <v>80578508</v>
      </c>
      <c r="F309" s="9" t="s">
        <v>924</v>
      </c>
      <c r="G309" s="9" t="s">
        <v>925</v>
      </c>
      <c r="H309" s="9" t="s">
        <v>926</v>
      </c>
      <c r="I309" s="10">
        <v>45531</v>
      </c>
    </row>
    <row r="310" spans="1:9" x14ac:dyDescent="0.15">
      <c r="A310" s="9">
        <v>309</v>
      </c>
      <c r="B310" s="9" t="s">
        <v>9</v>
      </c>
      <c r="C310" s="9">
        <v>1915</v>
      </c>
      <c r="D310" s="10">
        <v>45639</v>
      </c>
      <c r="E310" s="13" t="str">
        <f>+HYPERLINK("http://trademark.i-assist.jp/data/china/image_1915th/80580927.pdf","80580927")</f>
        <v>80580927</v>
      </c>
      <c r="F310" s="9" t="s">
        <v>927</v>
      </c>
      <c r="G310" s="9" t="s">
        <v>928</v>
      </c>
      <c r="H310" s="9" t="s">
        <v>929</v>
      </c>
      <c r="I310" s="10">
        <v>45531</v>
      </c>
    </row>
    <row r="311" spans="1:9" x14ac:dyDescent="0.15">
      <c r="A311" s="9">
        <v>310</v>
      </c>
      <c r="B311" s="9" t="s">
        <v>9</v>
      </c>
      <c r="C311" s="9">
        <v>1915</v>
      </c>
      <c r="D311" s="10">
        <v>45639</v>
      </c>
      <c r="E311" s="13" t="str">
        <f>+HYPERLINK("http://trademark.i-assist.jp/data/china/image_1915th/80581599.pdf","80581599")</f>
        <v>80581599</v>
      </c>
      <c r="F311" s="9" t="s">
        <v>930</v>
      </c>
      <c r="G311" s="9" t="s">
        <v>931</v>
      </c>
      <c r="H311" s="9" t="s">
        <v>932</v>
      </c>
      <c r="I311" s="10">
        <v>45531</v>
      </c>
    </row>
    <row r="312" spans="1:9" x14ac:dyDescent="0.15">
      <c r="A312" s="9">
        <v>311</v>
      </c>
      <c r="B312" s="9" t="s">
        <v>9</v>
      </c>
      <c r="C312" s="9">
        <v>1915</v>
      </c>
      <c r="D312" s="10">
        <v>45639</v>
      </c>
      <c r="E312" s="13" t="str">
        <f>+HYPERLINK("http://trademark.i-assist.jp/data/china/image_1915th/80582665.pdf","80582665")</f>
        <v>80582665</v>
      </c>
      <c r="F312" s="9" t="s">
        <v>933</v>
      </c>
      <c r="G312" s="9" t="s">
        <v>934</v>
      </c>
      <c r="H312" s="9" t="s">
        <v>935</v>
      </c>
      <c r="I312" s="10">
        <v>45531</v>
      </c>
    </row>
    <row r="313" spans="1:9" x14ac:dyDescent="0.15">
      <c r="A313" s="9">
        <v>312</v>
      </c>
      <c r="B313" s="9" t="s">
        <v>9</v>
      </c>
      <c r="C313" s="9">
        <v>1915</v>
      </c>
      <c r="D313" s="10">
        <v>45639</v>
      </c>
      <c r="E313" s="13" t="str">
        <f>+HYPERLINK("http://trademark.i-assist.jp/data/china/image_1915th/80584513.pdf","80584513")</f>
        <v>80584513</v>
      </c>
      <c r="F313" s="9" t="s">
        <v>936</v>
      </c>
      <c r="G313" s="12" t="s">
        <v>937</v>
      </c>
      <c r="H313" s="9" t="s">
        <v>938</v>
      </c>
      <c r="I313" s="10">
        <v>45531</v>
      </c>
    </row>
    <row r="314" spans="1:9" x14ac:dyDescent="0.15">
      <c r="A314" s="9">
        <v>313</v>
      </c>
      <c r="B314" s="9" t="s">
        <v>9</v>
      </c>
      <c r="C314" s="9">
        <v>1915</v>
      </c>
      <c r="D314" s="10">
        <v>45639</v>
      </c>
      <c r="E314" s="13" t="str">
        <f>+HYPERLINK("http://trademark.i-assist.jp/data/china/image_1915th/80588461.pdf","80588461")</f>
        <v>80588461</v>
      </c>
      <c r="F314" s="12" t="s">
        <v>939</v>
      </c>
      <c r="G314" s="9" t="s">
        <v>940</v>
      </c>
      <c r="H314" s="9" t="s">
        <v>941</v>
      </c>
      <c r="I314" s="10">
        <v>45531</v>
      </c>
    </row>
    <row r="315" spans="1:9" x14ac:dyDescent="0.15">
      <c r="A315" s="9">
        <v>314</v>
      </c>
      <c r="B315" s="9" t="s">
        <v>9</v>
      </c>
      <c r="C315" s="9">
        <v>1915</v>
      </c>
      <c r="D315" s="10">
        <v>45639</v>
      </c>
      <c r="E315" s="13" t="str">
        <f>+HYPERLINK("http://trademark.i-assist.jp/data/china/image_1915th/80589339.pdf","80589339")</f>
        <v>80589339</v>
      </c>
      <c r="F315" s="9" t="s">
        <v>942</v>
      </c>
      <c r="G315" s="9" t="s">
        <v>943</v>
      </c>
      <c r="H315" s="9" t="s">
        <v>944</v>
      </c>
      <c r="I315" s="10">
        <v>45531</v>
      </c>
    </row>
    <row r="316" spans="1:9" x14ac:dyDescent="0.15">
      <c r="A316" s="9">
        <v>315</v>
      </c>
      <c r="B316" s="9" t="s">
        <v>9</v>
      </c>
      <c r="C316" s="9">
        <v>1915</v>
      </c>
      <c r="D316" s="10">
        <v>45639</v>
      </c>
      <c r="E316" s="13" t="str">
        <f>+HYPERLINK("http://trademark.i-assist.jp/data/china/image_1915th/80590112.pdf","80590112")</f>
        <v>80590112</v>
      </c>
      <c r="F316" s="12" t="s">
        <v>15</v>
      </c>
      <c r="G316" s="9" t="s">
        <v>24</v>
      </c>
      <c r="H316" s="9" t="s">
        <v>945</v>
      </c>
      <c r="I316" s="10">
        <v>45531</v>
      </c>
    </row>
    <row r="317" spans="1:9" x14ac:dyDescent="0.15">
      <c r="A317" s="9">
        <v>316</v>
      </c>
      <c r="B317" s="9" t="s">
        <v>9</v>
      </c>
      <c r="C317" s="9">
        <v>1915</v>
      </c>
      <c r="D317" s="10">
        <v>45639</v>
      </c>
      <c r="E317" s="13" t="str">
        <f>+HYPERLINK("http://trademark.i-assist.jp/data/china/image_1915th/80594017.pdf","80594017")</f>
        <v>80594017</v>
      </c>
      <c r="F317" s="9" t="s">
        <v>946</v>
      </c>
      <c r="G317" s="12" t="s">
        <v>44</v>
      </c>
      <c r="H317" s="9" t="s">
        <v>947</v>
      </c>
      <c r="I317" s="10">
        <v>45531</v>
      </c>
    </row>
    <row r="318" spans="1:9" x14ac:dyDescent="0.15">
      <c r="A318" s="9">
        <v>317</v>
      </c>
      <c r="B318" s="9" t="s">
        <v>9</v>
      </c>
      <c r="C318" s="9">
        <v>1915</v>
      </c>
      <c r="D318" s="10">
        <v>45639</v>
      </c>
      <c r="E318" s="13" t="str">
        <f>+HYPERLINK("http://trademark.i-assist.jp/data/china/image_1915th/80594499.pdf","80594499")</f>
        <v>80594499</v>
      </c>
      <c r="F318" s="12" t="s">
        <v>15</v>
      </c>
      <c r="G318" s="9" t="s">
        <v>24</v>
      </c>
      <c r="H318" s="12" t="s">
        <v>948</v>
      </c>
      <c r="I318" s="10">
        <v>45531</v>
      </c>
    </row>
    <row r="319" spans="1:9" x14ac:dyDescent="0.15">
      <c r="A319" s="9">
        <v>318</v>
      </c>
      <c r="B319" s="9" t="s">
        <v>9</v>
      </c>
      <c r="C319" s="9">
        <v>1915</v>
      </c>
      <c r="D319" s="10">
        <v>45639</v>
      </c>
      <c r="E319" s="13" t="str">
        <f>+HYPERLINK("http://trademark.i-assist.jp/data/china/image_1915th/80596012.pdf","80596012")</f>
        <v>80596012</v>
      </c>
      <c r="F319" s="12" t="s">
        <v>15</v>
      </c>
      <c r="G319" s="9" t="s">
        <v>24</v>
      </c>
      <c r="H319" s="9" t="s">
        <v>949</v>
      </c>
      <c r="I319" s="10">
        <v>45531</v>
      </c>
    </row>
    <row r="320" spans="1:9" x14ac:dyDescent="0.15">
      <c r="A320" s="9">
        <v>319</v>
      </c>
      <c r="B320" s="9" t="s">
        <v>9</v>
      </c>
      <c r="C320" s="9">
        <v>1915</v>
      </c>
      <c r="D320" s="10">
        <v>45639</v>
      </c>
      <c r="E320" s="13" t="str">
        <f>+HYPERLINK("http://trademark.i-assist.jp/data/china/image_1915th/80596264.pdf","80596264")</f>
        <v>80596264</v>
      </c>
      <c r="F320" s="9" t="s">
        <v>950</v>
      </c>
      <c r="G320" s="9" t="s">
        <v>951</v>
      </c>
      <c r="H320" s="9" t="s">
        <v>952</v>
      </c>
      <c r="I320" s="10">
        <v>45531</v>
      </c>
    </row>
    <row r="321" spans="1:9" x14ac:dyDescent="0.15">
      <c r="A321" s="9">
        <v>320</v>
      </c>
      <c r="B321" s="9" t="s">
        <v>9</v>
      </c>
      <c r="C321" s="9">
        <v>1915</v>
      </c>
      <c r="D321" s="10">
        <v>45639</v>
      </c>
      <c r="E321" s="13" t="str">
        <f>+HYPERLINK("http://trademark.i-assist.jp/data/china/image_1915th/80597269.pdf","80597269")</f>
        <v>80597269</v>
      </c>
      <c r="F321" s="12" t="s">
        <v>15</v>
      </c>
      <c r="G321" s="9" t="s">
        <v>24</v>
      </c>
      <c r="H321" s="9" t="s">
        <v>953</v>
      </c>
      <c r="I321" s="10">
        <v>45531</v>
      </c>
    </row>
    <row r="322" spans="1:9" x14ac:dyDescent="0.15">
      <c r="A322" s="9">
        <v>321</v>
      </c>
      <c r="B322" s="9" t="s">
        <v>9</v>
      </c>
      <c r="C322" s="9">
        <v>1915</v>
      </c>
      <c r="D322" s="10">
        <v>45639</v>
      </c>
      <c r="E322" s="13" t="str">
        <f>+HYPERLINK("http://trademark.i-assist.jp/data/china/image_1915th/80600181.pdf","80600181")</f>
        <v>80600181</v>
      </c>
      <c r="F322" s="12" t="s">
        <v>15</v>
      </c>
      <c r="G322" s="9" t="s">
        <v>24</v>
      </c>
      <c r="H322" s="12" t="s">
        <v>954</v>
      </c>
      <c r="I322" s="10">
        <v>45531</v>
      </c>
    </row>
    <row r="323" spans="1:9" x14ac:dyDescent="0.15">
      <c r="A323" s="9">
        <v>322</v>
      </c>
      <c r="B323" s="9" t="s">
        <v>9</v>
      </c>
      <c r="C323" s="9">
        <v>1915</v>
      </c>
      <c r="D323" s="10">
        <v>45639</v>
      </c>
      <c r="E323" s="13" t="str">
        <f>+HYPERLINK("http://trademark.i-assist.jp/data/china/image_1915th/80600191.pdf","80600191")</f>
        <v>80600191</v>
      </c>
      <c r="F323" s="12" t="s">
        <v>15</v>
      </c>
      <c r="G323" s="9" t="s">
        <v>24</v>
      </c>
      <c r="H323" s="9" t="s">
        <v>955</v>
      </c>
      <c r="I323" s="10">
        <v>45531</v>
      </c>
    </row>
    <row r="324" spans="1:9" x14ac:dyDescent="0.15">
      <c r="A324" s="9">
        <v>323</v>
      </c>
      <c r="B324" s="9" t="s">
        <v>9</v>
      </c>
      <c r="C324" s="9">
        <v>1915</v>
      </c>
      <c r="D324" s="10">
        <v>45639</v>
      </c>
      <c r="E324" s="13" t="str">
        <f>+HYPERLINK("http://trademark.i-assist.jp/data/china/image_1915th/80602181.pdf","80602181")</f>
        <v>80602181</v>
      </c>
      <c r="F324" s="9" t="s">
        <v>956</v>
      </c>
      <c r="G324" s="12" t="s">
        <v>957</v>
      </c>
      <c r="H324" s="9" t="s">
        <v>958</v>
      </c>
      <c r="I324" s="10">
        <v>45532</v>
      </c>
    </row>
    <row r="325" spans="1:9" x14ac:dyDescent="0.15">
      <c r="A325" s="9">
        <v>324</v>
      </c>
      <c r="B325" s="9" t="s">
        <v>9</v>
      </c>
      <c r="C325" s="9">
        <v>1915</v>
      </c>
      <c r="D325" s="10">
        <v>45639</v>
      </c>
      <c r="E325" s="13" t="str">
        <f>+HYPERLINK("http://trademark.i-assist.jp/data/china/image_1915th/80604505.pdf","80604505")</f>
        <v>80604505</v>
      </c>
      <c r="F325" s="9" t="s">
        <v>959</v>
      </c>
      <c r="G325" s="9" t="s">
        <v>960</v>
      </c>
      <c r="H325" s="9" t="s">
        <v>961</v>
      </c>
      <c r="I325" s="10">
        <v>45532</v>
      </c>
    </row>
    <row r="326" spans="1:9" x14ac:dyDescent="0.15">
      <c r="A326" s="9">
        <v>325</v>
      </c>
      <c r="B326" s="9" t="s">
        <v>9</v>
      </c>
      <c r="C326" s="9">
        <v>1915</v>
      </c>
      <c r="D326" s="10">
        <v>45639</v>
      </c>
      <c r="E326" s="13" t="str">
        <f>+HYPERLINK("http://trademark.i-assist.jp/data/china/image_1915th/80604532.pdf","80604532")</f>
        <v>80604532</v>
      </c>
      <c r="F326" s="9" t="s">
        <v>962</v>
      </c>
      <c r="G326" s="12" t="s">
        <v>957</v>
      </c>
      <c r="H326" s="9" t="s">
        <v>963</v>
      </c>
      <c r="I326" s="10">
        <v>45532</v>
      </c>
    </row>
    <row r="327" spans="1:9" x14ac:dyDescent="0.15">
      <c r="A327" s="9">
        <v>326</v>
      </c>
      <c r="B327" s="9" t="s">
        <v>9</v>
      </c>
      <c r="C327" s="9">
        <v>1915</v>
      </c>
      <c r="D327" s="10">
        <v>45639</v>
      </c>
      <c r="E327" s="13" t="str">
        <f>+HYPERLINK("http://trademark.i-assist.jp/data/china/image_1915th/80606434.pdf","80606434")</f>
        <v>80606434</v>
      </c>
      <c r="F327" s="9" t="s">
        <v>964</v>
      </c>
      <c r="G327" s="9" t="s">
        <v>830</v>
      </c>
      <c r="H327" s="9" t="s">
        <v>965</v>
      </c>
      <c r="I327" s="10">
        <v>45532</v>
      </c>
    </row>
    <row r="328" spans="1:9" x14ac:dyDescent="0.15">
      <c r="A328" s="9">
        <v>327</v>
      </c>
      <c r="B328" s="9" t="s">
        <v>9</v>
      </c>
      <c r="C328" s="9">
        <v>1915</v>
      </c>
      <c r="D328" s="10">
        <v>45639</v>
      </c>
      <c r="E328" s="13" t="str">
        <f>+HYPERLINK("http://trademark.i-assist.jp/data/china/image_1915th/80607396.pdf","80607396")</f>
        <v>80607396</v>
      </c>
      <c r="F328" s="9" t="s">
        <v>966</v>
      </c>
      <c r="G328" s="9" t="s">
        <v>967</v>
      </c>
      <c r="H328" s="12" t="s">
        <v>968</v>
      </c>
      <c r="I328" s="10">
        <v>45532</v>
      </c>
    </row>
    <row r="329" spans="1:9" x14ac:dyDescent="0.15">
      <c r="A329" s="9">
        <v>328</v>
      </c>
      <c r="B329" s="9" t="s">
        <v>9</v>
      </c>
      <c r="C329" s="9">
        <v>1915</v>
      </c>
      <c r="D329" s="10">
        <v>45639</v>
      </c>
      <c r="E329" s="13" t="str">
        <f>+HYPERLINK("http://trademark.i-assist.jp/data/china/image_1915th/80607694.pdf","80607694")</f>
        <v>80607694</v>
      </c>
      <c r="F329" s="9" t="s">
        <v>959</v>
      </c>
      <c r="G329" s="9" t="s">
        <v>960</v>
      </c>
      <c r="H329" s="9" t="s">
        <v>969</v>
      </c>
      <c r="I329" s="10">
        <v>45532</v>
      </c>
    </row>
    <row r="330" spans="1:9" x14ac:dyDescent="0.15">
      <c r="A330" s="9">
        <v>329</v>
      </c>
      <c r="B330" s="9" t="s">
        <v>9</v>
      </c>
      <c r="C330" s="9">
        <v>1915</v>
      </c>
      <c r="D330" s="10">
        <v>45639</v>
      </c>
      <c r="E330" s="13" t="str">
        <f>+HYPERLINK("http://trademark.i-assist.jp/data/china/image_1915th/80608349.pdf","80608349")</f>
        <v>80608349</v>
      </c>
      <c r="F330" s="12" t="s">
        <v>15</v>
      </c>
      <c r="G330" s="9" t="s">
        <v>970</v>
      </c>
      <c r="H330" s="12" t="s">
        <v>971</v>
      </c>
      <c r="I330" s="10">
        <v>45532</v>
      </c>
    </row>
    <row r="331" spans="1:9" x14ac:dyDescent="0.15">
      <c r="A331" s="9">
        <v>330</v>
      </c>
      <c r="B331" s="9" t="s">
        <v>9</v>
      </c>
      <c r="C331" s="9">
        <v>1915</v>
      </c>
      <c r="D331" s="10">
        <v>45639</v>
      </c>
      <c r="E331" s="13" t="str">
        <f>+HYPERLINK("http://trademark.i-assist.jp/data/china/image_1915th/80609639.pdf","80609639")</f>
        <v>80609639</v>
      </c>
      <c r="F331" s="9" t="s">
        <v>972</v>
      </c>
      <c r="G331" s="9" t="s">
        <v>973</v>
      </c>
      <c r="H331" s="12" t="s">
        <v>974</v>
      </c>
      <c r="I331" s="10">
        <v>45532</v>
      </c>
    </row>
    <row r="332" spans="1:9" x14ac:dyDescent="0.15">
      <c r="A332" s="9">
        <v>331</v>
      </c>
      <c r="B332" s="9" t="s">
        <v>9</v>
      </c>
      <c r="C332" s="9">
        <v>1915</v>
      </c>
      <c r="D332" s="10">
        <v>45639</v>
      </c>
      <c r="E332" s="13" t="str">
        <f>+HYPERLINK("http://trademark.i-assist.jp/data/china/image_1915th/80618078.pdf","80618078")</f>
        <v>80618078</v>
      </c>
      <c r="F332" s="12" t="s">
        <v>975</v>
      </c>
      <c r="G332" s="12" t="s">
        <v>74</v>
      </c>
      <c r="H332" s="9" t="s">
        <v>976</v>
      </c>
      <c r="I332" s="10">
        <v>45532</v>
      </c>
    </row>
    <row r="333" spans="1:9" x14ac:dyDescent="0.15">
      <c r="A333" s="9">
        <v>332</v>
      </c>
      <c r="B333" s="9" t="s">
        <v>9</v>
      </c>
      <c r="C333" s="9">
        <v>1915</v>
      </c>
      <c r="D333" s="10">
        <v>45639</v>
      </c>
      <c r="E333" s="13" t="str">
        <f>+HYPERLINK("http://trademark.i-assist.jp/data/china/image_1915th/80618954.pdf","80618954")</f>
        <v>80618954</v>
      </c>
      <c r="F333" s="9" t="s">
        <v>977</v>
      </c>
      <c r="G333" s="9" t="s">
        <v>978</v>
      </c>
      <c r="H333" s="9" t="s">
        <v>979</v>
      </c>
      <c r="I333" s="10">
        <v>45532</v>
      </c>
    </row>
    <row r="334" spans="1:9" x14ac:dyDescent="0.15">
      <c r="A334" s="9">
        <v>333</v>
      </c>
      <c r="B334" s="9" t="s">
        <v>9</v>
      </c>
      <c r="C334" s="9">
        <v>1915</v>
      </c>
      <c r="D334" s="10">
        <v>45639</v>
      </c>
      <c r="E334" s="13" t="str">
        <f>+HYPERLINK("http://trademark.i-assist.jp/data/china/image_1915th/80621339.pdf","80621339")</f>
        <v>80621339</v>
      </c>
      <c r="F334" s="9" t="s">
        <v>980</v>
      </c>
      <c r="G334" s="9" t="s">
        <v>981</v>
      </c>
      <c r="H334" s="9" t="s">
        <v>982</v>
      </c>
      <c r="I334" s="10">
        <v>45532</v>
      </c>
    </row>
    <row r="335" spans="1:9" x14ac:dyDescent="0.15">
      <c r="A335" s="9">
        <v>334</v>
      </c>
      <c r="B335" s="9" t="s">
        <v>9</v>
      </c>
      <c r="C335" s="9">
        <v>1915</v>
      </c>
      <c r="D335" s="10">
        <v>45639</v>
      </c>
      <c r="E335" s="13" t="str">
        <f>+HYPERLINK("http://trademark.i-assist.jp/data/china/image_1915th/80622710.pdf","80622710")</f>
        <v>80622710</v>
      </c>
      <c r="F335" s="9" t="s">
        <v>983</v>
      </c>
      <c r="G335" s="9" t="s">
        <v>984</v>
      </c>
      <c r="H335" s="9" t="s">
        <v>985</v>
      </c>
      <c r="I335" s="10">
        <v>45532</v>
      </c>
    </row>
    <row r="336" spans="1:9" x14ac:dyDescent="0.15">
      <c r="A336" s="9">
        <v>335</v>
      </c>
      <c r="B336" s="9" t="s">
        <v>9</v>
      </c>
      <c r="C336" s="9">
        <v>1915</v>
      </c>
      <c r="D336" s="10">
        <v>45639</v>
      </c>
      <c r="E336" s="13" t="str">
        <f>+HYPERLINK("http://trademark.i-assist.jp/data/china/image_1915th/80622865.pdf","80622865")</f>
        <v>80622865</v>
      </c>
      <c r="F336" s="9" t="s">
        <v>986</v>
      </c>
      <c r="G336" s="9" t="s">
        <v>987</v>
      </c>
      <c r="H336" s="9" t="s">
        <v>988</v>
      </c>
      <c r="I336" s="10">
        <v>45532</v>
      </c>
    </row>
    <row r="337" spans="1:9" x14ac:dyDescent="0.15">
      <c r="A337" s="9">
        <v>336</v>
      </c>
      <c r="B337" s="9" t="s">
        <v>9</v>
      </c>
      <c r="C337" s="9">
        <v>1915</v>
      </c>
      <c r="D337" s="10">
        <v>45639</v>
      </c>
      <c r="E337" s="13" t="str">
        <f>+HYPERLINK("http://trademark.i-assist.jp/data/china/image_1915th/80623039.pdf","80623039")</f>
        <v>80623039</v>
      </c>
      <c r="F337" s="9" t="s">
        <v>989</v>
      </c>
      <c r="G337" s="12" t="s">
        <v>76</v>
      </c>
      <c r="H337" s="9" t="s">
        <v>990</v>
      </c>
      <c r="I337" s="10">
        <v>45532</v>
      </c>
    </row>
    <row r="338" spans="1:9" x14ac:dyDescent="0.15">
      <c r="A338" s="9">
        <v>337</v>
      </c>
      <c r="B338" s="9" t="s">
        <v>9</v>
      </c>
      <c r="C338" s="9">
        <v>1915</v>
      </c>
      <c r="D338" s="10">
        <v>45639</v>
      </c>
      <c r="E338" s="13" t="str">
        <f>+HYPERLINK("http://trademark.i-assist.jp/data/china/image_1915th/80623337.pdf","80623337")</f>
        <v>80623337</v>
      </c>
      <c r="F338" s="12" t="s">
        <v>991</v>
      </c>
      <c r="G338" s="12" t="s">
        <v>957</v>
      </c>
      <c r="H338" s="9" t="s">
        <v>992</v>
      </c>
      <c r="I338" s="10">
        <v>45532</v>
      </c>
    </row>
    <row r="339" spans="1:9" x14ac:dyDescent="0.15">
      <c r="A339" s="9">
        <v>338</v>
      </c>
      <c r="B339" s="9" t="s">
        <v>9</v>
      </c>
      <c r="C339" s="9">
        <v>1915</v>
      </c>
      <c r="D339" s="10">
        <v>45639</v>
      </c>
      <c r="E339" s="13" t="str">
        <f>+HYPERLINK("http://trademark.i-assist.jp/data/china/image_1915th/80623709.pdf","80623709")</f>
        <v>80623709</v>
      </c>
      <c r="F339" s="9" t="s">
        <v>993</v>
      </c>
      <c r="G339" s="12" t="s">
        <v>994</v>
      </c>
      <c r="H339" s="9" t="s">
        <v>995</v>
      </c>
      <c r="I339" s="10">
        <v>45532</v>
      </c>
    </row>
    <row r="340" spans="1:9" x14ac:dyDescent="0.15">
      <c r="A340" s="9">
        <v>339</v>
      </c>
      <c r="B340" s="9" t="s">
        <v>9</v>
      </c>
      <c r="C340" s="9">
        <v>1915</v>
      </c>
      <c r="D340" s="10">
        <v>45639</v>
      </c>
      <c r="E340" s="13" t="str">
        <f>+HYPERLINK("http://trademark.i-assist.jp/data/china/image_1915th/80623733.pdf","80623733")</f>
        <v>80623733</v>
      </c>
      <c r="F340" s="9" t="s">
        <v>996</v>
      </c>
      <c r="G340" s="12" t="s">
        <v>997</v>
      </c>
      <c r="H340" s="9" t="s">
        <v>13</v>
      </c>
      <c r="I340" s="10">
        <v>45532</v>
      </c>
    </row>
    <row r="341" spans="1:9" x14ac:dyDescent="0.15">
      <c r="A341" s="9">
        <v>340</v>
      </c>
      <c r="B341" s="9" t="s">
        <v>9</v>
      </c>
      <c r="C341" s="9">
        <v>1915</v>
      </c>
      <c r="D341" s="10">
        <v>45639</v>
      </c>
      <c r="E341" s="13" t="str">
        <f>+HYPERLINK("http://trademark.i-assist.jp/data/china/image_1915th/80625670.pdf","80625670")</f>
        <v>80625670</v>
      </c>
      <c r="F341" s="12" t="s">
        <v>998</v>
      </c>
      <c r="G341" s="12" t="s">
        <v>998</v>
      </c>
      <c r="H341" s="9" t="s">
        <v>999</v>
      </c>
      <c r="I341" s="10">
        <v>45533</v>
      </c>
    </row>
    <row r="342" spans="1:9" x14ac:dyDescent="0.15">
      <c r="A342" s="9">
        <v>341</v>
      </c>
      <c r="B342" s="9" t="s">
        <v>9</v>
      </c>
      <c r="C342" s="9">
        <v>1915</v>
      </c>
      <c r="D342" s="10">
        <v>45639</v>
      </c>
      <c r="E342" s="13" t="str">
        <f>+HYPERLINK("http://trademark.i-assist.jp/data/china/image_1915th/80626831.pdf","80626831")</f>
        <v>80626831</v>
      </c>
      <c r="F342" s="9" t="s">
        <v>1000</v>
      </c>
      <c r="G342" s="9" t="s">
        <v>1001</v>
      </c>
      <c r="H342" s="9" t="s">
        <v>1002</v>
      </c>
      <c r="I342" s="10">
        <v>45533</v>
      </c>
    </row>
    <row r="343" spans="1:9" x14ac:dyDescent="0.15">
      <c r="A343" s="9">
        <v>342</v>
      </c>
      <c r="B343" s="9" t="s">
        <v>9</v>
      </c>
      <c r="C343" s="9">
        <v>1915</v>
      </c>
      <c r="D343" s="10">
        <v>45639</v>
      </c>
      <c r="E343" s="13" t="str">
        <f>+HYPERLINK("http://trademark.i-assist.jp/data/china/image_1915th/80627474.pdf","80627474")</f>
        <v>80627474</v>
      </c>
      <c r="F343" s="9" t="s">
        <v>1003</v>
      </c>
      <c r="G343" s="9" t="s">
        <v>1004</v>
      </c>
      <c r="H343" s="9" t="s">
        <v>1005</v>
      </c>
      <c r="I343" s="10">
        <v>45533</v>
      </c>
    </row>
    <row r="344" spans="1:9" x14ac:dyDescent="0.15">
      <c r="A344" s="9">
        <v>343</v>
      </c>
      <c r="B344" s="9" t="s">
        <v>9</v>
      </c>
      <c r="C344" s="9">
        <v>1915</v>
      </c>
      <c r="D344" s="10">
        <v>45639</v>
      </c>
      <c r="E344" s="13" t="str">
        <f>+HYPERLINK("http://trademark.i-assist.jp/data/china/image_1915th/80627854.pdf","80627854")</f>
        <v>80627854</v>
      </c>
      <c r="F344" s="9" t="s">
        <v>1006</v>
      </c>
      <c r="G344" s="12" t="s">
        <v>1007</v>
      </c>
      <c r="H344" s="9" t="s">
        <v>1008</v>
      </c>
      <c r="I344" s="10">
        <v>45533</v>
      </c>
    </row>
    <row r="345" spans="1:9" x14ac:dyDescent="0.15">
      <c r="A345" s="9">
        <v>344</v>
      </c>
      <c r="B345" s="9" t="s">
        <v>9</v>
      </c>
      <c r="C345" s="9">
        <v>1915</v>
      </c>
      <c r="D345" s="10">
        <v>45639</v>
      </c>
      <c r="E345" s="13" t="str">
        <f>+HYPERLINK("http://trademark.i-assist.jp/data/china/image_1915th/80629515.pdf","80629515")</f>
        <v>80629515</v>
      </c>
      <c r="F345" s="9" t="s">
        <v>1009</v>
      </c>
      <c r="G345" s="9" t="s">
        <v>1010</v>
      </c>
      <c r="H345" s="9" t="s">
        <v>1011</v>
      </c>
      <c r="I345" s="10">
        <v>45533</v>
      </c>
    </row>
    <row r="346" spans="1:9" x14ac:dyDescent="0.15">
      <c r="A346" s="9">
        <v>345</v>
      </c>
      <c r="B346" s="9" t="s">
        <v>9</v>
      </c>
      <c r="C346" s="9">
        <v>1915</v>
      </c>
      <c r="D346" s="10">
        <v>45639</v>
      </c>
      <c r="E346" s="13" t="str">
        <f>+HYPERLINK("http://trademark.i-assist.jp/data/china/image_1915th/80630850.pdf","80630850")</f>
        <v>80630850</v>
      </c>
      <c r="F346" s="9" t="s">
        <v>1012</v>
      </c>
      <c r="G346" s="9" t="s">
        <v>1013</v>
      </c>
      <c r="H346" s="9" t="s">
        <v>1014</v>
      </c>
      <c r="I346" s="10">
        <v>45533</v>
      </c>
    </row>
    <row r="347" spans="1:9" x14ac:dyDescent="0.15">
      <c r="A347" s="9">
        <v>346</v>
      </c>
      <c r="B347" s="9" t="s">
        <v>9</v>
      </c>
      <c r="C347" s="9">
        <v>1915</v>
      </c>
      <c r="D347" s="10">
        <v>45639</v>
      </c>
      <c r="E347" s="13" t="str">
        <f>+HYPERLINK("http://trademark.i-assist.jp/data/china/image_1915th/80631769.pdf","80631769")</f>
        <v>80631769</v>
      </c>
      <c r="F347" s="9" t="s">
        <v>1015</v>
      </c>
      <c r="G347" s="9" t="s">
        <v>1016</v>
      </c>
      <c r="H347" s="9" t="s">
        <v>1017</v>
      </c>
      <c r="I347" s="10">
        <v>45533</v>
      </c>
    </row>
    <row r="348" spans="1:9" x14ac:dyDescent="0.15">
      <c r="A348" s="9">
        <v>347</v>
      </c>
      <c r="B348" s="9" t="s">
        <v>9</v>
      </c>
      <c r="C348" s="9">
        <v>1915</v>
      </c>
      <c r="D348" s="10">
        <v>45639</v>
      </c>
      <c r="E348" s="13" t="str">
        <f>+HYPERLINK("http://trademark.i-assist.jp/data/china/image_1915th/80632323.pdf","80632323")</f>
        <v>80632323</v>
      </c>
      <c r="F348" s="9" t="s">
        <v>1018</v>
      </c>
      <c r="G348" s="9" t="s">
        <v>21</v>
      </c>
      <c r="H348" s="9" t="s">
        <v>1019</v>
      </c>
      <c r="I348" s="10">
        <v>45533</v>
      </c>
    </row>
    <row r="349" spans="1:9" x14ac:dyDescent="0.15">
      <c r="A349" s="9">
        <v>348</v>
      </c>
      <c r="B349" s="9" t="s">
        <v>9</v>
      </c>
      <c r="C349" s="9">
        <v>1915</v>
      </c>
      <c r="D349" s="10">
        <v>45639</v>
      </c>
      <c r="E349" s="13" t="str">
        <f>+HYPERLINK("http://trademark.i-assist.jp/data/china/image_1915th/80635386.pdf","80635386")</f>
        <v>80635386</v>
      </c>
      <c r="F349" s="9" t="s">
        <v>1020</v>
      </c>
      <c r="G349" s="12" t="s">
        <v>1021</v>
      </c>
      <c r="H349" s="12" t="s">
        <v>1022</v>
      </c>
      <c r="I349" s="10">
        <v>45533</v>
      </c>
    </row>
    <row r="350" spans="1:9" x14ac:dyDescent="0.15">
      <c r="A350" s="9">
        <v>349</v>
      </c>
      <c r="B350" s="9" t="s">
        <v>9</v>
      </c>
      <c r="C350" s="9">
        <v>1915</v>
      </c>
      <c r="D350" s="10">
        <v>45639</v>
      </c>
      <c r="E350" s="13" t="str">
        <f>+HYPERLINK("http://trademark.i-assist.jp/data/china/image_1915th/80635525.pdf","80635525")</f>
        <v>80635525</v>
      </c>
      <c r="F350" s="9" t="s">
        <v>1023</v>
      </c>
      <c r="G350" s="9" t="s">
        <v>21</v>
      </c>
      <c r="H350" s="12" t="s">
        <v>1024</v>
      </c>
      <c r="I350" s="10">
        <v>45533</v>
      </c>
    </row>
    <row r="351" spans="1:9" x14ac:dyDescent="0.15">
      <c r="A351" s="9">
        <v>350</v>
      </c>
      <c r="B351" s="9" t="s">
        <v>9</v>
      </c>
      <c r="C351" s="9">
        <v>1915</v>
      </c>
      <c r="D351" s="10">
        <v>45639</v>
      </c>
      <c r="E351" s="13" t="str">
        <f>+HYPERLINK("http://trademark.i-assist.jp/data/china/image_1915th/80637265.pdf","80637265")</f>
        <v>80637265</v>
      </c>
      <c r="F351" s="12" t="s">
        <v>1025</v>
      </c>
      <c r="G351" s="9" t="s">
        <v>1026</v>
      </c>
      <c r="H351" s="9" t="s">
        <v>1027</v>
      </c>
      <c r="I351" s="10">
        <v>45533</v>
      </c>
    </row>
    <row r="352" spans="1:9" x14ac:dyDescent="0.15">
      <c r="A352" s="9">
        <v>351</v>
      </c>
      <c r="B352" s="9" t="s">
        <v>9</v>
      </c>
      <c r="C352" s="9">
        <v>1915</v>
      </c>
      <c r="D352" s="10">
        <v>45639</v>
      </c>
      <c r="E352" s="13" t="str">
        <f>+HYPERLINK("http://trademark.i-assist.jp/data/china/image_1915th/80638154.pdf","80638154")</f>
        <v>80638154</v>
      </c>
      <c r="F352" s="9" t="s">
        <v>1028</v>
      </c>
      <c r="G352" s="12" t="s">
        <v>1029</v>
      </c>
      <c r="H352" s="9" t="s">
        <v>1030</v>
      </c>
      <c r="I352" s="10">
        <v>45533</v>
      </c>
    </row>
    <row r="353" spans="1:9" x14ac:dyDescent="0.15">
      <c r="A353" s="9">
        <v>352</v>
      </c>
      <c r="B353" s="9" t="s">
        <v>9</v>
      </c>
      <c r="C353" s="9">
        <v>1915</v>
      </c>
      <c r="D353" s="10">
        <v>45639</v>
      </c>
      <c r="E353" s="13" t="str">
        <f>+HYPERLINK("http://trademark.i-assist.jp/data/china/image_1915th/80638426.pdf","80638426")</f>
        <v>80638426</v>
      </c>
      <c r="F353" s="9" t="s">
        <v>1031</v>
      </c>
      <c r="G353" s="9" t="s">
        <v>1032</v>
      </c>
      <c r="H353" s="9" t="s">
        <v>1033</v>
      </c>
      <c r="I353" s="10">
        <v>45533</v>
      </c>
    </row>
    <row r="354" spans="1:9" x14ac:dyDescent="0.15">
      <c r="A354" s="9">
        <v>353</v>
      </c>
      <c r="B354" s="9" t="s">
        <v>9</v>
      </c>
      <c r="C354" s="9">
        <v>1915</v>
      </c>
      <c r="D354" s="10">
        <v>45639</v>
      </c>
      <c r="E354" s="13" t="str">
        <f>+HYPERLINK("http://trademark.i-assist.jp/data/china/image_1915th/80639668.pdf","80639668")</f>
        <v>80639668</v>
      </c>
      <c r="F354" s="9" t="s">
        <v>1034</v>
      </c>
      <c r="G354" s="12" t="s">
        <v>1035</v>
      </c>
      <c r="H354" s="9" t="s">
        <v>1036</v>
      </c>
      <c r="I354" s="10">
        <v>45533</v>
      </c>
    </row>
    <row r="355" spans="1:9" x14ac:dyDescent="0.15">
      <c r="A355" s="9">
        <v>354</v>
      </c>
      <c r="B355" s="9" t="s">
        <v>9</v>
      </c>
      <c r="C355" s="9">
        <v>1915</v>
      </c>
      <c r="D355" s="10">
        <v>45639</v>
      </c>
      <c r="E355" s="13" t="str">
        <f>+HYPERLINK("http://trademark.i-assist.jp/data/china/image_1915th/80640674.pdf","80640674")</f>
        <v>80640674</v>
      </c>
      <c r="F355" s="9" t="s">
        <v>1037</v>
      </c>
      <c r="G355" s="12" t="s">
        <v>1038</v>
      </c>
      <c r="H355" s="9" t="s">
        <v>1039</v>
      </c>
      <c r="I355" s="10">
        <v>45533</v>
      </c>
    </row>
    <row r="356" spans="1:9" x14ac:dyDescent="0.15">
      <c r="A356" s="9">
        <v>355</v>
      </c>
      <c r="B356" s="9" t="s">
        <v>9</v>
      </c>
      <c r="C356" s="9">
        <v>1915</v>
      </c>
      <c r="D356" s="10">
        <v>45639</v>
      </c>
      <c r="E356" s="13" t="str">
        <f>+HYPERLINK("http://trademark.i-assist.jp/data/china/image_1915th/80641136.pdf","80641136")</f>
        <v>80641136</v>
      </c>
      <c r="F356" s="9" t="s">
        <v>1040</v>
      </c>
      <c r="G356" s="12" t="s">
        <v>1041</v>
      </c>
      <c r="H356" s="9" t="s">
        <v>1042</v>
      </c>
      <c r="I356" s="10">
        <v>45533</v>
      </c>
    </row>
    <row r="357" spans="1:9" x14ac:dyDescent="0.15">
      <c r="A357" s="9">
        <v>356</v>
      </c>
      <c r="B357" s="9" t="s">
        <v>9</v>
      </c>
      <c r="C357" s="9">
        <v>1915</v>
      </c>
      <c r="D357" s="10">
        <v>45639</v>
      </c>
      <c r="E357" s="13" t="str">
        <f>+HYPERLINK("http://trademark.i-assist.jp/data/china/image_1915th/80642435.pdf","80642435")</f>
        <v>80642435</v>
      </c>
      <c r="F357" s="9" t="s">
        <v>1043</v>
      </c>
      <c r="G357" s="9" t="s">
        <v>1026</v>
      </c>
      <c r="H357" s="12" t="s">
        <v>1044</v>
      </c>
      <c r="I357" s="10">
        <v>45533</v>
      </c>
    </row>
    <row r="358" spans="1:9" x14ac:dyDescent="0.15">
      <c r="A358" s="9">
        <v>357</v>
      </c>
      <c r="B358" s="9" t="s">
        <v>9</v>
      </c>
      <c r="C358" s="9">
        <v>1915</v>
      </c>
      <c r="D358" s="10">
        <v>45639</v>
      </c>
      <c r="E358" s="13" t="str">
        <f>+HYPERLINK("http://trademark.i-assist.jp/data/china/image_1915th/80642742.pdf","80642742")</f>
        <v>80642742</v>
      </c>
      <c r="F358" s="9" t="s">
        <v>1045</v>
      </c>
      <c r="G358" s="9" t="s">
        <v>1046</v>
      </c>
      <c r="H358" s="12" t="s">
        <v>1047</v>
      </c>
      <c r="I358" s="10">
        <v>45533</v>
      </c>
    </row>
    <row r="359" spans="1:9" x14ac:dyDescent="0.15">
      <c r="A359" s="9">
        <v>358</v>
      </c>
      <c r="B359" s="9" t="s">
        <v>9</v>
      </c>
      <c r="C359" s="9">
        <v>1915</v>
      </c>
      <c r="D359" s="10">
        <v>45639</v>
      </c>
      <c r="E359" s="13" t="str">
        <f>+HYPERLINK("http://trademark.i-assist.jp/data/china/image_1915th/80644827.pdf","80644827")</f>
        <v>80644827</v>
      </c>
      <c r="F359" s="9" t="s">
        <v>1048</v>
      </c>
      <c r="G359" s="9" t="s">
        <v>1013</v>
      </c>
      <c r="H359" s="9" t="s">
        <v>1049</v>
      </c>
      <c r="I359" s="10">
        <v>45533</v>
      </c>
    </row>
    <row r="360" spans="1:9" x14ac:dyDescent="0.15">
      <c r="A360" s="9">
        <v>359</v>
      </c>
      <c r="B360" s="9" t="s">
        <v>9</v>
      </c>
      <c r="C360" s="9">
        <v>1915</v>
      </c>
      <c r="D360" s="10">
        <v>45639</v>
      </c>
      <c r="E360" s="13" t="str">
        <f>+HYPERLINK("http://trademark.i-assist.jp/data/china/image_1915th/80644860.pdf","80644860")</f>
        <v>80644860</v>
      </c>
      <c r="F360" s="12" t="s">
        <v>15</v>
      </c>
      <c r="G360" s="9" t="s">
        <v>1050</v>
      </c>
      <c r="H360" s="9" t="s">
        <v>1051</v>
      </c>
      <c r="I360" s="10">
        <v>45533</v>
      </c>
    </row>
    <row r="361" spans="1:9" x14ac:dyDescent="0.15">
      <c r="A361" s="9">
        <v>360</v>
      </c>
      <c r="B361" s="9" t="s">
        <v>9</v>
      </c>
      <c r="C361" s="9">
        <v>1915</v>
      </c>
      <c r="D361" s="10">
        <v>45639</v>
      </c>
      <c r="E361" s="13" t="str">
        <f>+HYPERLINK("http://trademark.i-assist.jp/data/china/image_1915th/80646744.pdf","80646744")</f>
        <v>80646744</v>
      </c>
      <c r="F361" s="9" t="s">
        <v>1052</v>
      </c>
      <c r="G361" s="9" t="s">
        <v>1053</v>
      </c>
      <c r="H361" s="9" t="s">
        <v>1054</v>
      </c>
      <c r="I361" s="10">
        <v>45533</v>
      </c>
    </row>
    <row r="362" spans="1:9" x14ac:dyDescent="0.15">
      <c r="A362" s="9">
        <v>361</v>
      </c>
      <c r="B362" s="9" t="s">
        <v>9</v>
      </c>
      <c r="C362" s="9">
        <v>1915</v>
      </c>
      <c r="D362" s="10">
        <v>45639</v>
      </c>
      <c r="E362" s="13" t="str">
        <f>+HYPERLINK("http://trademark.i-assist.jp/data/china/image_1915th/80648007.pdf","80648007")</f>
        <v>80648007</v>
      </c>
      <c r="F362" s="9" t="s">
        <v>1055</v>
      </c>
      <c r="G362" s="9" t="s">
        <v>21</v>
      </c>
      <c r="H362" s="9" t="s">
        <v>1056</v>
      </c>
      <c r="I362" s="10">
        <v>45533</v>
      </c>
    </row>
    <row r="363" spans="1:9" x14ac:dyDescent="0.15">
      <c r="A363" s="9">
        <v>362</v>
      </c>
      <c r="B363" s="9" t="s">
        <v>9</v>
      </c>
      <c r="C363" s="9">
        <v>1915</v>
      </c>
      <c r="D363" s="10">
        <v>45639</v>
      </c>
      <c r="E363" s="13" t="str">
        <f>+HYPERLINK("http://trademark.i-assist.jp/data/china/image_1915th/80650195.pdf","80650195")</f>
        <v>80650195</v>
      </c>
      <c r="F363" s="9" t="s">
        <v>1057</v>
      </c>
      <c r="G363" s="9" t="s">
        <v>1058</v>
      </c>
      <c r="H363" s="9" t="s">
        <v>1059</v>
      </c>
      <c r="I363" s="10">
        <v>45534</v>
      </c>
    </row>
    <row r="364" spans="1:9" x14ac:dyDescent="0.15">
      <c r="A364" s="9">
        <v>363</v>
      </c>
      <c r="B364" s="9" t="s">
        <v>9</v>
      </c>
      <c r="C364" s="9">
        <v>1915</v>
      </c>
      <c r="D364" s="10">
        <v>45639</v>
      </c>
      <c r="E364" s="13" t="str">
        <f>+HYPERLINK("http://trademark.i-assist.jp/data/china/image_1915th/80651411.pdf","80651411")</f>
        <v>80651411</v>
      </c>
      <c r="F364" s="9" t="s">
        <v>1060</v>
      </c>
      <c r="G364" s="12" t="s">
        <v>1061</v>
      </c>
      <c r="H364" s="9" t="s">
        <v>1062</v>
      </c>
      <c r="I364" s="10">
        <v>45534</v>
      </c>
    </row>
    <row r="365" spans="1:9" x14ac:dyDescent="0.15">
      <c r="A365" s="9">
        <v>364</v>
      </c>
      <c r="B365" s="9" t="s">
        <v>9</v>
      </c>
      <c r="C365" s="9">
        <v>1915</v>
      </c>
      <c r="D365" s="10">
        <v>45639</v>
      </c>
      <c r="E365" s="13" t="str">
        <f>+HYPERLINK("http://trademark.i-assist.jp/data/china/image_1915th/80651432.pdf","80651432")</f>
        <v>80651432</v>
      </c>
      <c r="F365" s="9" t="s">
        <v>1063</v>
      </c>
      <c r="G365" s="9" t="s">
        <v>1064</v>
      </c>
      <c r="H365" s="9" t="s">
        <v>1065</v>
      </c>
      <c r="I365" s="10">
        <v>45534</v>
      </c>
    </row>
    <row r="366" spans="1:9" x14ac:dyDescent="0.15">
      <c r="A366" s="9">
        <v>365</v>
      </c>
      <c r="B366" s="9" t="s">
        <v>9</v>
      </c>
      <c r="C366" s="9">
        <v>1915</v>
      </c>
      <c r="D366" s="10">
        <v>45639</v>
      </c>
      <c r="E366" s="13" t="str">
        <f>+HYPERLINK("http://trademark.i-assist.jp/data/china/image_1915th/80655526.pdf","80655526")</f>
        <v>80655526</v>
      </c>
      <c r="F366" s="9" t="s">
        <v>1066</v>
      </c>
      <c r="G366" s="9" t="s">
        <v>1067</v>
      </c>
      <c r="H366" s="9" t="s">
        <v>1068</v>
      </c>
      <c r="I366" s="10">
        <v>45534</v>
      </c>
    </row>
    <row r="367" spans="1:9" x14ac:dyDescent="0.15">
      <c r="A367" s="9">
        <v>366</v>
      </c>
      <c r="B367" s="9" t="s">
        <v>9</v>
      </c>
      <c r="C367" s="9">
        <v>1915</v>
      </c>
      <c r="D367" s="10">
        <v>45639</v>
      </c>
      <c r="E367" s="13" t="str">
        <f>+HYPERLINK("http://trademark.i-assist.jp/data/china/image_1915th/80656075.pdf","80656075")</f>
        <v>80656075</v>
      </c>
      <c r="F367" s="9" t="s">
        <v>1069</v>
      </c>
      <c r="G367" s="9" t="s">
        <v>1058</v>
      </c>
      <c r="H367" s="9" t="s">
        <v>1070</v>
      </c>
      <c r="I367" s="10">
        <v>45534</v>
      </c>
    </row>
    <row r="368" spans="1:9" x14ac:dyDescent="0.15">
      <c r="A368" s="9">
        <v>367</v>
      </c>
      <c r="B368" s="9" t="s">
        <v>9</v>
      </c>
      <c r="C368" s="9">
        <v>1915</v>
      </c>
      <c r="D368" s="10">
        <v>45639</v>
      </c>
      <c r="E368" s="13" t="str">
        <f>+HYPERLINK("http://trademark.i-assist.jp/data/china/image_1915th/80656525.pdf","80656525")</f>
        <v>80656525</v>
      </c>
      <c r="F368" s="9" t="s">
        <v>1071</v>
      </c>
      <c r="G368" s="9" t="s">
        <v>1058</v>
      </c>
      <c r="H368" s="9" t="s">
        <v>1072</v>
      </c>
      <c r="I368" s="10">
        <v>45534</v>
      </c>
    </row>
    <row r="369" spans="1:9" x14ac:dyDescent="0.15">
      <c r="A369" s="9">
        <v>368</v>
      </c>
      <c r="B369" s="9" t="s">
        <v>9</v>
      </c>
      <c r="C369" s="9">
        <v>1915</v>
      </c>
      <c r="D369" s="10">
        <v>45639</v>
      </c>
      <c r="E369" s="13" t="str">
        <f>+HYPERLINK("http://trademark.i-assist.jp/data/china/image_1915th/80658248.pdf","80658248")</f>
        <v>80658248</v>
      </c>
      <c r="F369" s="12" t="s">
        <v>1073</v>
      </c>
      <c r="G369" s="12" t="s">
        <v>1074</v>
      </c>
      <c r="H369" s="9" t="s">
        <v>1075</v>
      </c>
      <c r="I369" s="10">
        <v>45534</v>
      </c>
    </row>
    <row r="370" spans="1:9" x14ac:dyDescent="0.15">
      <c r="A370" s="9">
        <v>369</v>
      </c>
      <c r="B370" s="9" t="s">
        <v>9</v>
      </c>
      <c r="C370" s="9">
        <v>1915</v>
      </c>
      <c r="D370" s="10">
        <v>45639</v>
      </c>
      <c r="E370" s="13" t="str">
        <f>+HYPERLINK("http://trademark.i-assist.jp/data/china/image_1915th/80659534.pdf","80659534")</f>
        <v>80659534</v>
      </c>
      <c r="F370" s="9" t="s">
        <v>1076</v>
      </c>
      <c r="G370" s="9" t="s">
        <v>1058</v>
      </c>
      <c r="H370" s="9" t="s">
        <v>1077</v>
      </c>
      <c r="I370" s="10">
        <v>45534</v>
      </c>
    </row>
    <row r="371" spans="1:9" x14ac:dyDescent="0.15">
      <c r="A371" s="9">
        <v>370</v>
      </c>
      <c r="B371" s="9" t="s">
        <v>9</v>
      </c>
      <c r="C371" s="9">
        <v>1915</v>
      </c>
      <c r="D371" s="10">
        <v>45639</v>
      </c>
      <c r="E371" s="13" t="str">
        <f>+HYPERLINK("http://trademark.i-assist.jp/data/china/image_1915th/80661877.pdf","80661877")</f>
        <v>80661877</v>
      </c>
      <c r="F371" s="9" t="s">
        <v>1078</v>
      </c>
      <c r="G371" s="9" t="s">
        <v>1079</v>
      </c>
      <c r="H371" s="9" t="s">
        <v>1080</v>
      </c>
      <c r="I371" s="10">
        <v>45534</v>
      </c>
    </row>
    <row r="372" spans="1:9" x14ac:dyDescent="0.15">
      <c r="A372" s="9">
        <v>371</v>
      </c>
      <c r="B372" s="9" t="s">
        <v>9</v>
      </c>
      <c r="C372" s="9">
        <v>1915</v>
      </c>
      <c r="D372" s="10">
        <v>45639</v>
      </c>
      <c r="E372" s="13" t="str">
        <f>+HYPERLINK("http://trademark.i-assist.jp/data/china/image_1915th/80662088.pdf","80662088")</f>
        <v>80662088</v>
      </c>
      <c r="F372" s="12" t="s">
        <v>1081</v>
      </c>
      <c r="G372" s="9" t="s">
        <v>1082</v>
      </c>
      <c r="H372" s="9" t="s">
        <v>1083</v>
      </c>
      <c r="I372" s="10">
        <v>45534</v>
      </c>
    </row>
    <row r="373" spans="1:9" x14ac:dyDescent="0.15">
      <c r="A373" s="9">
        <v>372</v>
      </c>
      <c r="B373" s="9" t="s">
        <v>9</v>
      </c>
      <c r="C373" s="9">
        <v>1915</v>
      </c>
      <c r="D373" s="10">
        <v>45639</v>
      </c>
      <c r="E373" s="13" t="str">
        <f>+HYPERLINK("http://trademark.i-assist.jp/data/china/image_1915th/80665593.pdf","80665593")</f>
        <v>80665593</v>
      </c>
      <c r="F373" s="9" t="s">
        <v>1084</v>
      </c>
      <c r="G373" s="9" t="s">
        <v>1085</v>
      </c>
      <c r="H373" s="9" t="s">
        <v>1086</v>
      </c>
      <c r="I373" s="10">
        <v>45534</v>
      </c>
    </row>
    <row r="374" spans="1:9" x14ac:dyDescent="0.15">
      <c r="A374" s="9">
        <v>373</v>
      </c>
      <c r="B374" s="9" t="s">
        <v>9</v>
      </c>
      <c r="C374" s="9">
        <v>1915</v>
      </c>
      <c r="D374" s="10">
        <v>45639</v>
      </c>
      <c r="E374" s="13" t="str">
        <f>+HYPERLINK("http://trademark.i-assist.jp/data/china/image_1915th/80666553.pdf","80666553")</f>
        <v>80666553</v>
      </c>
      <c r="F374" s="12" t="s">
        <v>1087</v>
      </c>
      <c r="G374" s="12" t="s">
        <v>1087</v>
      </c>
      <c r="H374" s="12" t="s">
        <v>1088</v>
      </c>
      <c r="I374" s="10">
        <v>45534</v>
      </c>
    </row>
    <row r="375" spans="1:9" x14ac:dyDescent="0.15">
      <c r="A375" s="9">
        <v>374</v>
      </c>
      <c r="B375" s="9" t="s">
        <v>9</v>
      </c>
      <c r="C375" s="9">
        <v>1915</v>
      </c>
      <c r="D375" s="10">
        <v>45639</v>
      </c>
      <c r="E375" s="13" t="str">
        <f>+HYPERLINK("http://trademark.i-assist.jp/data/china/image_1915th/80671349.pdf","80671349")</f>
        <v>80671349</v>
      </c>
      <c r="F375" s="9" t="s">
        <v>1089</v>
      </c>
      <c r="G375" s="12" t="s">
        <v>1090</v>
      </c>
      <c r="H375" s="9" t="s">
        <v>1091</v>
      </c>
      <c r="I375" s="10">
        <v>45534</v>
      </c>
    </row>
    <row r="376" spans="1:9" x14ac:dyDescent="0.15">
      <c r="A376" s="9">
        <v>375</v>
      </c>
      <c r="B376" s="9" t="s">
        <v>9</v>
      </c>
      <c r="C376" s="9">
        <v>1915</v>
      </c>
      <c r="D376" s="10">
        <v>45639</v>
      </c>
      <c r="E376" s="13" t="str">
        <f>+HYPERLINK("http://trademark.i-assist.jp/data/china/image_1915th/80672680.pdf","80672680")</f>
        <v>80672680</v>
      </c>
      <c r="F376" s="9" t="s">
        <v>1092</v>
      </c>
      <c r="G376" s="9" t="s">
        <v>1093</v>
      </c>
      <c r="H376" s="12" t="s">
        <v>1094</v>
      </c>
      <c r="I376" s="10">
        <v>45534</v>
      </c>
    </row>
    <row r="377" spans="1:9" x14ac:dyDescent="0.15">
      <c r="A377" s="9">
        <v>376</v>
      </c>
      <c r="B377" s="9" t="s">
        <v>9</v>
      </c>
      <c r="C377" s="9">
        <v>1915</v>
      </c>
      <c r="D377" s="10">
        <v>45639</v>
      </c>
      <c r="E377" s="13" t="str">
        <f>+HYPERLINK("http://trademark.i-assist.jp/data/china/image_1915th/80673486.pdf","80673486")</f>
        <v>80673486</v>
      </c>
      <c r="F377" s="9" t="s">
        <v>1095</v>
      </c>
      <c r="G377" s="12" t="s">
        <v>1096</v>
      </c>
      <c r="H377" s="12" t="s">
        <v>1097</v>
      </c>
      <c r="I377" s="10">
        <v>45535</v>
      </c>
    </row>
    <row r="378" spans="1:9" x14ac:dyDescent="0.15">
      <c r="A378" s="9">
        <v>377</v>
      </c>
      <c r="B378" s="9" t="s">
        <v>9</v>
      </c>
      <c r="C378" s="9">
        <v>1915</v>
      </c>
      <c r="D378" s="10">
        <v>45639</v>
      </c>
      <c r="E378" s="13" t="str">
        <f>+HYPERLINK("http://trademark.i-assist.jp/data/china/image_1915th/80674699.pdf","80674699")</f>
        <v>80674699</v>
      </c>
      <c r="F378" s="9" t="s">
        <v>1098</v>
      </c>
      <c r="G378" s="12" t="s">
        <v>1096</v>
      </c>
      <c r="H378" s="9" t="s">
        <v>1099</v>
      </c>
      <c r="I378" s="10">
        <v>45535</v>
      </c>
    </row>
    <row r="379" spans="1:9" x14ac:dyDescent="0.15">
      <c r="A379" s="9">
        <v>378</v>
      </c>
      <c r="B379" s="9" t="s">
        <v>9</v>
      </c>
      <c r="C379" s="9">
        <v>1915</v>
      </c>
      <c r="D379" s="10">
        <v>45639</v>
      </c>
      <c r="E379" s="13" t="str">
        <f>+HYPERLINK("http://trademark.i-assist.jp/data/china/image_1915th/80675896.pdf","80675896")</f>
        <v>80675896</v>
      </c>
      <c r="F379" s="9" t="s">
        <v>1100</v>
      </c>
      <c r="G379" s="9" t="s">
        <v>1101</v>
      </c>
      <c r="H379" s="9" t="s">
        <v>1102</v>
      </c>
      <c r="I379" s="10">
        <v>45535</v>
      </c>
    </row>
    <row r="380" spans="1:9" x14ac:dyDescent="0.15">
      <c r="A380" s="9">
        <v>379</v>
      </c>
      <c r="B380" s="9" t="s">
        <v>9</v>
      </c>
      <c r="C380" s="9">
        <v>1915</v>
      </c>
      <c r="D380" s="10">
        <v>45639</v>
      </c>
      <c r="E380" s="13" t="str">
        <f>+HYPERLINK("http://trademark.i-assist.jp/data/china/image_1915th/80676343.pdf","80676343")</f>
        <v>80676343</v>
      </c>
      <c r="F380" s="9" t="s">
        <v>1103</v>
      </c>
      <c r="G380" s="12" t="s">
        <v>1096</v>
      </c>
      <c r="H380" s="9" t="s">
        <v>1104</v>
      </c>
      <c r="I380" s="10">
        <v>45535</v>
      </c>
    </row>
    <row r="381" spans="1:9" x14ac:dyDescent="0.15">
      <c r="A381" s="9">
        <v>380</v>
      </c>
      <c r="B381" s="9" t="s">
        <v>9</v>
      </c>
      <c r="C381" s="9">
        <v>1915</v>
      </c>
      <c r="D381" s="10">
        <v>45639</v>
      </c>
      <c r="E381" s="13" t="str">
        <f>+HYPERLINK("http://trademark.i-assist.jp/data/china/image_1915th/80677111.pdf","80677111")</f>
        <v>80677111</v>
      </c>
      <c r="F381" s="9" t="s">
        <v>1105</v>
      </c>
      <c r="G381" s="9" t="s">
        <v>1106</v>
      </c>
      <c r="H381" s="9" t="s">
        <v>1107</v>
      </c>
      <c r="I381" s="10">
        <v>45535</v>
      </c>
    </row>
    <row r="382" spans="1:9" x14ac:dyDescent="0.15">
      <c r="A382" s="9">
        <v>381</v>
      </c>
      <c r="B382" s="9" t="s">
        <v>9</v>
      </c>
      <c r="C382" s="9">
        <v>1915</v>
      </c>
      <c r="D382" s="10">
        <v>45639</v>
      </c>
      <c r="E382" s="13" t="str">
        <f>+HYPERLINK("http://trademark.i-assist.jp/data/china/image_1915th/80678376.pdf","80678376")</f>
        <v>80678376</v>
      </c>
      <c r="F382" s="9" t="s">
        <v>1108</v>
      </c>
      <c r="G382" s="9" t="s">
        <v>1109</v>
      </c>
      <c r="H382" s="9" t="s">
        <v>1110</v>
      </c>
      <c r="I382" s="10">
        <v>45535</v>
      </c>
    </row>
    <row r="383" spans="1:9" x14ac:dyDescent="0.15">
      <c r="A383" s="9">
        <v>382</v>
      </c>
      <c r="B383" s="9" t="s">
        <v>9</v>
      </c>
      <c r="C383" s="9">
        <v>1915</v>
      </c>
      <c r="D383" s="10">
        <v>45639</v>
      </c>
      <c r="E383" s="13" t="str">
        <f>+HYPERLINK("http://trademark.i-assist.jp/data/china/image_1915th/80678732.pdf","80678732")</f>
        <v>80678732</v>
      </c>
      <c r="F383" s="9" t="s">
        <v>1111</v>
      </c>
      <c r="G383" s="12" t="s">
        <v>1096</v>
      </c>
      <c r="H383" s="9" t="s">
        <v>1112</v>
      </c>
      <c r="I383" s="10">
        <v>45535</v>
      </c>
    </row>
    <row r="384" spans="1:9" x14ac:dyDescent="0.15">
      <c r="A384" s="9">
        <v>383</v>
      </c>
      <c r="B384" s="9" t="s">
        <v>9</v>
      </c>
      <c r="C384" s="9">
        <v>1915</v>
      </c>
      <c r="D384" s="10">
        <v>45639</v>
      </c>
      <c r="E384" s="13" t="str">
        <f>+HYPERLINK("http://trademark.i-assist.jp/data/china/image_1915th/80678835.pdf","80678835")</f>
        <v>80678835</v>
      </c>
      <c r="F384" s="9" t="s">
        <v>1113</v>
      </c>
      <c r="G384" s="9" t="s">
        <v>1114</v>
      </c>
      <c r="H384" s="9" t="s">
        <v>1115</v>
      </c>
      <c r="I384" s="10">
        <v>45535</v>
      </c>
    </row>
    <row r="385" spans="1:9" x14ac:dyDescent="0.15">
      <c r="A385" s="9">
        <v>384</v>
      </c>
      <c r="B385" s="9" t="s">
        <v>9</v>
      </c>
      <c r="C385" s="9">
        <v>1915</v>
      </c>
      <c r="D385" s="10">
        <v>45639</v>
      </c>
      <c r="E385" s="13" t="str">
        <f>+HYPERLINK("http://trademark.i-assist.jp/data/china/image_1915th/80679012.pdf","80679012")</f>
        <v>80679012</v>
      </c>
      <c r="F385" s="12" t="s">
        <v>15</v>
      </c>
      <c r="G385" s="9" t="s">
        <v>1116</v>
      </c>
      <c r="H385" s="9" t="s">
        <v>1117</v>
      </c>
      <c r="I385" s="10">
        <v>45535</v>
      </c>
    </row>
    <row r="386" spans="1:9" x14ac:dyDescent="0.15">
      <c r="A386" s="9">
        <v>385</v>
      </c>
      <c r="B386" s="9" t="s">
        <v>9</v>
      </c>
      <c r="C386" s="9">
        <v>1915</v>
      </c>
      <c r="D386" s="10">
        <v>45639</v>
      </c>
      <c r="E386" s="13" t="str">
        <f>+HYPERLINK("http://trademark.i-assist.jp/data/china/image_1915th/80679522.pdf","80679522")</f>
        <v>80679522</v>
      </c>
      <c r="F386" s="9" t="s">
        <v>1118</v>
      </c>
      <c r="G386" s="12" t="s">
        <v>1096</v>
      </c>
      <c r="H386" s="9" t="s">
        <v>1119</v>
      </c>
      <c r="I386" s="10">
        <v>45535</v>
      </c>
    </row>
    <row r="387" spans="1:9" x14ac:dyDescent="0.15">
      <c r="A387" s="9">
        <v>386</v>
      </c>
      <c r="B387" s="9" t="s">
        <v>9</v>
      </c>
      <c r="C387" s="9">
        <v>1915</v>
      </c>
      <c r="D387" s="10">
        <v>45639</v>
      </c>
      <c r="E387" s="13" t="str">
        <f>+HYPERLINK("http://trademark.i-assist.jp/data/china/image_1915th/80680140.pdf","80680140")</f>
        <v>80680140</v>
      </c>
      <c r="F387" s="9" t="s">
        <v>1120</v>
      </c>
      <c r="G387" s="12" t="s">
        <v>1121</v>
      </c>
      <c r="H387" s="9" t="s">
        <v>1122</v>
      </c>
      <c r="I387" s="10">
        <v>45536</v>
      </c>
    </row>
    <row r="388" spans="1:9" x14ac:dyDescent="0.15">
      <c r="A388" s="9">
        <v>387</v>
      </c>
      <c r="B388" s="9" t="s">
        <v>9</v>
      </c>
      <c r="C388" s="9">
        <v>1915</v>
      </c>
      <c r="D388" s="10">
        <v>45639</v>
      </c>
      <c r="E388" s="13" t="str">
        <f>+HYPERLINK("http://trademark.i-assist.jp/data/china/image_1915th/80680413.pdf","80680413")</f>
        <v>80680413</v>
      </c>
      <c r="F388" s="9" t="s">
        <v>1123</v>
      </c>
      <c r="G388" s="9" t="s">
        <v>1124</v>
      </c>
      <c r="H388" s="9" t="s">
        <v>1125</v>
      </c>
      <c r="I388" s="10">
        <v>45536</v>
      </c>
    </row>
    <row r="389" spans="1:9" x14ac:dyDescent="0.15">
      <c r="A389" s="9">
        <v>388</v>
      </c>
      <c r="B389" s="9" t="s">
        <v>9</v>
      </c>
      <c r="C389" s="9">
        <v>1915</v>
      </c>
      <c r="D389" s="10">
        <v>45639</v>
      </c>
      <c r="E389" s="13" t="str">
        <f>+HYPERLINK("http://trademark.i-assist.jp/data/china/image_1915th/80683447.pdf","80683447")</f>
        <v>80683447</v>
      </c>
      <c r="F389" s="12" t="s">
        <v>1126</v>
      </c>
      <c r="G389" s="9" t="s">
        <v>1127</v>
      </c>
      <c r="H389" s="9" t="s">
        <v>1128</v>
      </c>
      <c r="I389" s="10">
        <v>45537</v>
      </c>
    </row>
    <row r="390" spans="1:9" x14ac:dyDescent="0.15">
      <c r="A390" s="9">
        <v>389</v>
      </c>
      <c r="B390" s="9" t="s">
        <v>9</v>
      </c>
      <c r="C390" s="9">
        <v>1915</v>
      </c>
      <c r="D390" s="10">
        <v>45639</v>
      </c>
      <c r="E390" s="13" t="str">
        <f>+HYPERLINK("http://trademark.i-assist.jp/data/china/image_1915th/80683604.pdf","80683604")</f>
        <v>80683604</v>
      </c>
      <c r="F390" s="9" t="s">
        <v>1129</v>
      </c>
      <c r="G390" s="9" t="s">
        <v>1130</v>
      </c>
      <c r="H390" s="9" t="s">
        <v>1131</v>
      </c>
      <c r="I390" s="10">
        <v>45537</v>
      </c>
    </row>
    <row r="391" spans="1:9" x14ac:dyDescent="0.15">
      <c r="A391" s="9">
        <v>390</v>
      </c>
      <c r="B391" s="9" t="s">
        <v>9</v>
      </c>
      <c r="C391" s="9">
        <v>1915</v>
      </c>
      <c r="D391" s="10">
        <v>45639</v>
      </c>
      <c r="E391" s="13" t="str">
        <f>+HYPERLINK("http://trademark.i-assist.jp/data/china/image_1915th/80683714.pdf","80683714")</f>
        <v>80683714</v>
      </c>
      <c r="F391" s="9" t="s">
        <v>1132</v>
      </c>
      <c r="G391" s="12" t="s">
        <v>1133</v>
      </c>
      <c r="H391" s="9" t="s">
        <v>1134</v>
      </c>
      <c r="I391" s="10">
        <v>45537</v>
      </c>
    </row>
    <row r="392" spans="1:9" x14ac:dyDescent="0.15">
      <c r="A392" s="9">
        <v>391</v>
      </c>
      <c r="B392" s="9" t="s">
        <v>9</v>
      </c>
      <c r="C392" s="9">
        <v>1915</v>
      </c>
      <c r="D392" s="10">
        <v>45639</v>
      </c>
      <c r="E392" s="13" t="str">
        <f>+HYPERLINK("http://trademark.i-assist.jp/data/china/image_1915th/80685382.pdf","80685382")</f>
        <v>80685382</v>
      </c>
      <c r="F392" s="9" t="s">
        <v>1135</v>
      </c>
      <c r="G392" s="9" t="s">
        <v>1136</v>
      </c>
      <c r="H392" s="9" t="s">
        <v>1137</v>
      </c>
      <c r="I392" s="10">
        <v>45537</v>
      </c>
    </row>
    <row r="393" spans="1:9" x14ac:dyDescent="0.15">
      <c r="A393" s="9">
        <v>392</v>
      </c>
      <c r="B393" s="9" t="s">
        <v>9</v>
      </c>
      <c r="C393" s="9">
        <v>1915</v>
      </c>
      <c r="D393" s="10">
        <v>45639</v>
      </c>
      <c r="E393" s="13" t="str">
        <f>+HYPERLINK("http://trademark.i-assist.jp/data/china/image_1915th/80686615.pdf","80686615")</f>
        <v>80686615</v>
      </c>
      <c r="F393" s="9" t="s">
        <v>1138</v>
      </c>
      <c r="G393" s="9" t="s">
        <v>1139</v>
      </c>
      <c r="H393" s="9" t="s">
        <v>1140</v>
      </c>
      <c r="I393" s="10">
        <v>45537</v>
      </c>
    </row>
    <row r="394" spans="1:9" x14ac:dyDescent="0.15">
      <c r="A394" s="9">
        <v>393</v>
      </c>
      <c r="B394" s="9" t="s">
        <v>9</v>
      </c>
      <c r="C394" s="9">
        <v>1915</v>
      </c>
      <c r="D394" s="10">
        <v>45639</v>
      </c>
      <c r="E394" s="13" t="str">
        <f>+HYPERLINK("http://trademark.i-assist.jp/data/china/image_1915th/80689544.pdf","80689544")</f>
        <v>80689544</v>
      </c>
      <c r="F394" s="9" t="s">
        <v>1141</v>
      </c>
      <c r="G394" s="9" t="s">
        <v>1142</v>
      </c>
      <c r="H394" s="9" t="s">
        <v>1143</v>
      </c>
      <c r="I394" s="10">
        <v>45537</v>
      </c>
    </row>
    <row r="395" spans="1:9" x14ac:dyDescent="0.15">
      <c r="A395" s="9">
        <v>394</v>
      </c>
      <c r="B395" s="9" t="s">
        <v>9</v>
      </c>
      <c r="C395" s="9">
        <v>1915</v>
      </c>
      <c r="D395" s="10">
        <v>45639</v>
      </c>
      <c r="E395" s="13" t="str">
        <f>+HYPERLINK("http://trademark.i-assist.jp/data/china/image_1915th/80690420.pdf","80690420")</f>
        <v>80690420</v>
      </c>
      <c r="F395" s="9" t="s">
        <v>1144</v>
      </c>
      <c r="G395" s="9" t="s">
        <v>1127</v>
      </c>
      <c r="H395" s="9" t="s">
        <v>1145</v>
      </c>
      <c r="I395" s="10">
        <v>45537</v>
      </c>
    </row>
    <row r="396" spans="1:9" x14ac:dyDescent="0.15">
      <c r="A396" s="9">
        <v>395</v>
      </c>
      <c r="B396" s="9" t="s">
        <v>9</v>
      </c>
      <c r="C396" s="9">
        <v>1915</v>
      </c>
      <c r="D396" s="10">
        <v>45639</v>
      </c>
      <c r="E396" s="13" t="str">
        <f>+HYPERLINK("http://trademark.i-assist.jp/data/china/image_1915th/80691391.pdf","80691391")</f>
        <v>80691391</v>
      </c>
      <c r="F396" s="9" t="s">
        <v>1146</v>
      </c>
      <c r="G396" s="12" t="s">
        <v>1147</v>
      </c>
      <c r="H396" s="9" t="s">
        <v>1148</v>
      </c>
      <c r="I396" s="10">
        <v>45537</v>
      </c>
    </row>
    <row r="397" spans="1:9" x14ac:dyDescent="0.15">
      <c r="A397" s="9">
        <v>396</v>
      </c>
      <c r="B397" s="9" t="s">
        <v>9</v>
      </c>
      <c r="C397" s="9">
        <v>1915</v>
      </c>
      <c r="D397" s="10">
        <v>45639</v>
      </c>
      <c r="E397" s="13" t="str">
        <f>+HYPERLINK("http://trademark.i-assist.jp/data/china/image_1915th/80692243.pdf","80692243")</f>
        <v>80692243</v>
      </c>
      <c r="F397" s="9" t="s">
        <v>1149</v>
      </c>
      <c r="G397" s="9" t="s">
        <v>1127</v>
      </c>
      <c r="H397" s="12" t="s">
        <v>1150</v>
      </c>
      <c r="I397" s="10">
        <v>45537</v>
      </c>
    </row>
    <row r="398" spans="1:9" x14ac:dyDescent="0.15">
      <c r="A398" s="9">
        <v>397</v>
      </c>
      <c r="B398" s="9" t="s">
        <v>9</v>
      </c>
      <c r="C398" s="9">
        <v>1915</v>
      </c>
      <c r="D398" s="10">
        <v>45639</v>
      </c>
      <c r="E398" s="13" t="str">
        <f>+HYPERLINK("http://trademark.i-assist.jp/data/china/image_1915th/80694081.pdf","80694081")</f>
        <v>80694081</v>
      </c>
      <c r="F398" s="11" t="s">
        <v>1151</v>
      </c>
      <c r="G398" s="12" t="s">
        <v>1152</v>
      </c>
      <c r="H398" s="9" t="s">
        <v>1153</v>
      </c>
      <c r="I398" s="10">
        <v>45537</v>
      </c>
    </row>
    <row r="399" spans="1:9" x14ac:dyDescent="0.15">
      <c r="A399" s="9">
        <v>398</v>
      </c>
      <c r="B399" s="9" t="s">
        <v>9</v>
      </c>
      <c r="C399" s="9">
        <v>1915</v>
      </c>
      <c r="D399" s="10">
        <v>45639</v>
      </c>
      <c r="E399" s="13" t="str">
        <f>+HYPERLINK("http://trademark.i-assist.jp/data/china/image_1915th/80694655.pdf","80694655")</f>
        <v>80694655</v>
      </c>
      <c r="F399" s="9" t="s">
        <v>1154</v>
      </c>
      <c r="G399" s="9" t="s">
        <v>1155</v>
      </c>
      <c r="H399" s="9" t="s">
        <v>1156</v>
      </c>
      <c r="I399" s="10">
        <v>45537</v>
      </c>
    </row>
    <row r="400" spans="1:9" x14ac:dyDescent="0.15">
      <c r="A400" s="9">
        <v>399</v>
      </c>
      <c r="B400" s="9" t="s">
        <v>9</v>
      </c>
      <c r="C400" s="9">
        <v>1915</v>
      </c>
      <c r="D400" s="10">
        <v>45639</v>
      </c>
      <c r="E400" s="13" t="str">
        <f>+HYPERLINK("http://trademark.i-assist.jp/data/china/image_1915th/80695738.pdf","80695738")</f>
        <v>80695738</v>
      </c>
      <c r="F400" s="12" t="s">
        <v>1157</v>
      </c>
      <c r="G400" s="9" t="s">
        <v>1127</v>
      </c>
      <c r="H400" s="9" t="s">
        <v>1158</v>
      </c>
      <c r="I400" s="10">
        <v>45537</v>
      </c>
    </row>
    <row r="401" spans="1:9" x14ac:dyDescent="0.15">
      <c r="A401" s="9">
        <v>400</v>
      </c>
      <c r="B401" s="9" t="s">
        <v>9</v>
      </c>
      <c r="C401" s="9">
        <v>1915</v>
      </c>
      <c r="D401" s="10">
        <v>45639</v>
      </c>
      <c r="E401" s="13" t="str">
        <f>+HYPERLINK("http://trademark.i-assist.jp/data/china/image_1915th/80696124.pdf","80696124")</f>
        <v>80696124</v>
      </c>
      <c r="F401" s="9" t="s">
        <v>1159</v>
      </c>
      <c r="G401" s="9" t="s">
        <v>1160</v>
      </c>
      <c r="H401" s="12" t="s">
        <v>1161</v>
      </c>
      <c r="I401" s="10">
        <v>45537</v>
      </c>
    </row>
    <row r="402" spans="1:9" x14ac:dyDescent="0.15">
      <c r="A402" s="9">
        <v>401</v>
      </c>
      <c r="B402" s="9" t="s">
        <v>9</v>
      </c>
      <c r="C402" s="9">
        <v>1915</v>
      </c>
      <c r="D402" s="10">
        <v>45639</v>
      </c>
      <c r="E402" s="13" t="str">
        <f>+HYPERLINK("http://trademark.i-assist.jp/data/china/image_1915th/80697371.pdf","80697371")</f>
        <v>80697371</v>
      </c>
      <c r="F402" s="9" t="s">
        <v>1162</v>
      </c>
      <c r="G402" s="9" t="s">
        <v>1163</v>
      </c>
      <c r="H402" s="9" t="s">
        <v>1164</v>
      </c>
      <c r="I402" s="10">
        <v>45537</v>
      </c>
    </row>
    <row r="403" spans="1:9" x14ac:dyDescent="0.15">
      <c r="A403" s="9">
        <v>402</v>
      </c>
      <c r="B403" s="9" t="s">
        <v>9</v>
      </c>
      <c r="C403" s="9">
        <v>1915</v>
      </c>
      <c r="D403" s="10">
        <v>45639</v>
      </c>
      <c r="E403" s="13" t="str">
        <f>+HYPERLINK("http://trademark.i-assist.jp/data/china/image_1915th/80697442.pdf","80697442")</f>
        <v>80697442</v>
      </c>
      <c r="F403" s="12" t="s">
        <v>1165</v>
      </c>
      <c r="G403" s="12" t="s">
        <v>1166</v>
      </c>
      <c r="H403" s="12" t="s">
        <v>1167</v>
      </c>
      <c r="I403" s="10">
        <v>45537</v>
      </c>
    </row>
    <row r="404" spans="1:9" x14ac:dyDescent="0.15">
      <c r="A404" s="9">
        <v>403</v>
      </c>
      <c r="B404" s="9" t="s">
        <v>9</v>
      </c>
      <c r="C404" s="9">
        <v>1915</v>
      </c>
      <c r="D404" s="10">
        <v>45639</v>
      </c>
      <c r="E404" s="13" t="str">
        <f>+HYPERLINK("http://trademark.i-assist.jp/data/china/image_1915th/80699493.pdf","80699493")</f>
        <v>80699493</v>
      </c>
      <c r="F404" s="9" t="s">
        <v>1168</v>
      </c>
      <c r="G404" s="9" t="s">
        <v>1169</v>
      </c>
      <c r="H404" s="9" t="s">
        <v>1170</v>
      </c>
      <c r="I404" s="10">
        <v>45537</v>
      </c>
    </row>
    <row r="405" spans="1:9" x14ac:dyDescent="0.15">
      <c r="A405" s="9">
        <v>404</v>
      </c>
      <c r="B405" s="9" t="s">
        <v>9</v>
      </c>
      <c r="C405" s="9">
        <v>1915</v>
      </c>
      <c r="D405" s="10">
        <v>45639</v>
      </c>
      <c r="E405" s="13" t="str">
        <f>+HYPERLINK("http://trademark.i-assist.jp/data/china/image_1915th/80700285.pdf","80700285")</f>
        <v>80700285</v>
      </c>
      <c r="F405" s="9" t="s">
        <v>1171</v>
      </c>
      <c r="G405" s="9" t="s">
        <v>1172</v>
      </c>
      <c r="H405" s="9" t="s">
        <v>1173</v>
      </c>
      <c r="I405" s="10">
        <v>45537</v>
      </c>
    </row>
    <row r="406" spans="1:9" x14ac:dyDescent="0.15">
      <c r="A406" s="9">
        <v>405</v>
      </c>
      <c r="B406" s="9" t="s">
        <v>9</v>
      </c>
      <c r="C406" s="9">
        <v>1915</v>
      </c>
      <c r="D406" s="10">
        <v>45639</v>
      </c>
      <c r="E406" s="13" t="str">
        <f>+HYPERLINK("http://trademark.i-assist.jp/data/china/image_1915th/80700587.pdf","80700587")</f>
        <v>80700587</v>
      </c>
      <c r="F406" s="9" t="s">
        <v>1174</v>
      </c>
      <c r="G406" s="9" t="s">
        <v>83</v>
      </c>
      <c r="H406" s="9" t="s">
        <v>1175</v>
      </c>
      <c r="I406" s="10">
        <v>45537</v>
      </c>
    </row>
    <row r="407" spans="1:9" x14ac:dyDescent="0.15">
      <c r="A407" s="9">
        <v>406</v>
      </c>
      <c r="B407" s="9" t="s">
        <v>9</v>
      </c>
      <c r="C407" s="9">
        <v>1915</v>
      </c>
      <c r="D407" s="10">
        <v>45639</v>
      </c>
      <c r="E407" s="13" t="str">
        <f>+HYPERLINK("http://trademark.i-assist.jp/data/china/image_1915th/80700672.pdf","80700672")</f>
        <v>80700672</v>
      </c>
      <c r="F407" s="9" t="s">
        <v>1176</v>
      </c>
      <c r="G407" s="9" t="s">
        <v>1177</v>
      </c>
      <c r="H407" s="9" t="s">
        <v>1178</v>
      </c>
      <c r="I407" s="10">
        <v>45537</v>
      </c>
    </row>
    <row r="408" spans="1:9" x14ac:dyDescent="0.15">
      <c r="A408" s="9">
        <v>407</v>
      </c>
      <c r="B408" s="9" t="s">
        <v>9</v>
      </c>
      <c r="C408" s="9">
        <v>1915</v>
      </c>
      <c r="D408" s="10">
        <v>45639</v>
      </c>
      <c r="E408" s="13" t="str">
        <f>+HYPERLINK("http://trademark.i-assist.jp/data/china/image_1915th/80700867.pdf","80700867")</f>
        <v>80700867</v>
      </c>
      <c r="F408" s="9" t="s">
        <v>1179</v>
      </c>
      <c r="G408" s="9" t="s">
        <v>1180</v>
      </c>
      <c r="H408" s="9" t="s">
        <v>1181</v>
      </c>
      <c r="I408" s="10">
        <v>45537</v>
      </c>
    </row>
    <row r="409" spans="1:9" x14ac:dyDescent="0.15">
      <c r="A409" s="9">
        <v>408</v>
      </c>
      <c r="B409" s="9" t="s">
        <v>9</v>
      </c>
      <c r="C409" s="9">
        <v>1915</v>
      </c>
      <c r="D409" s="10">
        <v>45639</v>
      </c>
      <c r="E409" s="13" t="str">
        <f>+HYPERLINK("http://trademark.i-assist.jp/data/china/image_1915th/80701471.pdf","80701471")</f>
        <v>80701471</v>
      </c>
      <c r="F409" s="9" t="s">
        <v>1182</v>
      </c>
      <c r="G409" s="9" t="s">
        <v>1183</v>
      </c>
      <c r="H409" s="12" t="s">
        <v>1184</v>
      </c>
      <c r="I409" s="10">
        <v>45537</v>
      </c>
    </row>
    <row r="410" spans="1:9" x14ac:dyDescent="0.15">
      <c r="A410" s="9">
        <v>409</v>
      </c>
      <c r="B410" s="9" t="s">
        <v>9</v>
      </c>
      <c r="C410" s="9">
        <v>1915</v>
      </c>
      <c r="D410" s="10">
        <v>45639</v>
      </c>
      <c r="E410" s="13" t="str">
        <f>+HYPERLINK("http://trademark.i-assist.jp/data/china/image_1915th/80702233.pdf","80702233")</f>
        <v>80702233</v>
      </c>
      <c r="F410" s="12" t="s">
        <v>1185</v>
      </c>
      <c r="G410" s="9" t="s">
        <v>1127</v>
      </c>
      <c r="H410" s="9" t="s">
        <v>1186</v>
      </c>
      <c r="I410" s="10">
        <v>45537</v>
      </c>
    </row>
    <row r="411" spans="1:9" x14ac:dyDescent="0.15">
      <c r="A411" s="9">
        <v>410</v>
      </c>
      <c r="B411" s="9" t="s">
        <v>9</v>
      </c>
      <c r="C411" s="9">
        <v>1915</v>
      </c>
      <c r="D411" s="10">
        <v>45639</v>
      </c>
      <c r="E411" s="13" t="str">
        <f>+HYPERLINK("http://trademark.i-assist.jp/data/china/image_1915th/80703994.pdf","80703994")</f>
        <v>80703994</v>
      </c>
      <c r="F411" s="9" t="s">
        <v>1187</v>
      </c>
      <c r="G411" s="9" t="s">
        <v>1188</v>
      </c>
      <c r="H411" s="12" t="s">
        <v>1189</v>
      </c>
      <c r="I411" s="10">
        <v>45537</v>
      </c>
    </row>
    <row r="412" spans="1:9" x14ac:dyDescent="0.15">
      <c r="A412" s="9">
        <v>411</v>
      </c>
      <c r="B412" s="9" t="s">
        <v>9</v>
      </c>
      <c r="C412" s="9">
        <v>1915</v>
      </c>
      <c r="D412" s="10">
        <v>45639</v>
      </c>
      <c r="E412" s="13" t="str">
        <f>+HYPERLINK("http://trademark.i-assist.jp/data/china/image_1915th/80704295.pdf","80704295")</f>
        <v>80704295</v>
      </c>
      <c r="F412" s="9" t="s">
        <v>1190</v>
      </c>
      <c r="G412" s="9" t="s">
        <v>1191</v>
      </c>
      <c r="H412" s="9" t="s">
        <v>1192</v>
      </c>
      <c r="I412" s="10">
        <v>45537</v>
      </c>
    </row>
    <row r="413" spans="1:9" x14ac:dyDescent="0.15">
      <c r="A413" s="9">
        <v>412</v>
      </c>
      <c r="B413" s="9" t="s">
        <v>9</v>
      </c>
      <c r="C413" s="9">
        <v>1915</v>
      </c>
      <c r="D413" s="10">
        <v>45639</v>
      </c>
      <c r="E413" s="13" t="str">
        <f>+HYPERLINK("http://trademark.i-assist.jp/data/china/image_1915th/80704744.pdf","80704744")</f>
        <v>80704744</v>
      </c>
      <c r="F413" s="12" t="s">
        <v>1193</v>
      </c>
      <c r="G413" s="9" t="s">
        <v>1194</v>
      </c>
      <c r="H413" s="9" t="s">
        <v>1195</v>
      </c>
      <c r="I413" s="10">
        <v>45537</v>
      </c>
    </row>
    <row r="414" spans="1:9" x14ac:dyDescent="0.15">
      <c r="A414" s="9">
        <v>413</v>
      </c>
      <c r="B414" s="9" t="s">
        <v>9</v>
      </c>
      <c r="C414" s="9">
        <v>1915</v>
      </c>
      <c r="D414" s="10">
        <v>45639</v>
      </c>
      <c r="E414" s="13" t="str">
        <f>+HYPERLINK("http://trademark.i-assist.jp/data/china/image_1915th/80704884.pdf","80704884")</f>
        <v>80704884</v>
      </c>
      <c r="F414" s="9" t="s">
        <v>1196</v>
      </c>
      <c r="G414" s="9" t="s">
        <v>1197</v>
      </c>
      <c r="H414" s="9" t="s">
        <v>1198</v>
      </c>
      <c r="I414" s="10">
        <v>45537</v>
      </c>
    </row>
    <row r="415" spans="1:9" x14ac:dyDescent="0.15">
      <c r="A415" s="9">
        <v>414</v>
      </c>
      <c r="B415" s="9" t="s">
        <v>9</v>
      </c>
      <c r="C415" s="9">
        <v>1915</v>
      </c>
      <c r="D415" s="10">
        <v>45639</v>
      </c>
      <c r="E415" s="13" t="str">
        <f>+HYPERLINK("http://trademark.i-assist.jp/data/china/image_1915th/80705323.pdf","80705323")</f>
        <v>80705323</v>
      </c>
      <c r="F415" s="9" t="s">
        <v>1199</v>
      </c>
      <c r="G415" s="9" t="s">
        <v>1200</v>
      </c>
      <c r="H415" s="9" t="s">
        <v>1201</v>
      </c>
      <c r="I415" s="10">
        <v>45537</v>
      </c>
    </row>
    <row r="416" spans="1:9" x14ac:dyDescent="0.15">
      <c r="A416" s="9">
        <v>415</v>
      </c>
      <c r="B416" s="9" t="s">
        <v>9</v>
      </c>
      <c r="C416" s="9">
        <v>1915</v>
      </c>
      <c r="D416" s="10">
        <v>45639</v>
      </c>
      <c r="E416" s="13" t="str">
        <f>+HYPERLINK("http://trademark.i-assist.jp/data/china/image_1915th/80705367.pdf","80705367")</f>
        <v>80705367</v>
      </c>
      <c r="F416" s="9" t="s">
        <v>1202</v>
      </c>
      <c r="G416" s="9" t="s">
        <v>1203</v>
      </c>
      <c r="H416" s="9" t="s">
        <v>1204</v>
      </c>
      <c r="I416" s="10">
        <v>45537</v>
      </c>
    </row>
    <row r="417" spans="1:9" x14ac:dyDescent="0.15">
      <c r="A417" s="9">
        <v>416</v>
      </c>
      <c r="B417" s="9" t="s">
        <v>9</v>
      </c>
      <c r="C417" s="9">
        <v>1915</v>
      </c>
      <c r="D417" s="10">
        <v>45639</v>
      </c>
      <c r="E417" s="13" t="str">
        <f>+HYPERLINK("http://trademark.i-assist.jp/data/china/image_1915th/80705877.pdf","80705877")</f>
        <v>80705877</v>
      </c>
      <c r="F417" s="12" t="s">
        <v>15</v>
      </c>
      <c r="G417" s="9" t="s">
        <v>1205</v>
      </c>
      <c r="H417" s="12" t="s">
        <v>1206</v>
      </c>
      <c r="I417" s="10">
        <v>45537</v>
      </c>
    </row>
    <row r="418" spans="1:9" x14ac:dyDescent="0.15">
      <c r="A418" s="9">
        <v>417</v>
      </c>
      <c r="B418" s="9" t="s">
        <v>9</v>
      </c>
      <c r="C418" s="9">
        <v>1915</v>
      </c>
      <c r="D418" s="10">
        <v>45639</v>
      </c>
      <c r="E418" s="13" t="str">
        <f>+HYPERLINK("http://trademark.i-assist.jp/data/china/image_1915th/80706026.pdf","80706026")</f>
        <v>80706026</v>
      </c>
      <c r="F418" s="12" t="s">
        <v>1207</v>
      </c>
      <c r="G418" s="9" t="s">
        <v>1208</v>
      </c>
      <c r="H418" s="9" t="s">
        <v>1209</v>
      </c>
      <c r="I418" s="10">
        <v>45537</v>
      </c>
    </row>
    <row r="419" spans="1:9" x14ac:dyDescent="0.15">
      <c r="A419" s="9">
        <v>418</v>
      </c>
      <c r="B419" s="9" t="s">
        <v>9</v>
      </c>
      <c r="C419" s="9">
        <v>1915</v>
      </c>
      <c r="D419" s="10">
        <v>45639</v>
      </c>
      <c r="E419" s="13" t="str">
        <f>+HYPERLINK("http://trademark.i-assist.jp/data/china/image_1915th/80706183.pdf","80706183")</f>
        <v>80706183</v>
      </c>
      <c r="F419" s="9" t="s">
        <v>1210</v>
      </c>
      <c r="G419" s="9" t="s">
        <v>1127</v>
      </c>
      <c r="H419" s="9" t="s">
        <v>1211</v>
      </c>
      <c r="I419" s="10">
        <v>45537</v>
      </c>
    </row>
    <row r="420" spans="1:9" x14ac:dyDescent="0.15">
      <c r="A420" s="9">
        <v>419</v>
      </c>
      <c r="B420" s="9" t="s">
        <v>9</v>
      </c>
      <c r="C420" s="9">
        <v>1915</v>
      </c>
      <c r="D420" s="10">
        <v>45639</v>
      </c>
      <c r="E420" s="13" t="str">
        <f>+HYPERLINK("http://trademark.i-assist.jp/data/china/image_1915th/80706896.pdf","80706896")</f>
        <v>80706896</v>
      </c>
      <c r="F420" s="9" t="s">
        <v>1212</v>
      </c>
      <c r="G420" s="9" t="s">
        <v>1213</v>
      </c>
      <c r="H420" s="9" t="s">
        <v>1214</v>
      </c>
      <c r="I420" s="10">
        <v>45538</v>
      </c>
    </row>
    <row r="421" spans="1:9" x14ac:dyDescent="0.15">
      <c r="A421" s="9">
        <v>420</v>
      </c>
      <c r="B421" s="9" t="s">
        <v>9</v>
      </c>
      <c r="C421" s="9">
        <v>1915</v>
      </c>
      <c r="D421" s="10">
        <v>45639</v>
      </c>
      <c r="E421" s="13" t="str">
        <f>+HYPERLINK("http://trademark.i-assist.jp/data/china/image_1915th/80707618.pdf","80707618")</f>
        <v>80707618</v>
      </c>
      <c r="F421" s="9" t="s">
        <v>1215</v>
      </c>
      <c r="G421" s="9" t="s">
        <v>1216</v>
      </c>
      <c r="H421" s="9" t="s">
        <v>1217</v>
      </c>
      <c r="I421" s="10">
        <v>45538</v>
      </c>
    </row>
    <row r="422" spans="1:9" x14ac:dyDescent="0.15">
      <c r="A422" s="9">
        <v>421</v>
      </c>
      <c r="B422" s="9" t="s">
        <v>9</v>
      </c>
      <c r="C422" s="9">
        <v>1915</v>
      </c>
      <c r="D422" s="10">
        <v>45639</v>
      </c>
      <c r="E422" s="13" t="str">
        <f>+HYPERLINK("http://trademark.i-assist.jp/data/china/image_1915th/80708212.pdf","80708212")</f>
        <v>80708212</v>
      </c>
      <c r="F422" s="12" t="s">
        <v>1218</v>
      </c>
      <c r="G422" s="9" t="s">
        <v>1219</v>
      </c>
      <c r="H422" s="9" t="s">
        <v>1220</v>
      </c>
      <c r="I422" s="10">
        <v>45538</v>
      </c>
    </row>
    <row r="423" spans="1:9" x14ac:dyDescent="0.15">
      <c r="A423" s="9">
        <v>422</v>
      </c>
      <c r="B423" s="9" t="s">
        <v>9</v>
      </c>
      <c r="C423" s="9">
        <v>1915</v>
      </c>
      <c r="D423" s="10">
        <v>45639</v>
      </c>
      <c r="E423" s="13" t="str">
        <f>+HYPERLINK("http://trademark.i-assist.jp/data/china/image_1915th/80710694.pdf","80710694")</f>
        <v>80710694</v>
      </c>
      <c r="F423" s="9" t="s">
        <v>1221</v>
      </c>
      <c r="G423" s="9" t="s">
        <v>21</v>
      </c>
      <c r="H423" s="12" t="s">
        <v>1222</v>
      </c>
      <c r="I423" s="10">
        <v>45538</v>
      </c>
    </row>
    <row r="424" spans="1:9" x14ac:dyDescent="0.15">
      <c r="A424" s="9">
        <v>423</v>
      </c>
      <c r="B424" s="9" t="s">
        <v>9</v>
      </c>
      <c r="C424" s="9">
        <v>1915</v>
      </c>
      <c r="D424" s="10">
        <v>45639</v>
      </c>
      <c r="E424" s="13" t="str">
        <f>+HYPERLINK("http://trademark.i-assist.jp/data/china/image_1915th/80711029.pdf","80711029")</f>
        <v>80711029</v>
      </c>
      <c r="F424" s="9" t="s">
        <v>1223</v>
      </c>
      <c r="G424" s="12" t="s">
        <v>38</v>
      </c>
      <c r="H424" s="9" t="s">
        <v>1224</v>
      </c>
      <c r="I424" s="10">
        <v>45538</v>
      </c>
    </row>
    <row r="425" spans="1:9" x14ac:dyDescent="0.15">
      <c r="A425" s="9">
        <v>424</v>
      </c>
      <c r="B425" s="9" t="s">
        <v>9</v>
      </c>
      <c r="C425" s="9">
        <v>1915</v>
      </c>
      <c r="D425" s="10">
        <v>45639</v>
      </c>
      <c r="E425" s="13" t="str">
        <f>+HYPERLINK("http://trademark.i-assist.jp/data/china/image_1915th/80711477.pdf","80711477")</f>
        <v>80711477</v>
      </c>
      <c r="F425" s="9" t="s">
        <v>1225</v>
      </c>
      <c r="G425" s="12" t="s">
        <v>1226</v>
      </c>
      <c r="H425" s="9" t="s">
        <v>1227</v>
      </c>
      <c r="I425" s="10">
        <v>45538</v>
      </c>
    </row>
    <row r="426" spans="1:9" x14ac:dyDescent="0.15">
      <c r="A426" s="9">
        <v>425</v>
      </c>
      <c r="B426" s="9" t="s">
        <v>9</v>
      </c>
      <c r="C426" s="9">
        <v>1915</v>
      </c>
      <c r="D426" s="10">
        <v>45639</v>
      </c>
      <c r="E426" s="13" t="str">
        <f>+HYPERLINK("http://trademark.i-assist.jp/data/china/image_1915th/80711489.pdf","80711489")</f>
        <v>80711489</v>
      </c>
      <c r="F426" s="9" t="s">
        <v>1228</v>
      </c>
      <c r="G426" s="12" t="s">
        <v>1229</v>
      </c>
      <c r="H426" s="9" t="s">
        <v>1230</v>
      </c>
      <c r="I426" s="10">
        <v>45538</v>
      </c>
    </row>
    <row r="427" spans="1:9" x14ac:dyDescent="0.15">
      <c r="A427" s="9">
        <v>426</v>
      </c>
      <c r="B427" s="9" t="s">
        <v>9</v>
      </c>
      <c r="C427" s="9">
        <v>1915</v>
      </c>
      <c r="D427" s="10">
        <v>45639</v>
      </c>
      <c r="E427" s="13" t="str">
        <f>+HYPERLINK("http://trademark.i-assist.jp/data/china/image_1915th/80711669.pdf","80711669")</f>
        <v>80711669</v>
      </c>
      <c r="F427" s="9" t="s">
        <v>1231</v>
      </c>
      <c r="G427" s="9" t="s">
        <v>1232</v>
      </c>
      <c r="H427" s="9" t="s">
        <v>1233</v>
      </c>
      <c r="I427" s="10">
        <v>45538</v>
      </c>
    </row>
    <row r="428" spans="1:9" x14ac:dyDescent="0.15">
      <c r="A428" s="9">
        <v>427</v>
      </c>
      <c r="B428" s="9" t="s">
        <v>9</v>
      </c>
      <c r="C428" s="9">
        <v>1915</v>
      </c>
      <c r="D428" s="10">
        <v>45639</v>
      </c>
      <c r="E428" s="13" t="str">
        <f>+HYPERLINK("http://trademark.i-assist.jp/data/china/image_1915th/80711992.pdf","80711992")</f>
        <v>80711992</v>
      </c>
      <c r="F428" s="12" t="s">
        <v>1234</v>
      </c>
      <c r="G428" s="9" t="s">
        <v>1235</v>
      </c>
      <c r="H428" s="9" t="s">
        <v>1236</v>
      </c>
      <c r="I428" s="10">
        <v>45538</v>
      </c>
    </row>
    <row r="429" spans="1:9" x14ac:dyDescent="0.15">
      <c r="A429" s="9">
        <v>428</v>
      </c>
      <c r="B429" s="9" t="s">
        <v>9</v>
      </c>
      <c r="C429" s="9">
        <v>1915</v>
      </c>
      <c r="D429" s="10">
        <v>45639</v>
      </c>
      <c r="E429" s="13" t="str">
        <f>+HYPERLINK("http://trademark.i-assist.jp/data/china/image_1915th/80716470.pdf","80716470")</f>
        <v>80716470</v>
      </c>
      <c r="F429" s="9" t="s">
        <v>1237</v>
      </c>
      <c r="G429" s="9" t="s">
        <v>1238</v>
      </c>
      <c r="H429" s="9" t="s">
        <v>1239</v>
      </c>
      <c r="I429" s="10">
        <v>45538</v>
      </c>
    </row>
    <row r="430" spans="1:9" x14ac:dyDescent="0.15">
      <c r="A430" s="9">
        <v>429</v>
      </c>
      <c r="B430" s="9" t="s">
        <v>9</v>
      </c>
      <c r="C430" s="9">
        <v>1915</v>
      </c>
      <c r="D430" s="10">
        <v>45639</v>
      </c>
      <c r="E430" s="13" t="str">
        <f>+HYPERLINK("http://trademark.i-assist.jp/data/china/image_1915th/80716706.pdf","80716706")</f>
        <v>80716706</v>
      </c>
      <c r="F430" s="9" t="s">
        <v>1240</v>
      </c>
      <c r="G430" s="9" t="s">
        <v>80</v>
      </c>
      <c r="H430" s="9" t="s">
        <v>1241</v>
      </c>
      <c r="I430" s="10">
        <v>45538</v>
      </c>
    </row>
    <row r="431" spans="1:9" x14ac:dyDescent="0.15">
      <c r="A431" s="9">
        <v>430</v>
      </c>
      <c r="B431" s="9" t="s">
        <v>9</v>
      </c>
      <c r="C431" s="9">
        <v>1915</v>
      </c>
      <c r="D431" s="10">
        <v>45639</v>
      </c>
      <c r="E431" s="13" t="str">
        <f>+HYPERLINK("http://trademark.i-assist.jp/data/china/image_1915th/80717060.pdf","80717060")</f>
        <v>80717060</v>
      </c>
      <c r="F431" s="9" t="s">
        <v>1242</v>
      </c>
      <c r="G431" s="12" t="s">
        <v>1226</v>
      </c>
      <c r="H431" s="9" t="s">
        <v>1243</v>
      </c>
      <c r="I431" s="10">
        <v>45538</v>
      </c>
    </row>
    <row r="432" spans="1:9" x14ac:dyDescent="0.15">
      <c r="A432" s="9">
        <v>431</v>
      </c>
      <c r="B432" s="9" t="s">
        <v>9</v>
      </c>
      <c r="C432" s="9">
        <v>1915</v>
      </c>
      <c r="D432" s="10">
        <v>45639</v>
      </c>
      <c r="E432" s="13" t="str">
        <f>+HYPERLINK("http://trademark.i-assist.jp/data/china/image_1915th/80717994.pdf","80717994")</f>
        <v>80717994</v>
      </c>
      <c r="F432" s="9" t="s">
        <v>1244</v>
      </c>
      <c r="G432" s="9" t="s">
        <v>1245</v>
      </c>
      <c r="H432" s="9" t="s">
        <v>1246</v>
      </c>
      <c r="I432" s="10">
        <v>45538</v>
      </c>
    </row>
    <row r="433" spans="1:9" x14ac:dyDescent="0.15">
      <c r="A433" s="9">
        <v>432</v>
      </c>
      <c r="B433" s="9" t="s">
        <v>9</v>
      </c>
      <c r="C433" s="9">
        <v>1915</v>
      </c>
      <c r="D433" s="10">
        <v>45639</v>
      </c>
      <c r="E433" s="13" t="str">
        <f>+HYPERLINK("http://trademark.i-assist.jp/data/china/image_1915th/80721018.pdf","80721018")</f>
        <v>80721018</v>
      </c>
      <c r="F433" s="9" t="s">
        <v>1247</v>
      </c>
      <c r="G433" s="9" t="s">
        <v>1248</v>
      </c>
      <c r="H433" s="9" t="s">
        <v>1249</v>
      </c>
      <c r="I433" s="10">
        <v>45538</v>
      </c>
    </row>
    <row r="434" spans="1:9" x14ac:dyDescent="0.15">
      <c r="A434" s="9">
        <v>433</v>
      </c>
      <c r="B434" s="9" t="s">
        <v>9</v>
      </c>
      <c r="C434" s="9">
        <v>1915</v>
      </c>
      <c r="D434" s="10">
        <v>45639</v>
      </c>
      <c r="E434" s="13" t="str">
        <f>+HYPERLINK("http://trademark.i-assist.jp/data/china/image_1915th/80722808.pdf","80722808")</f>
        <v>80722808</v>
      </c>
      <c r="F434" s="9" t="s">
        <v>1250</v>
      </c>
      <c r="G434" s="9" t="s">
        <v>1251</v>
      </c>
      <c r="H434" s="9" t="s">
        <v>1252</v>
      </c>
      <c r="I434" s="10">
        <v>45538</v>
      </c>
    </row>
    <row r="435" spans="1:9" x14ac:dyDescent="0.15">
      <c r="A435" s="9">
        <v>434</v>
      </c>
      <c r="B435" s="9" t="s">
        <v>9</v>
      </c>
      <c r="C435" s="9">
        <v>1915</v>
      </c>
      <c r="D435" s="10">
        <v>45639</v>
      </c>
      <c r="E435" s="13" t="str">
        <f>+HYPERLINK("http://trademark.i-assist.jp/data/china/image_1915th/80723412.pdf","80723412")</f>
        <v>80723412</v>
      </c>
      <c r="F435" s="12" t="s">
        <v>1253</v>
      </c>
      <c r="G435" s="9" t="s">
        <v>1254</v>
      </c>
      <c r="H435" s="9" t="s">
        <v>1255</v>
      </c>
      <c r="I435" s="10">
        <v>45538</v>
      </c>
    </row>
    <row r="436" spans="1:9" x14ac:dyDescent="0.15">
      <c r="A436" s="9">
        <v>435</v>
      </c>
      <c r="B436" s="9" t="s">
        <v>9</v>
      </c>
      <c r="C436" s="9">
        <v>1915</v>
      </c>
      <c r="D436" s="10">
        <v>45639</v>
      </c>
      <c r="E436" s="13" t="str">
        <f>+HYPERLINK("http://trademark.i-assist.jp/data/china/image_1915th/80724268.pdf","80724268")</f>
        <v>80724268</v>
      </c>
      <c r="F436" s="12" t="s">
        <v>1256</v>
      </c>
      <c r="G436" s="9" t="s">
        <v>1257</v>
      </c>
      <c r="H436" s="9" t="s">
        <v>1258</v>
      </c>
      <c r="I436" s="10">
        <v>45538</v>
      </c>
    </row>
    <row r="437" spans="1:9" x14ac:dyDescent="0.15">
      <c r="A437" s="9">
        <v>436</v>
      </c>
      <c r="B437" s="9" t="s">
        <v>9</v>
      </c>
      <c r="C437" s="9">
        <v>1915</v>
      </c>
      <c r="D437" s="10">
        <v>45639</v>
      </c>
      <c r="E437" s="13" t="str">
        <f>+HYPERLINK("http://trademark.i-assist.jp/data/china/image_1915th/80724360.pdf","80724360")</f>
        <v>80724360</v>
      </c>
      <c r="F437" s="9" t="s">
        <v>1259</v>
      </c>
      <c r="G437" s="9" t="s">
        <v>1260</v>
      </c>
      <c r="H437" s="9" t="s">
        <v>1261</v>
      </c>
      <c r="I437" s="10">
        <v>45538</v>
      </c>
    </row>
    <row r="438" spans="1:9" x14ac:dyDescent="0.15">
      <c r="A438" s="9">
        <v>437</v>
      </c>
      <c r="B438" s="9" t="s">
        <v>9</v>
      </c>
      <c r="C438" s="9">
        <v>1915</v>
      </c>
      <c r="D438" s="10">
        <v>45639</v>
      </c>
      <c r="E438" s="13" t="str">
        <f>+HYPERLINK("http://trademark.i-assist.jp/data/china/image_1915th/80724673.pdf","80724673")</f>
        <v>80724673</v>
      </c>
      <c r="F438" s="9" t="s">
        <v>1262</v>
      </c>
      <c r="G438" s="9" t="s">
        <v>1263</v>
      </c>
      <c r="H438" s="9" t="s">
        <v>1264</v>
      </c>
      <c r="I438" s="10">
        <v>45538</v>
      </c>
    </row>
    <row r="439" spans="1:9" x14ac:dyDescent="0.15">
      <c r="A439" s="9">
        <v>438</v>
      </c>
      <c r="B439" s="9" t="s">
        <v>9</v>
      </c>
      <c r="C439" s="9">
        <v>1915</v>
      </c>
      <c r="D439" s="10">
        <v>45639</v>
      </c>
      <c r="E439" s="13" t="str">
        <f>+HYPERLINK("http://trademark.i-assist.jp/data/china/image_1915th/80727852.pdf","80727852")</f>
        <v>80727852</v>
      </c>
      <c r="F439" s="12" t="s">
        <v>15</v>
      </c>
      <c r="G439" s="12" t="s">
        <v>1265</v>
      </c>
      <c r="H439" s="9" t="s">
        <v>1266</v>
      </c>
      <c r="I439" s="10">
        <v>45538</v>
      </c>
    </row>
    <row r="440" spans="1:9" x14ac:dyDescent="0.15">
      <c r="A440" s="9">
        <v>439</v>
      </c>
      <c r="B440" s="9" t="s">
        <v>9</v>
      </c>
      <c r="C440" s="9">
        <v>1915</v>
      </c>
      <c r="D440" s="10">
        <v>45639</v>
      </c>
      <c r="E440" s="13" t="str">
        <f>+HYPERLINK("http://trademark.i-assist.jp/data/china/image_1915th/80728576.pdf","80728576")</f>
        <v>80728576</v>
      </c>
      <c r="F440" s="12" t="s">
        <v>1267</v>
      </c>
      <c r="G440" s="9" t="s">
        <v>1268</v>
      </c>
      <c r="H440" s="9" t="s">
        <v>1269</v>
      </c>
      <c r="I440" s="10">
        <v>45538</v>
      </c>
    </row>
    <row r="441" spans="1:9" x14ac:dyDescent="0.15">
      <c r="A441" s="9">
        <v>440</v>
      </c>
      <c r="B441" s="9" t="s">
        <v>9</v>
      </c>
      <c r="C441" s="9">
        <v>1915</v>
      </c>
      <c r="D441" s="10">
        <v>45639</v>
      </c>
      <c r="E441" s="13" t="str">
        <f>+HYPERLINK("http://trademark.i-assist.jp/data/china/image_1915th/80728637.pdf","80728637")</f>
        <v>80728637</v>
      </c>
      <c r="F441" s="12" t="s">
        <v>1270</v>
      </c>
      <c r="G441" s="12" t="s">
        <v>1271</v>
      </c>
      <c r="H441" s="9" t="s">
        <v>1272</v>
      </c>
      <c r="I441" s="10">
        <v>45538</v>
      </c>
    </row>
    <row r="442" spans="1:9" x14ac:dyDescent="0.15">
      <c r="A442" s="9">
        <v>441</v>
      </c>
      <c r="B442" s="9" t="s">
        <v>9</v>
      </c>
      <c r="C442" s="9">
        <v>1915</v>
      </c>
      <c r="D442" s="10">
        <v>45639</v>
      </c>
      <c r="E442" s="13" t="str">
        <f>+HYPERLINK("http://trademark.i-assist.jp/data/china/image_1915th/80732370.pdf","80732370")</f>
        <v>80732370</v>
      </c>
      <c r="F442" s="9" t="s">
        <v>1273</v>
      </c>
      <c r="G442" s="9" t="s">
        <v>1274</v>
      </c>
      <c r="H442" s="12" t="s">
        <v>1275</v>
      </c>
      <c r="I442" s="10">
        <v>45539</v>
      </c>
    </row>
    <row r="443" spans="1:9" x14ac:dyDescent="0.15">
      <c r="A443" s="9">
        <v>442</v>
      </c>
      <c r="B443" s="9" t="s">
        <v>9</v>
      </c>
      <c r="C443" s="9">
        <v>1915</v>
      </c>
      <c r="D443" s="10">
        <v>45639</v>
      </c>
      <c r="E443" s="13" t="str">
        <f>+HYPERLINK("http://trademark.i-assist.jp/data/china/image_1915th/80732783.pdf","80732783")</f>
        <v>80732783</v>
      </c>
      <c r="F443" s="9" t="s">
        <v>1276</v>
      </c>
      <c r="G443" s="9" t="s">
        <v>1277</v>
      </c>
      <c r="H443" s="9" t="s">
        <v>1278</v>
      </c>
      <c r="I443" s="10">
        <v>45539</v>
      </c>
    </row>
    <row r="444" spans="1:9" x14ac:dyDescent="0.15">
      <c r="A444" s="9">
        <v>443</v>
      </c>
      <c r="B444" s="9" t="s">
        <v>9</v>
      </c>
      <c r="C444" s="9">
        <v>1915</v>
      </c>
      <c r="D444" s="10">
        <v>45639</v>
      </c>
      <c r="E444" s="13" t="str">
        <f>+HYPERLINK("http://trademark.i-assist.jp/data/china/image_1915th/80732942.pdf","80732942")</f>
        <v>80732942</v>
      </c>
      <c r="F444" s="9" t="s">
        <v>1279</v>
      </c>
      <c r="G444" s="9" t="s">
        <v>1280</v>
      </c>
      <c r="H444" s="9" t="s">
        <v>1281</v>
      </c>
      <c r="I444" s="10">
        <v>45539</v>
      </c>
    </row>
    <row r="445" spans="1:9" x14ac:dyDescent="0.15">
      <c r="A445" s="9">
        <v>444</v>
      </c>
      <c r="B445" s="9" t="s">
        <v>9</v>
      </c>
      <c r="C445" s="9">
        <v>1915</v>
      </c>
      <c r="D445" s="10">
        <v>45639</v>
      </c>
      <c r="E445" s="13" t="str">
        <f>+HYPERLINK("http://trademark.i-assist.jp/data/china/image_1915th/80734172.pdf","80734172")</f>
        <v>80734172</v>
      </c>
      <c r="F445" s="9" t="s">
        <v>1282</v>
      </c>
      <c r="G445" s="9" t="s">
        <v>1283</v>
      </c>
      <c r="H445" s="9" t="s">
        <v>1284</v>
      </c>
      <c r="I445" s="10">
        <v>45539</v>
      </c>
    </row>
    <row r="446" spans="1:9" x14ac:dyDescent="0.15">
      <c r="A446" s="9">
        <v>445</v>
      </c>
      <c r="B446" s="9" t="s">
        <v>9</v>
      </c>
      <c r="C446" s="9">
        <v>1915</v>
      </c>
      <c r="D446" s="10">
        <v>45639</v>
      </c>
      <c r="E446" s="13" t="str">
        <f>+HYPERLINK("http://trademark.i-assist.jp/data/china/image_1915th/80735700.pdf","80735700")</f>
        <v>80735700</v>
      </c>
      <c r="F446" s="9" t="s">
        <v>1285</v>
      </c>
      <c r="G446" s="9" t="s">
        <v>1286</v>
      </c>
      <c r="H446" s="9" t="s">
        <v>1287</v>
      </c>
      <c r="I446" s="10">
        <v>45539</v>
      </c>
    </row>
    <row r="447" spans="1:9" x14ac:dyDescent="0.15">
      <c r="A447" s="9">
        <v>446</v>
      </c>
      <c r="B447" s="9" t="s">
        <v>9</v>
      </c>
      <c r="C447" s="9">
        <v>1915</v>
      </c>
      <c r="D447" s="10">
        <v>45639</v>
      </c>
      <c r="E447" s="13" t="str">
        <f>+HYPERLINK("http://trademark.i-assist.jp/data/china/image_1915th/80736593.pdf","80736593")</f>
        <v>80736593</v>
      </c>
      <c r="F447" s="9" t="s">
        <v>1288</v>
      </c>
      <c r="G447" s="12" t="s">
        <v>1289</v>
      </c>
      <c r="H447" s="9" t="s">
        <v>1290</v>
      </c>
      <c r="I447" s="10">
        <v>45539</v>
      </c>
    </row>
    <row r="448" spans="1:9" x14ac:dyDescent="0.15">
      <c r="A448" s="9">
        <v>447</v>
      </c>
      <c r="B448" s="9" t="s">
        <v>9</v>
      </c>
      <c r="C448" s="9">
        <v>1915</v>
      </c>
      <c r="D448" s="10">
        <v>45639</v>
      </c>
      <c r="E448" s="13" t="str">
        <f>+HYPERLINK("http://trademark.i-assist.jp/data/china/image_1915th/80737727.pdf","80737727")</f>
        <v>80737727</v>
      </c>
      <c r="F448" s="9" t="s">
        <v>1291</v>
      </c>
      <c r="G448" s="9" t="s">
        <v>1292</v>
      </c>
      <c r="H448" s="9" t="s">
        <v>1293</v>
      </c>
      <c r="I448" s="10">
        <v>45539</v>
      </c>
    </row>
    <row r="449" spans="1:9" x14ac:dyDescent="0.15">
      <c r="A449" s="9">
        <v>448</v>
      </c>
      <c r="B449" s="9" t="s">
        <v>9</v>
      </c>
      <c r="C449" s="9">
        <v>1915</v>
      </c>
      <c r="D449" s="10">
        <v>45639</v>
      </c>
      <c r="E449" s="13" t="str">
        <f>+HYPERLINK("http://trademark.i-assist.jp/data/china/image_1915th/80740374.pdf","80740374")</f>
        <v>80740374</v>
      </c>
      <c r="F449" s="12" t="s">
        <v>15</v>
      </c>
      <c r="G449" s="9" t="s">
        <v>1294</v>
      </c>
      <c r="H449" s="12" t="s">
        <v>1295</v>
      </c>
      <c r="I449" s="10">
        <v>45539</v>
      </c>
    </row>
    <row r="450" spans="1:9" x14ac:dyDescent="0.15">
      <c r="A450" s="9">
        <v>449</v>
      </c>
      <c r="B450" s="9" t="s">
        <v>9</v>
      </c>
      <c r="C450" s="9">
        <v>1915</v>
      </c>
      <c r="D450" s="10">
        <v>45639</v>
      </c>
      <c r="E450" s="13" t="str">
        <f>+HYPERLINK("http://trademark.i-assist.jp/data/china/image_1915th/80740636.pdf","80740636")</f>
        <v>80740636</v>
      </c>
      <c r="F450" s="12" t="s">
        <v>15</v>
      </c>
      <c r="G450" s="12" t="s">
        <v>1296</v>
      </c>
      <c r="H450" s="12" t="s">
        <v>1297</v>
      </c>
      <c r="I450" s="10">
        <v>45539</v>
      </c>
    </row>
    <row r="451" spans="1:9" x14ac:dyDescent="0.15">
      <c r="A451" s="9">
        <v>450</v>
      </c>
      <c r="B451" s="9" t="s">
        <v>9</v>
      </c>
      <c r="C451" s="9">
        <v>1915</v>
      </c>
      <c r="D451" s="10">
        <v>45639</v>
      </c>
      <c r="E451" s="13" t="str">
        <f>+HYPERLINK("http://trademark.i-assist.jp/data/china/image_1915th/80743080.pdf","80743080")</f>
        <v>80743080</v>
      </c>
      <c r="F451" s="12" t="s">
        <v>1298</v>
      </c>
      <c r="G451" s="12" t="s">
        <v>1299</v>
      </c>
      <c r="H451" s="9" t="s">
        <v>1300</v>
      </c>
      <c r="I451" s="10">
        <v>45539</v>
      </c>
    </row>
    <row r="452" spans="1:9" x14ac:dyDescent="0.15">
      <c r="A452" s="9">
        <v>451</v>
      </c>
      <c r="B452" s="9" t="s">
        <v>9</v>
      </c>
      <c r="C452" s="9">
        <v>1915</v>
      </c>
      <c r="D452" s="10">
        <v>45639</v>
      </c>
      <c r="E452" s="13" t="str">
        <f>+HYPERLINK("http://trademark.i-assist.jp/data/china/image_1915th/80743443.pdf","80743443")</f>
        <v>80743443</v>
      </c>
      <c r="F452" s="9" t="s">
        <v>1301</v>
      </c>
      <c r="G452" s="9" t="s">
        <v>1302</v>
      </c>
      <c r="H452" s="9" t="s">
        <v>1303</v>
      </c>
      <c r="I452" s="10">
        <v>45539</v>
      </c>
    </row>
    <row r="453" spans="1:9" x14ac:dyDescent="0.15">
      <c r="A453" s="9">
        <v>452</v>
      </c>
      <c r="B453" s="9" t="s">
        <v>9</v>
      </c>
      <c r="C453" s="9">
        <v>1915</v>
      </c>
      <c r="D453" s="10">
        <v>45639</v>
      </c>
      <c r="E453" s="13" t="str">
        <f>+HYPERLINK("http://trademark.i-assist.jp/data/china/image_1915th/80744428.pdf","80744428")</f>
        <v>80744428</v>
      </c>
      <c r="F453" s="12" t="s">
        <v>1304</v>
      </c>
      <c r="G453" s="9" t="s">
        <v>1305</v>
      </c>
      <c r="H453" s="9" t="s">
        <v>1306</v>
      </c>
      <c r="I453" s="10">
        <v>45539</v>
      </c>
    </row>
    <row r="454" spans="1:9" x14ac:dyDescent="0.15">
      <c r="A454" s="9">
        <v>453</v>
      </c>
      <c r="B454" s="9" t="s">
        <v>9</v>
      </c>
      <c r="C454" s="9">
        <v>1915</v>
      </c>
      <c r="D454" s="10">
        <v>45639</v>
      </c>
      <c r="E454" s="13" t="str">
        <f>+HYPERLINK("http://trademark.i-assist.jp/data/china/image_1915th/80745142.pdf","80745142")</f>
        <v>80745142</v>
      </c>
      <c r="F454" s="9" t="s">
        <v>1307</v>
      </c>
      <c r="G454" s="9" t="s">
        <v>1308</v>
      </c>
      <c r="H454" s="9" t="s">
        <v>1309</v>
      </c>
      <c r="I454" s="10">
        <v>45539</v>
      </c>
    </row>
    <row r="455" spans="1:9" x14ac:dyDescent="0.15">
      <c r="A455" s="9">
        <v>454</v>
      </c>
      <c r="B455" s="9" t="s">
        <v>9</v>
      </c>
      <c r="C455" s="9">
        <v>1915</v>
      </c>
      <c r="D455" s="10">
        <v>45639</v>
      </c>
      <c r="E455" s="13" t="str">
        <f>+HYPERLINK("http://trademark.i-assist.jp/data/china/image_1915th/80745646.pdf","80745646")</f>
        <v>80745646</v>
      </c>
      <c r="F455" s="12" t="s">
        <v>1310</v>
      </c>
      <c r="G455" s="9" t="s">
        <v>1311</v>
      </c>
      <c r="H455" s="9" t="s">
        <v>1312</v>
      </c>
      <c r="I455" s="10">
        <v>45539</v>
      </c>
    </row>
    <row r="456" spans="1:9" x14ac:dyDescent="0.15">
      <c r="A456" s="9">
        <v>455</v>
      </c>
      <c r="B456" s="9" t="s">
        <v>9</v>
      </c>
      <c r="C456" s="9">
        <v>1915</v>
      </c>
      <c r="D456" s="10">
        <v>45639</v>
      </c>
      <c r="E456" s="13" t="str">
        <f>+HYPERLINK("http://trademark.i-assist.jp/data/china/image_1915th/80745974.pdf","80745974")</f>
        <v>80745974</v>
      </c>
      <c r="F456" s="9" t="s">
        <v>1313</v>
      </c>
      <c r="G456" s="12" t="s">
        <v>1314</v>
      </c>
      <c r="H456" s="9" t="s">
        <v>1315</v>
      </c>
      <c r="I456" s="10">
        <v>45539</v>
      </c>
    </row>
    <row r="457" spans="1:9" x14ac:dyDescent="0.15">
      <c r="A457" s="9">
        <v>456</v>
      </c>
      <c r="B457" s="9" t="s">
        <v>9</v>
      </c>
      <c r="C457" s="9">
        <v>1915</v>
      </c>
      <c r="D457" s="10">
        <v>45639</v>
      </c>
      <c r="E457" s="13" t="str">
        <f>+HYPERLINK("http://trademark.i-assist.jp/data/china/image_1915th/80746747.pdf","80746747")</f>
        <v>80746747</v>
      </c>
      <c r="F457" s="9" t="s">
        <v>1316</v>
      </c>
      <c r="G457" s="12" t="s">
        <v>1317</v>
      </c>
      <c r="H457" s="9" t="s">
        <v>1318</v>
      </c>
      <c r="I457" s="10">
        <v>45539</v>
      </c>
    </row>
    <row r="458" spans="1:9" x14ac:dyDescent="0.15">
      <c r="A458" s="9">
        <v>457</v>
      </c>
      <c r="B458" s="9" t="s">
        <v>9</v>
      </c>
      <c r="C458" s="9">
        <v>1915</v>
      </c>
      <c r="D458" s="10">
        <v>45639</v>
      </c>
      <c r="E458" s="13" t="str">
        <f>+HYPERLINK("http://trademark.i-assist.jp/data/china/image_1915th/80746782.pdf","80746782")</f>
        <v>80746782</v>
      </c>
      <c r="F458" s="9" t="s">
        <v>1319</v>
      </c>
      <c r="G458" s="12" t="s">
        <v>1320</v>
      </c>
      <c r="H458" s="9" t="s">
        <v>1321</v>
      </c>
      <c r="I458" s="10">
        <v>45539</v>
      </c>
    </row>
    <row r="459" spans="1:9" x14ac:dyDescent="0.15">
      <c r="A459" s="9">
        <v>458</v>
      </c>
      <c r="B459" s="9" t="s">
        <v>9</v>
      </c>
      <c r="C459" s="9">
        <v>1915</v>
      </c>
      <c r="D459" s="10">
        <v>45639</v>
      </c>
      <c r="E459" s="13" t="str">
        <f>+HYPERLINK("http://trademark.i-assist.jp/data/china/image_1915th/80748646.pdf","80748646")</f>
        <v>80748646</v>
      </c>
      <c r="F459" s="9" t="s">
        <v>1322</v>
      </c>
      <c r="G459" s="12" t="s">
        <v>1323</v>
      </c>
      <c r="H459" s="9" t="s">
        <v>1324</v>
      </c>
      <c r="I459" s="10">
        <v>45539</v>
      </c>
    </row>
    <row r="460" spans="1:9" x14ac:dyDescent="0.15">
      <c r="A460" s="9">
        <v>459</v>
      </c>
      <c r="B460" s="9" t="s">
        <v>9</v>
      </c>
      <c r="C460" s="9">
        <v>1915</v>
      </c>
      <c r="D460" s="10">
        <v>45639</v>
      </c>
      <c r="E460" s="13" t="str">
        <f>+HYPERLINK("http://trademark.i-assist.jp/data/china/image_1915th/80748773.pdf","80748773")</f>
        <v>80748773</v>
      </c>
      <c r="F460" s="12" t="s">
        <v>15</v>
      </c>
      <c r="G460" s="9" t="s">
        <v>1325</v>
      </c>
      <c r="H460" s="12" t="s">
        <v>1326</v>
      </c>
      <c r="I460" s="10">
        <v>45539</v>
      </c>
    </row>
    <row r="461" spans="1:9" x14ac:dyDescent="0.15">
      <c r="A461" s="9">
        <v>460</v>
      </c>
      <c r="B461" s="9" t="s">
        <v>9</v>
      </c>
      <c r="C461" s="9">
        <v>1915</v>
      </c>
      <c r="D461" s="10">
        <v>45639</v>
      </c>
      <c r="E461" s="13" t="str">
        <f>+HYPERLINK("http://trademark.i-assist.jp/data/china/image_1915th/80749975.pdf","80749975")</f>
        <v>80749975</v>
      </c>
      <c r="F461" s="9" t="s">
        <v>1327</v>
      </c>
      <c r="G461" s="12" t="s">
        <v>1328</v>
      </c>
      <c r="H461" s="9" t="s">
        <v>1329</v>
      </c>
      <c r="I461" s="10">
        <v>45539</v>
      </c>
    </row>
    <row r="462" spans="1:9" x14ac:dyDescent="0.15">
      <c r="A462" s="9">
        <v>461</v>
      </c>
      <c r="B462" s="9" t="s">
        <v>9</v>
      </c>
      <c r="C462" s="9">
        <v>1915</v>
      </c>
      <c r="D462" s="10">
        <v>45639</v>
      </c>
      <c r="E462" s="13" t="str">
        <f>+HYPERLINK("http://trademark.i-assist.jp/data/china/image_1915th/80750082.pdf","80750082")</f>
        <v>80750082</v>
      </c>
      <c r="F462" s="9" t="s">
        <v>1330</v>
      </c>
      <c r="G462" s="12" t="s">
        <v>1331</v>
      </c>
      <c r="H462" s="12" t="s">
        <v>1332</v>
      </c>
      <c r="I462" s="10">
        <v>45539</v>
      </c>
    </row>
    <row r="463" spans="1:9" x14ac:dyDescent="0.15">
      <c r="A463" s="9">
        <v>462</v>
      </c>
      <c r="B463" s="9" t="s">
        <v>9</v>
      </c>
      <c r="C463" s="9">
        <v>1915</v>
      </c>
      <c r="D463" s="10">
        <v>45639</v>
      </c>
      <c r="E463" s="13" t="str">
        <f>+HYPERLINK("http://trademark.i-assist.jp/data/china/image_1915th/80750401.pdf","80750401")</f>
        <v>80750401</v>
      </c>
      <c r="F463" s="9" t="s">
        <v>1333</v>
      </c>
      <c r="G463" s="12" t="s">
        <v>1334</v>
      </c>
      <c r="H463" s="9" t="s">
        <v>1335</v>
      </c>
      <c r="I463" s="10">
        <v>45539</v>
      </c>
    </row>
    <row r="464" spans="1:9" x14ac:dyDescent="0.15">
      <c r="A464" s="9">
        <v>463</v>
      </c>
      <c r="B464" s="9" t="s">
        <v>9</v>
      </c>
      <c r="C464" s="9">
        <v>1915</v>
      </c>
      <c r="D464" s="10">
        <v>45639</v>
      </c>
      <c r="E464" s="13" t="str">
        <f>+HYPERLINK("http://trademark.i-assist.jp/data/china/image_1915th/80751078.pdf","80751078")</f>
        <v>80751078</v>
      </c>
      <c r="F464" s="9" t="s">
        <v>1336</v>
      </c>
      <c r="G464" s="9" t="s">
        <v>1337</v>
      </c>
      <c r="H464" s="9" t="s">
        <v>1338</v>
      </c>
      <c r="I464" s="10">
        <v>45539</v>
      </c>
    </row>
    <row r="465" spans="1:9" x14ac:dyDescent="0.15">
      <c r="A465" s="9">
        <v>464</v>
      </c>
      <c r="B465" s="9" t="s">
        <v>9</v>
      </c>
      <c r="C465" s="9">
        <v>1915</v>
      </c>
      <c r="D465" s="10">
        <v>45639</v>
      </c>
      <c r="E465" s="13" t="str">
        <f>+HYPERLINK("http://trademark.i-assist.jp/data/china/image_1915th/80751891.pdf","80751891")</f>
        <v>80751891</v>
      </c>
      <c r="F465" s="9" t="s">
        <v>1339</v>
      </c>
      <c r="G465" s="9" t="s">
        <v>1340</v>
      </c>
      <c r="H465" s="9" t="s">
        <v>1341</v>
      </c>
      <c r="I465" s="10">
        <v>45539</v>
      </c>
    </row>
    <row r="466" spans="1:9" x14ac:dyDescent="0.15">
      <c r="A466" s="9">
        <v>465</v>
      </c>
      <c r="B466" s="9" t="s">
        <v>9</v>
      </c>
      <c r="C466" s="9">
        <v>1915</v>
      </c>
      <c r="D466" s="10">
        <v>45639</v>
      </c>
      <c r="E466" s="13" t="str">
        <f>+HYPERLINK("http://trademark.i-assist.jp/data/china/image_1915th/80751924.pdf","80751924")</f>
        <v>80751924</v>
      </c>
      <c r="F466" s="12" t="s">
        <v>1342</v>
      </c>
      <c r="G466" s="9" t="s">
        <v>1343</v>
      </c>
      <c r="H466" s="9" t="s">
        <v>1344</v>
      </c>
      <c r="I466" s="10">
        <v>45539</v>
      </c>
    </row>
    <row r="467" spans="1:9" x14ac:dyDescent="0.15">
      <c r="A467" s="9">
        <v>466</v>
      </c>
      <c r="B467" s="9" t="s">
        <v>9</v>
      </c>
      <c r="C467" s="9">
        <v>1915</v>
      </c>
      <c r="D467" s="10">
        <v>45639</v>
      </c>
      <c r="E467" s="13" t="str">
        <f>+HYPERLINK("http://trademark.i-assist.jp/data/china/image_1915th/80752197.pdf","80752197")</f>
        <v>80752197</v>
      </c>
      <c r="F467" s="9" t="s">
        <v>1345</v>
      </c>
      <c r="G467" s="12" t="s">
        <v>1346</v>
      </c>
      <c r="H467" s="9" t="s">
        <v>1347</v>
      </c>
      <c r="I467" s="10">
        <v>45539</v>
      </c>
    </row>
    <row r="468" spans="1:9" x14ac:dyDescent="0.15">
      <c r="A468" s="9">
        <v>467</v>
      </c>
      <c r="B468" s="9" t="s">
        <v>9</v>
      </c>
      <c r="C468" s="9">
        <v>1915</v>
      </c>
      <c r="D468" s="10">
        <v>45639</v>
      </c>
      <c r="E468" s="13" t="str">
        <f>+HYPERLINK("http://trademark.i-assist.jp/data/china/image_1915th/80753457.pdf","80753457")</f>
        <v>80753457</v>
      </c>
      <c r="F468" s="9" t="s">
        <v>1348</v>
      </c>
      <c r="G468" s="12" t="s">
        <v>1349</v>
      </c>
      <c r="H468" s="9" t="s">
        <v>1350</v>
      </c>
      <c r="I468" s="10">
        <v>45539</v>
      </c>
    </row>
    <row r="469" spans="1:9" x14ac:dyDescent="0.15">
      <c r="A469" s="9">
        <v>468</v>
      </c>
      <c r="B469" s="9" t="s">
        <v>9</v>
      </c>
      <c r="C469" s="9">
        <v>1915</v>
      </c>
      <c r="D469" s="10">
        <v>45639</v>
      </c>
      <c r="E469" s="13" t="str">
        <f>+HYPERLINK("http://trademark.i-assist.jp/data/china/image_1915th/80754043.pdf","80754043")</f>
        <v>80754043</v>
      </c>
      <c r="F469" s="9" t="s">
        <v>1351</v>
      </c>
      <c r="G469" s="9" t="s">
        <v>1352</v>
      </c>
      <c r="H469" s="9" t="s">
        <v>1353</v>
      </c>
      <c r="I469" s="10">
        <v>45540</v>
      </c>
    </row>
    <row r="470" spans="1:9" x14ac:dyDescent="0.15">
      <c r="A470" s="9">
        <v>469</v>
      </c>
      <c r="B470" s="9" t="s">
        <v>9</v>
      </c>
      <c r="C470" s="9">
        <v>1915</v>
      </c>
      <c r="D470" s="10">
        <v>45639</v>
      </c>
      <c r="E470" s="13" t="str">
        <f>+HYPERLINK("http://trademark.i-assist.jp/data/china/image_1915th/80755022.pdf","80755022")</f>
        <v>80755022</v>
      </c>
      <c r="F470" s="9" t="s">
        <v>1354</v>
      </c>
      <c r="G470" s="9" t="s">
        <v>1355</v>
      </c>
      <c r="H470" s="12" t="s">
        <v>1356</v>
      </c>
      <c r="I470" s="10">
        <v>45540</v>
      </c>
    </row>
    <row r="471" spans="1:9" x14ac:dyDescent="0.15">
      <c r="A471" s="9">
        <v>470</v>
      </c>
      <c r="B471" s="9" t="s">
        <v>9</v>
      </c>
      <c r="C471" s="9">
        <v>1915</v>
      </c>
      <c r="D471" s="10">
        <v>45639</v>
      </c>
      <c r="E471" s="13" t="str">
        <f>+HYPERLINK("http://trademark.i-assist.jp/data/china/image_1915th/80755213.pdf","80755213")</f>
        <v>80755213</v>
      </c>
      <c r="F471" s="12" t="s">
        <v>1357</v>
      </c>
      <c r="G471" s="12" t="s">
        <v>1358</v>
      </c>
      <c r="H471" s="9" t="s">
        <v>1359</v>
      </c>
      <c r="I471" s="10">
        <v>45540</v>
      </c>
    </row>
    <row r="472" spans="1:9" x14ac:dyDescent="0.15">
      <c r="A472" s="9">
        <v>471</v>
      </c>
      <c r="B472" s="9" t="s">
        <v>9</v>
      </c>
      <c r="C472" s="9">
        <v>1915</v>
      </c>
      <c r="D472" s="10">
        <v>45639</v>
      </c>
      <c r="E472" s="13" t="str">
        <f>+HYPERLINK("http://trademark.i-assist.jp/data/china/image_1915th/80755231.pdf","80755231")</f>
        <v>80755231</v>
      </c>
      <c r="F472" s="9" t="s">
        <v>1360</v>
      </c>
      <c r="G472" s="9" t="s">
        <v>1361</v>
      </c>
      <c r="H472" s="9" t="s">
        <v>1362</v>
      </c>
      <c r="I472" s="10">
        <v>45540</v>
      </c>
    </row>
    <row r="473" spans="1:9" x14ac:dyDescent="0.15">
      <c r="A473" s="9">
        <v>472</v>
      </c>
      <c r="B473" s="9" t="s">
        <v>9</v>
      </c>
      <c r="C473" s="9">
        <v>1915</v>
      </c>
      <c r="D473" s="10">
        <v>45639</v>
      </c>
      <c r="E473" s="13" t="str">
        <f>+HYPERLINK("http://trademark.i-assist.jp/data/china/image_1915th/80755263.pdf","80755263")</f>
        <v>80755263</v>
      </c>
      <c r="F473" s="9" t="s">
        <v>1363</v>
      </c>
      <c r="G473" s="9" t="s">
        <v>1364</v>
      </c>
      <c r="H473" s="9" t="s">
        <v>1365</v>
      </c>
      <c r="I473" s="10">
        <v>45540</v>
      </c>
    </row>
    <row r="474" spans="1:9" x14ac:dyDescent="0.15">
      <c r="A474" s="9">
        <v>473</v>
      </c>
      <c r="B474" s="9" t="s">
        <v>9</v>
      </c>
      <c r="C474" s="9">
        <v>1915</v>
      </c>
      <c r="D474" s="10">
        <v>45639</v>
      </c>
      <c r="E474" s="13" t="str">
        <f>+HYPERLINK("http://trademark.i-assist.jp/data/china/image_1915th/80755955.pdf","80755955")</f>
        <v>80755955</v>
      </c>
      <c r="F474" s="9" t="s">
        <v>1366</v>
      </c>
      <c r="G474" s="9" t="s">
        <v>1367</v>
      </c>
      <c r="H474" s="9" t="s">
        <v>1368</v>
      </c>
      <c r="I474" s="10">
        <v>45540</v>
      </c>
    </row>
    <row r="475" spans="1:9" x14ac:dyDescent="0.15">
      <c r="A475" s="9">
        <v>474</v>
      </c>
      <c r="B475" s="9" t="s">
        <v>9</v>
      </c>
      <c r="C475" s="9">
        <v>1915</v>
      </c>
      <c r="D475" s="10">
        <v>45639</v>
      </c>
      <c r="E475" s="13" t="str">
        <f>+HYPERLINK("http://trademark.i-assist.jp/data/china/image_1915th/80756162.pdf","80756162")</f>
        <v>80756162</v>
      </c>
      <c r="F475" s="9" t="s">
        <v>1369</v>
      </c>
      <c r="G475" s="9" t="s">
        <v>27</v>
      </c>
      <c r="H475" s="9" t="s">
        <v>1370</v>
      </c>
      <c r="I475" s="10">
        <v>45540</v>
      </c>
    </row>
    <row r="476" spans="1:9" x14ac:dyDescent="0.15">
      <c r="A476" s="9">
        <v>475</v>
      </c>
      <c r="B476" s="9" t="s">
        <v>9</v>
      </c>
      <c r="C476" s="9">
        <v>1915</v>
      </c>
      <c r="D476" s="10">
        <v>45639</v>
      </c>
      <c r="E476" s="13" t="str">
        <f>+HYPERLINK("http://trademark.i-assist.jp/data/china/image_1915th/80756708.pdf","80756708")</f>
        <v>80756708</v>
      </c>
      <c r="F476" s="9" t="s">
        <v>1371</v>
      </c>
      <c r="G476" s="9" t="s">
        <v>1372</v>
      </c>
      <c r="H476" s="9" t="s">
        <v>1373</v>
      </c>
      <c r="I476" s="10">
        <v>45540</v>
      </c>
    </row>
    <row r="477" spans="1:9" x14ac:dyDescent="0.15">
      <c r="A477" s="9">
        <v>476</v>
      </c>
      <c r="B477" s="9" t="s">
        <v>9</v>
      </c>
      <c r="C477" s="9">
        <v>1915</v>
      </c>
      <c r="D477" s="10">
        <v>45639</v>
      </c>
      <c r="E477" s="13" t="str">
        <f>+HYPERLINK("http://trademark.i-assist.jp/data/china/image_1915th/80756756.pdf","80756756")</f>
        <v>80756756</v>
      </c>
      <c r="F477" s="12" t="s">
        <v>1374</v>
      </c>
      <c r="G477" s="9" t="s">
        <v>1375</v>
      </c>
      <c r="H477" s="9" t="s">
        <v>1376</v>
      </c>
      <c r="I477" s="10">
        <v>45540</v>
      </c>
    </row>
    <row r="478" spans="1:9" x14ac:dyDescent="0.15">
      <c r="A478" s="9">
        <v>477</v>
      </c>
      <c r="B478" s="9" t="s">
        <v>9</v>
      </c>
      <c r="C478" s="9">
        <v>1915</v>
      </c>
      <c r="D478" s="10">
        <v>45639</v>
      </c>
      <c r="E478" s="13" t="str">
        <f>+HYPERLINK("http://trademark.i-assist.jp/data/china/image_1915th/80756958.pdf","80756958")</f>
        <v>80756958</v>
      </c>
      <c r="F478" s="9" t="s">
        <v>1377</v>
      </c>
      <c r="G478" s="9" t="s">
        <v>1378</v>
      </c>
      <c r="H478" s="9" t="s">
        <v>1379</v>
      </c>
      <c r="I478" s="10">
        <v>45540</v>
      </c>
    </row>
    <row r="479" spans="1:9" x14ac:dyDescent="0.15">
      <c r="A479" s="9">
        <v>478</v>
      </c>
      <c r="B479" s="9" t="s">
        <v>9</v>
      </c>
      <c r="C479" s="9">
        <v>1915</v>
      </c>
      <c r="D479" s="10">
        <v>45639</v>
      </c>
      <c r="E479" s="13" t="str">
        <f>+HYPERLINK("http://trademark.i-assist.jp/data/china/image_1915th/80757163.pdf","80757163")</f>
        <v>80757163</v>
      </c>
      <c r="F479" s="9" t="s">
        <v>1380</v>
      </c>
      <c r="G479" s="9" t="s">
        <v>1381</v>
      </c>
      <c r="H479" s="9" t="s">
        <v>1382</v>
      </c>
      <c r="I479" s="10">
        <v>45540</v>
      </c>
    </row>
    <row r="480" spans="1:9" x14ac:dyDescent="0.15">
      <c r="A480" s="9">
        <v>479</v>
      </c>
      <c r="B480" s="9" t="s">
        <v>9</v>
      </c>
      <c r="C480" s="9">
        <v>1915</v>
      </c>
      <c r="D480" s="10">
        <v>45639</v>
      </c>
      <c r="E480" s="13" t="str">
        <f>+HYPERLINK("http://trademark.i-assist.jp/data/china/image_1915th/80758999.pdf","80758999")</f>
        <v>80758999</v>
      </c>
      <c r="F480" s="9" t="s">
        <v>1383</v>
      </c>
      <c r="G480" s="12" t="s">
        <v>1384</v>
      </c>
      <c r="H480" s="12" t="s">
        <v>1385</v>
      </c>
      <c r="I480" s="10">
        <v>45540</v>
      </c>
    </row>
    <row r="481" spans="1:9" x14ac:dyDescent="0.15">
      <c r="A481" s="9">
        <v>480</v>
      </c>
      <c r="B481" s="9" t="s">
        <v>9</v>
      </c>
      <c r="C481" s="9">
        <v>1915</v>
      </c>
      <c r="D481" s="10">
        <v>45639</v>
      </c>
      <c r="E481" s="13" t="str">
        <f>+HYPERLINK("http://trademark.i-assist.jp/data/china/image_1915th/80759300.pdf","80759300")</f>
        <v>80759300</v>
      </c>
      <c r="F481" s="9" t="s">
        <v>1386</v>
      </c>
      <c r="G481" s="9" t="s">
        <v>1387</v>
      </c>
      <c r="H481" s="9" t="s">
        <v>1388</v>
      </c>
      <c r="I481" s="10">
        <v>45540</v>
      </c>
    </row>
    <row r="482" spans="1:9" x14ac:dyDescent="0.15">
      <c r="A482" s="9">
        <v>481</v>
      </c>
      <c r="B482" s="9" t="s">
        <v>9</v>
      </c>
      <c r="C482" s="9">
        <v>1915</v>
      </c>
      <c r="D482" s="10">
        <v>45639</v>
      </c>
      <c r="E482" s="13" t="str">
        <f>+HYPERLINK("http://trademark.i-assist.jp/data/china/image_1915th/80759631.pdf","80759631")</f>
        <v>80759631</v>
      </c>
      <c r="F482" s="9" t="s">
        <v>1389</v>
      </c>
      <c r="G482" s="9" t="s">
        <v>1390</v>
      </c>
      <c r="H482" s="9" t="s">
        <v>1391</v>
      </c>
      <c r="I482" s="10">
        <v>45540</v>
      </c>
    </row>
    <row r="483" spans="1:9" x14ac:dyDescent="0.15">
      <c r="A483" s="9">
        <v>482</v>
      </c>
      <c r="B483" s="9" t="s">
        <v>9</v>
      </c>
      <c r="C483" s="9">
        <v>1915</v>
      </c>
      <c r="D483" s="10">
        <v>45639</v>
      </c>
      <c r="E483" s="13" t="str">
        <f>+HYPERLINK("http://trademark.i-assist.jp/data/china/image_1915th/80759863.pdf","80759863")</f>
        <v>80759863</v>
      </c>
      <c r="F483" s="12" t="s">
        <v>1392</v>
      </c>
      <c r="G483" s="9" t="s">
        <v>1393</v>
      </c>
      <c r="H483" s="9" t="s">
        <v>1394</v>
      </c>
      <c r="I483" s="10">
        <v>45540</v>
      </c>
    </row>
    <row r="484" spans="1:9" x14ac:dyDescent="0.15">
      <c r="A484" s="9">
        <v>483</v>
      </c>
      <c r="B484" s="9" t="s">
        <v>9</v>
      </c>
      <c r="C484" s="9">
        <v>1915</v>
      </c>
      <c r="D484" s="10">
        <v>45639</v>
      </c>
      <c r="E484" s="13" t="str">
        <f>+HYPERLINK("http://trademark.i-assist.jp/data/china/image_1915th/80759919.pdf","80759919")</f>
        <v>80759919</v>
      </c>
      <c r="F484" s="12" t="s">
        <v>1395</v>
      </c>
      <c r="G484" s="9" t="s">
        <v>1396</v>
      </c>
      <c r="H484" s="9" t="s">
        <v>1397</v>
      </c>
      <c r="I484" s="10">
        <v>45540</v>
      </c>
    </row>
    <row r="485" spans="1:9" x14ac:dyDescent="0.15">
      <c r="A485" s="9">
        <v>484</v>
      </c>
      <c r="B485" s="9" t="s">
        <v>9</v>
      </c>
      <c r="C485" s="9">
        <v>1915</v>
      </c>
      <c r="D485" s="10">
        <v>45639</v>
      </c>
      <c r="E485" s="13" t="str">
        <f>+HYPERLINK("http://trademark.i-assist.jp/data/china/image_1915th/80759965.pdf","80759965")</f>
        <v>80759965</v>
      </c>
      <c r="F485" s="12" t="s">
        <v>15</v>
      </c>
      <c r="G485" s="12" t="s">
        <v>1398</v>
      </c>
      <c r="H485" s="9" t="s">
        <v>1399</v>
      </c>
      <c r="I485" s="10">
        <v>45540</v>
      </c>
    </row>
    <row r="486" spans="1:9" x14ac:dyDescent="0.15">
      <c r="A486" s="9">
        <v>485</v>
      </c>
      <c r="B486" s="9" t="s">
        <v>9</v>
      </c>
      <c r="C486" s="9">
        <v>1915</v>
      </c>
      <c r="D486" s="10">
        <v>45639</v>
      </c>
      <c r="E486" s="13" t="str">
        <f>+HYPERLINK("http://trademark.i-assist.jp/data/china/image_1915th/80760501.pdf","80760501")</f>
        <v>80760501</v>
      </c>
      <c r="F486" s="9" t="s">
        <v>1400</v>
      </c>
      <c r="G486" s="9" t="s">
        <v>1401</v>
      </c>
      <c r="H486" s="9" t="s">
        <v>1402</v>
      </c>
      <c r="I486" s="10">
        <v>45540</v>
      </c>
    </row>
    <row r="487" spans="1:9" x14ac:dyDescent="0.15">
      <c r="A487" s="9">
        <v>486</v>
      </c>
      <c r="B487" s="9" t="s">
        <v>9</v>
      </c>
      <c r="C487" s="9">
        <v>1915</v>
      </c>
      <c r="D487" s="10">
        <v>45639</v>
      </c>
      <c r="E487" s="13" t="str">
        <f>+HYPERLINK("http://trademark.i-assist.jp/data/china/image_1915th/80760813.pdf","80760813")</f>
        <v>80760813</v>
      </c>
      <c r="F487" s="9" t="s">
        <v>1403</v>
      </c>
      <c r="G487" s="12" t="s">
        <v>1404</v>
      </c>
      <c r="H487" s="9" t="s">
        <v>1405</v>
      </c>
      <c r="I487" s="10">
        <v>45540</v>
      </c>
    </row>
    <row r="488" spans="1:9" x14ac:dyDescent="0.15">
      <c r="A488" s="9">
        <v>487</v>
      </c>
      <c r="B488" s="9" t="s">
        <v>9</v>
      </c>
      <c r="C488" s="9">
        <v>1915</v>
      </c>
      <c r="D488" s="10">
        <v>45639</v>
      </c>
      <c r="E488" s="13" t="str">
        <f>+HYPERLINK("http://trademark.i-assist.jp/data/china/image_1915th/80760866.pdf","80760866")</f>
        <v>80760866</v>
      </c>
      <c r="F488" s="9" t="s">
        <v>1406</v>
      </c>
      <c r="G488" s="12" t="s">
        <v>1407</v>
      </c>
      <c r="H488" s="9" t="s">
        <v>1408</v>
      </c>
      <c r="I488" s="10">
        <v>45540</v>
      </c>
    </row>
    <row r="489" spans="1:9" x14ac:dyDescent="0.15">
      <c r="A489" s="9">
        <v>488</v>
      </c>
      <c r="B489" s="9" t="s">
        <v>9</v>
      </c>
      <c r="C489" s="9">
        <v>1915</v>
      </c>
      <c r="D489" s="10">
        <v>45639</v>
      </c>
      <c r="E489" s="13" t="str">
        <f>+HYPERLINK("http://trademark.i-assist.jp/data/china/image_1915th/80761455.pdf","80761455")</f>
        <v>80761455</v>
      </c>
      <c r="F489" s="9" t="s">
        <v>1409</v>
      </c>
      <c r="G489" s="9" t="s">
        <v>1410</v>
      </c>
      <c r="H489" s="9" t="s">
        <v>1411</v>
      </c>
      <c r="I489" s="10">
        <v>45540</v>
      </c>
    </row>
    <row r="490" spans="1:9" x14ac:dyDescent="0.15">
      <c r="A490" s="9">
        <v>489</v>
      </c>
      <c r="B490" s="9" t="s">
        <v>9</v>
      </c>
      <c r="C490" s="9">
        <v>1915</v>
      </c>
      <c r="D490" s="10">
        <v>45639</v>
      </c>
      <c r="E490" s="13" t="str">
        <f>+HYPERLINK("http://trademark.i-assist.jp/data/china/image_1915th/80761794.pdf","80761794")</f>
        <v>80761794</v>
      </c>
      <c r="F490" s="9" t="s">
        <v>1412</v>
      </c>
      <c r="G490" s="12" t="s">
        <v>1413</v>
      </c>
      <c r="H490" s="9" t="s">
        <v>1414</v>
      </c>
      <c r="I490" s="10">
        <v>45540</v>
      </c>
    </row>
    <row r="491" spans="1:9" x14ac:dyDescent="0.15">
      <c r="A491" s="9">
        <v>490</v>
      </c>
      <c r="B491" s="9" t="s">
        <v>9</v>
      </c>
      <c r="C491" s="9">
        <v>1915</v>
      </c>
      <c r="D491" s="10">
        <v>45639</v>
      </c>
      <c r="E491" s="13" t="str">
        <f>+HYPERLINK("http://trademark.i-assist.jp/data/china/image_1915th/80762007.pdf","80762007")</f>
        <v>80762007</v>
      </c>
      <c r="F491" s="12" t="s">
        <v>1415</v>
      </c>
      <c r="G491" s="9" t="s">
        <v>1416</v>
      </c>
      <c r="H491" s="9" t="s">
        <v>1417</v>
      </c>
      <c r="I491" s="10">
        <v>45540</v>
      </c>
    </row>
    <row r="492" spans="1:9" x14ac:dyDescent="0.15">
      <c r="A492" s="9">
        <v>491</v>
      </c>
      <c r="B492" s="9" t="s">
        <v>9</v>
      </c>
      <c r="C492" s="9">
        <v>1915</v>
      </c>
      <c r="D492" s="10">
        <v>45639</v>
      </c>
      <c r="E492" s="13" t="str">
        <f>+HYPERLINK("http://trademark.i-assist.jp/data/china/image_1915th/80762735.pdf","80762735")</f>
        <v>80762735</v>
      </c>
      <c r="F492" s="9" t="s">
        <v>1418</v>
      </c>
      <c r="G492" s="9" t="s">
        <v>1361</v>
      </c>
      <c r="H492" s="9" t="s">
        <v>1419</v>
      </c>
      <c r="I492" s="10">
        <v>45540</v>
      </c>
    </row>
    <row r="493" spans="1:9" x14ac:dyDescent="0.15">
      <c r="A493" s="9">
        <v>492</v>
      </c>
      <c r="B493" s="9" t="s">
        <v>9</v>
      </c>
      <c r="C493" s="9">
        <v>1915</v>
      </c>
      <c r="D493" s="10">
        <v>45639</v>
      </c>
      <c r="E493" s="13" t="str">
        <f>+HYPERLINK("http://trademark.i-assist.jp/data/china/image_1915th/80763164.pdf","80763164")</f>
        <v>80763164</v>
      </c>
      <c r="F493" s="9" t="s">
        <v>1420</v>
      </c>
      <c r="G493" s="9" t="s">
        <v>1421</v>
      </c>
      <c r="H493" s="9" t="s">
        <v>1422</v>
      </c>
      <c r="I493" s="10">
        <v>45540</v>
      </c>
    </row>
    <row r="494" spans="1:9" x14ac:dyDescent="0.15">
      <c r="A494" s="9">
        <v>493</v>
      </c>
      <c r="B494" s="9" t="s">
        <v>9</v>
      </c>
      <c r="C494" s="9">
        <v>1915</v>
      </c>
      <c r="D494" s="10">
        <v>45639</v>
      </c>
      <c r="E494" s="13" t="str">
        <f>+HYPERLINK("http://trademark.i-assist.jp/data/china/image_1915th/80763438.pdf","80763438")</f>
        <v>80763438</v>
      </c>
      <c r="F494" s="12" t="s">
        <v>1423</v>
      </c>
      <c r="G494" s="9" t="s">
        <v>1424</v>
      </c>
      <c r="H494" s="9" t="s">
        <v>1425</v>
      </c>
      <c r="I494" s="10">
        <v>45540</v>
      </c>
    </row>
    <row r="495" spans="1:9" x14ac:dyDescent="0.15">
      <c r="A495" s="9">
        <v>494</v>
      </c>
      <c r="B495" s="9" t="s">
        <v>9</v>
      </c>
      <c r="C495" s="9">
        <v>1915</v>
      </c>
      <c r="D495" s="10">
        <v>45639</v>
      </c>
      <c r="E495" s="13" t="str">
        <f>+HYPERLINK("http://trademark.i-assist.jp/data/china/image_1915th/80766340.pdf","80766340")</f>
        <v>80766340</v>
      </c>
      <c r="F495" s="9" t="s">
        <v>1426</v>
      </c>
      <c r="G495" s="9" t="s">
        <v>1427</v>
      </c>
      <c r="H495" s="9" t="s">
        <v>1428</v>
      </c>
      <c r="I495" s="10">
        <v>45540</v>
      </c>
    </row>
    <row r="496" spans="1:9" x14ac:dyDescent="0.15">
      <c r="A496" s="9">
        <v>495</v>
      </c>
      <c r="B496" s="9" t="s">
        <v>9</v>
      </c>
      <c r="C496" s="9">
        <v>1915</v>
      </c>
      <c r="D496" s="10">
        <v>45639</v>
      </c>
      <c r="E496" s="13" t="str">
        <f>+HYPERLINK("http://trademark.i-assist.jp/data/china/image_1915th/80767457.pdf","80767457")</f>
        <v>80767457</v>
      </c>
      <c r="F496" s="9" t="s">
        <v>1429</v>
      </c>
      <c r="G496" s="12" t="s">
        <v>1430</v>
      </c>
      <c r="H496" s="12" t="s">
        <v>1431</v>
      </c>
      <c r="I496" s="10">
        <v>45540</v>
      </c>
    </row>
    <row r="497" spans="1:9" x14ac:dyDescent="0.15">
      <c r="A497" s="9">
        <v>496</v>
      </c>
      <c r="B497" s="9" t="s">
        <v>9</v>
      </c>
      <c r="C497" s="9">
        <v>1915</v>
      </c>
      <c r="D497" s="10">
        <v>45639</v>
      </c>
      <c r="E497" s="13" t="str">
        <f>+HYPERLINK("http://trademark.i-assist.jp/data/china/image_1915th/80768478.pdf","80768478")</f>
        <v>80768478</v>
      </c>
      <c r="F497" s="9" t="s">
        <v>1432</v>
      </c>
      <c r="G497" s="9" t="s">
        <v>1433</v>
      </c>
      <c r="H497" s="9" t="s">
        <v>1434</v>
      </c>
      <c r="I497" s="10">
        <v>45540</v>
      </c>
    </row>
    <row r="498" spans="1:9" x14ac:dyDescent="0.15">
      <c r="A498" s="9">
        <v>497</v>
      </c>
      <c r="B498" s="9" t="s">
        <v>9</v>
      </c>
      <c r="C498" s="9">
        <v>1915</v>
      </c>
      <c r="D498" s="10">
        <v>45639</v>
      </c>
      <c r="E498" s="13" t="str">
        <f>+HYPERLINK("http://trademark.i-assist.jp/data/china/image_1915th/80768697.pdf","80768697")</f>
        <v>80768697</v>
      </c>
      <c r="F498" s="9" t="s">
        <v>1435</v>
      </c>
      <c r="G498" s="12" t="s">
        <v>1436</v>
      </c>
      <c r="H498" s="9" t="s">
        <v>1437</v>
      </c>
      <c r="I498" s="10">
        <v>45540</v>
      </c>
    </row>
    <row r="499" spans="1:9" x14ac:dyDescent="0.15">
      <c r="A499" s="9">
        <v>498</v>
      </c>
      <c r="B499" s="9" t="s">
        <v>9</v>
      </c>
      <c r="C499" s="9">
        <v>1915</v>
      </c>
      <c r="D499" s="10">
        <v>45639</v>
      </c>
      <c r="E499" s="13" t="str">
        <f>+HYPERLINK("http://trademark.i-assist.jp/data/china/image_1915th/80769723.pdf","80769723")</f>
        <v>80769723</v>
      </c>
      <c r="F499" s="9" t="s">
        <v>1438</v>
      </c>
      <c r="G499" s="9" t="s">
        <v>1439</v>
      </c>
      <c r="H499" s="9" t="s">
        <v>1440</v>
      </c>
      <c r="I499" s="10">
        <v>45540</v>
      </c>
    </row>
    <row r="500" spans="1:9" x14ac:dyDescent="0.15">
      <c r="A500" s="9">
        <v>499</v>
      </c>
      <c r="B500" s="9" t="s">
        <v>9</v>
      </c>
      <c r="C500" s="9">
        <v>1915</v>
      </c>
      <c r="D500" s="10">
        <v>45639</v>
      </c>
      <c r="E500" s="13" t="str">
        <f>+HYPERLINK("http://trademark.i-assist.jp/data/china/image_1915th/80769746.pdf","80769746")</f>
        <v>80769746</v>
      </c>
      <c r="F500" s="9" t="s">
        <v>1441</v>
      </c>
      <c r="G500" s="9" t="s">
        <v>1442</v>
      </c>
      <c r="H500" s="12" t="s">
        <v>1443</v>
      </c>
      <c r="I500" s="10">
        <v>45540</v>
      </c>
    </row>
    <row r="501" spans="1:9" x14ac:dyDescent="0.15">
      <c r="A501" s="9">
        <v>500</v>
      </c>
      <c r="B501" s="9" t="s">
        <v>9</v>
      </c>
      <c r="C501" s="9">
        <v>1915</v>
      </c>
      <c r="D501" s="10">
        <v>45639</v>
      </c>
      <c r="E501" s="13" t="str">
        <f>+HYPERLINK("http://trademark.i-assist.jp/data/china/image_1915th/80769930.pdf","80769930")</f>
        <v>80769930</v>
      </c>
      <c r="F501" s="9" t="s">
        <v>1444</v>
      </c>
      <c r="G501" s="9" t="s">
        <v>1445</v>
      </c>
      <c r="H501" s="9" t="s">
        <v>1446</v>
      </c>
      <c r="I501" s="10">
        <v>45540</v>
      </c>
    </row>
    <row r="502" spans="1:9" x14ac:dyDescent="0.15">
      <c r="A502" s="9">
        <v>501</v>
      </c>
      <c r="B502" s="9" t="s">
        <v>9</v>
      </c>
      <c r="C502" s="9">
        <v>1915</v>
      </c>
      <c r="D502" s="10">
        <v>45639</v>
      </c>
      <c r="E502" s="13" t="str">
        <f>+HYPERLINK("http://trademark.i-assist.jp/data/china/image_1915th/80770272.pdf","80770272")</f>
        <v>80770272</v>
      </c>
      <c r="F502" s="9" t="s">
        <v>1447</v>
      </c>
      <c r="G502" s="9" t="s">
        <v>1378</v>
      </c>
      <c r="H502" s="9" t="s">
        <v>1448</v>
      </c>
      <c r="I502" s="10">
        <v>45540</v>
      </c>
    </row>
    <row r="503" spans="1:9" x14ac:dyDescent="0.15">
      <c r="A503" s="9">
        <v>502</v>
      </c>
      <c r="B503" s="9" t="s">
        <v>9</v>
      </c>
      <c r="C503" s="9">
        <v>1915</v>
      </c>
      <c r="D503" s="10">
        <v>45639</v>
      </c>
      <c r="E503" s="13" t="str">
        <f>+HYPERLINK("http://trademark.i-assist.jp/data/china/image_1915th/80770317.pdf","80770317")</f>
        <v>80770317</v>
      </c>
      <c r="F503" s="9" t="s">
        <v>1449</v>
      </c>
      <c r="G503" s="9" t="s">
        <v>1381</v>
      </c>
      <c r="H503" s="9" t="s">
        <v>1450</v>
      </c>
      <c r="I503" s="10">
        <v>45540</v>
      </c>
    </row>
    <row r="504" spans="1:9" x14ac:dyDescent="0.15">
      <c r="A504" s="9">
        <v>503</v>
      </c>
      <c r="B504" s="9" t="s">
        <v>9</v>
      </c>
      <c r="C504" s="9">
        <v>1915</v>
      </c>
      <c r="D504" s="10">
        <v>45639</v>
      </c>
      <c r="E504" s="13" t="str">
        <f>+HYPERLINK("http://trademark.i-assist.jp/data/china/image_1915th/80771093.pdf","80771093")</f>
        <v>80771093</v>
      </c>
      <c r="F504" s="9" t="s">
        <v>1451</v>
      </c>
      <c r="G504" s="9" t="s">
        <v>1390</v>
      </c>
      <c r="H504" s="9" t="s">
        <v>1452</v>
      </c>
      <c r="I504" s="10">
        <v>45540</v>
      </c>
    </row>
    <row r="505" spans="1:9" x14ac:dyDescent="0.15">
      <c r="A505" s="9">
        <v>504</v>
      </c>
      <c r="B505" s="9" t="s">
        <v>9</v>
      </c>
      <c r="C505" s="9">
        <v>1915</v>
      </c>
      <c r="D505" s="10">
        <v>45639</v>
      </c>
      <c r="E505" s="13" t="str">
        <f>+HYPERLINK("http://trademark.i-assist.jp/data/china/image_1915th/80771253.pdf","80771253")</f>
        <v>80771253</v>
      </c>
      <c r="F505" s="9" t="s">
        <v>1453</v>
      </c>
      <c r="G505" s="9" t="s">
        <v>1454</v>
      </c>
      <c r="H505" s="9" t="s">
        <v>1455</v>
      </c>
      <c r="I505" s="10">
        <v>45540</v>
      </c>
    </row>
    <row r="506" spans="1:9" x14ac:dyDescent="0.15">
      <c r="A506" s="9">
        <v>505</v>
      </c>
      <c r="B506" s="9" t="s">
        <v>9</v>
      </c>
      <c r="C506" s="9">
        <v>1915</v>
      </c>
      <c r="D506" s="10">
        <v>45639</v>
      </c>
      <c r="E506" s="13" t="str">
        <f>+HYPERLINK("http://trademark.i-assist.jp/data/china/image_1915th/80771478.pdf","80771478")</f>
        <v>80771478</v>
      </c>
      <c r="F506" s="9" t="s">
        <v>1456</v>
      </c>
      <c r="G506" s="9" t="s">
        <v>1457</v>
      </c>
      <c r="H506" s="9" t="s">
        <v>1458</v>
      </c>
      <c r="I506" s="10">
        <v>45540</v>
      </c>
    </row>
    <row r="507" spans="1:9" x14ac:dyDescent="0.15">
      <c r="A507" s="9">
        <v>506</v>
      </c>
      <c r="B507" s="9" t="s">
        <v>9</v>
      </c>
      <c r="C507" s="9">
        <v>1915</v>
      </c>
      <c r="D507" s="10">
        <v>45639</v>
      </c>
      <c r="E507" s="13" t="str">
        <f>+HYPERLINK("http://trademark.i-assist.jp/data/china/image_1915th/80772561.pdf","80772561")</f>
        <v>80772561</v>
      </c>
      <c r="F507" s="9" t="s">
        <v>1459</v>
      </c>
      <c r="G507" s="9" t="s">
        <v>1367</v>
      </c>
      <c r="H507" s="9" t="s">
        <v>1460</v>
      </c>
      <c r="I507" s="10">
        <v>45540</v>
      </c>
    </row>
    <row r="508" spans="1:9" x14ac:dyDescent="0.15">
      <c r="A508" s="9">
        <v>507</v>
      </c>
      <c r="B508" s="9" t="s">
        <v>9</v>
      </c>
      <c r="C508" s="9">
        <v>1915</v>
      </c>
      <c r="D508" s="10">
        <v>45639</v>
      </c>
      <c r="E508" s="13" t="str">
        <f>+HYPERLINK("http://trademark.i-assist.jp/data/china/image_1915th/80773057.pdf","80773057")</f>
        <v>80773057</v>
      </c>
      <c r="F508" s="9" t="s">
        <v>1461</v>
      </c>
      <c r="G508" s="12" t="s">
        <v>1462</v>
      </c>
      <c r="H508" s="9" t="s">
        <v>1463</v>
      </c>
      <c r="I508" s="10">
        <v>45540</v>
      </c>
    </row>
    <row r="509" spans="1:9" x14ac:dyDescent="0.15">
      <c r="A509" s="9">
        <v>508</v>
      </c>
      <c r="B509" s="9" t="s">
        <v>9</v>
      </c>
      <c r="C509" s="9">
        <v>1915</v>
      </c>
      <c r="D509" s="10">
        <v>45639</v>
      </c>
      <c r="E509" s="13" t="str">
        <f>+HYPERLINK("http://trademark.i-assist.jp/data/china/image_1915th/80773651.pdf","80773651")</f>
        <v>80773651</v>
      </c>
      <c r="F509" s="12" t="s">
        <v>1464</v>
      </c>
      <c r="G509" s="12" t="s">
        <v>1465</v>
      </c>
      <c r="H509" s="9" t="s">
        <v>1466</v>
      </c>
      <c r="I509" s="10">
        <v>45540</v>
      </c>
    </row>
    <row r="510" spans="1:9" x14ac:dyDescent="0.15">
      <c r="A510" s="9">
        <v>509</v>
      </c>
      <c r="B510" s="9" t="s">
        <v>9</v>
      </c>
      <c r="C510" s="9">
        <v>1915</v>
      </c>
      <c r="D510" s="10">
        <v>45639</v>
      </c>
      <c r="E510" s="13" t="str">
        <f>+HYPERLINK("http://trademark.i-assist.jp/data/china/image_1915th/80774088.pdf","80774088")</f>
        <v>80774088</v>
      </c>
      <c r="F510" s="12" t="s">
        <v>1467</v>
      </c>
      <c r="G510" s="9" t="s">
        <v>1468</v>
      </c>
      <c r="H510" s="12" t="s">
        <v>1469</v>
      </c>
      <c r="I510" s="10">
        <v>45540</v>
      </c>
    </row>
    <row r="511" spans="1:9" x14ac:dyDescent="0.15">
      <c r="A511" s="9">
        <v>510</v>
      </c>
      <c r="B511" s="9" t="s">
        <v>9</v>
      </c>
      <c r="C511" s="9">
        <v>1915</v>
      </c>
      <c r="D511" s="10">
        <v>45639</v>
      </c>
      <c r="E511" s="13" t="str">
        <f>+HYPERLINK("http://trademark.i-assist.jp/data/china/image_1915th/80774549.pdf","80774549")</f>
        <v>80774549</v>
      </c>
      <c r="F511" s="9" t="s">
        <v>1470</v>
      </c>
      <c r="G511" s="12" t="s">
        <v>47</v>
      </c>
      <c r="H511" s="9" t="s">
        <v>1471</v>
      </c>
      <c r="I511" s="10">
        <v>45540</v>
      </c>
    </row>
    <row r="512" spans="1:9" x14ac:dyDescent="0.15">
      <c r="A512" s="9">
        <v>511</v>
      </c>
      <c r="B512" s="9" t="s">
        <v>9</v>
      </c>
      <c r="C512" s="9">
        <v>1915</v>
      </c>
      <c r="D512" s="10">
        <v>45639</v>
      </c>
      <c r="E512" s="13" t="str">
        <f>+HYPERLINK("http://trademark.i-assist.jp/data/china/image_1915th/80775157.pdf","80775157")</f>
        <v>80775157</v>
      </c>
      <c r="F512" s="9" t="s">
        <v>1472</v>
      </c>
      <c r="G512" s="12" t="s">
        <v>1473</v>
      </c>
      <c r="H512" s="9" t="s">
        <v>1474</v>
      </c>
      <c r="I512" s="10">
        <v>45540</v>
      </c>
    </row>
    <row r="513" spans="1:9" x14ac:dyDescent="0.15">
      <c r="A513" s="9">
        <v>512</v>
      </c>
      <c r="B513" s="9" t="s">
        <v>9</v>
      </c>
      <c r="C513" s="9">
        <v>1915</v>
      </c>
      <c r="D513" s="10">
        <v>45639</v>
      </c>
      <c r="E513" s="13" t="str">
        <f>+HYPERLINK("http://trademark.i-assist.jp/data/china/image_1915th/80775689.pdf","80775689")</f>
        <v>80775689</v>
      </c>
      <c r="F513" s="9" t="s">
        <v>1475</v>
      </c>
      <c r="G513" s="9" t="s">
        <v>1476</v>
      </c>
      <c r="H513" s="9" t="s">
        <v>1477</v>
      </c>
      <c r="I513" s="10">
        <v>45540</v>
      </c>
    </row>
    <row r="514" spans="1:9" x14ac:dyDescent="0.15">
      <c r="A514" s="9">
        <v>513</v>
      </c>
      <c r="B514" s="9" t="s">
        <v>9</v>
      </c>
      <c r="C514" s="9">
        <v>1915</v>
      </c>
      <c r="D514" s="10">
        <v>45639</v>
      </c>
      <c r="E514" s="13" t="str">
        <f>+HYPERLINK("http://trademark.i-assist.jp/data/china/image_1915th/80775963.pdf","80775963")</f>
        <v>80775963</v>
      </c>
      <c r="F514" s="9" t="s">
        <v>1478</v>
      </c>
      <c r="G514" s="12" t="s">
        <v>1436</v>
      </c>
      <c r="H514" s="9" t="s">
        <v>1479</v>
      </c>
      <c r="I514" s="10">
        <v>45540</v>
      </c>
    </row>
    <row r="515" spans="1:9" x14ac:dyDescent="0.15">
      <c r="A515" s="9">
        <v>514</v>
      </c>
      <c r="B515" s="9" t="s">
        <v>9</v>
      </c>
      <c r="C515" s="9">
        <v>1915</v>
      </c>
      <c r="D515" s="10">
        <v>45639</v>
      </c>
      <c r="E515" s="13" t="str">
        <f>+HYPERLINK("http://trademark.i-assist.jp/data/china/image_1915th/80776224.pdf","80776224")</f>
        <v>80776224</v>
      </c>
      <c r="F515" s="9" t="s">
        <v>1480</v>
      </c>
      <c r="G515" s="9" t="s">
        <v>1481</v>
      </c>
      <c r="H515" s="9" t="s">
        <v>1482</v>
      </c>
      <c r="I515" s="10">
        <v>45540</v>
      </c>
    </row>
    <row r="516" spans="1:9" x14ac:dyDescent="0.15">
      <c r="A516" s="9">
        <v>515</v>
      </c>
      <c r="B516" s="9" t="s">
        <v>9</v>
      </c>
      <c r="C516" s="9">
        <v>1915</v>
      </c>
      <c r="D516" s="10">
        <v>45639</v>
      </c>
      <c r="E516" s="13" t="str">
        <f>+HYPERLINK("http://trademark.i-assist.jp/data/china/image_1915th/80777003.pdf","80777003")</f>
        <v>80777003</v>
      </c>
      <c r="F516" s="9" t="s">
        <v>1483</v>
      </c>
      <c r="G516" s="9" t="s">
        <v>1484</v>
      </c>
      <c r="H516" s="9" t="s">
        <v>1485</v>
      </c>
      <c r="I516" s="10">
        <v>45540</v>
      </c>
    </row>
    <row r="517" spans="1:9" x14ac:dyDescent="0.15">
      <c r="A517" s="9">
        <v>516</v>
      </c>
      <c r="B517" s="9" t="s">
        <v>9</v>
      </c>
      <c r="C517" s="9">
        <v>1915</v>
      </c>
      <c r="D517" s="10">
        <v>45639</v>
      </c>
      <c r="E517" s="13" t="str">
        <f>+HYPERLINK("http://trademark.i-assist.jp/data/china/image_1915th/80777389.pdf","80777389")</f>
        <v>80777389</v>
      </c>
      <c r="F517" s="9" t="s">
        <v>1486</v>
      </c>
      <c r="G517" s="12" t="s">
        <v>1404</v>
      </c>
      <c r="H517" s="9" t="s">
        <v>1487</v>
      </c>
      <c r="I517" s="10">
        <v>45540</v>
      </c>
    </row>
    <row r="518" spans="1:9" x14ac:dyDescent="0.15">
      <c r="A518" s="9">
        <v>517</v>
      </c>
      <c r="B518" s="9" t="s">
        <v>9</v>
      </c>
      <c r="C518" s="9">
        <v>1915</v>
      </c>
      <c r="D518" s="10">
        <v>45639</v>
      </c>
      <c r="E518" s="13" t="str">
        <f>+HYPERLINK("http://trademark.i-assist.jp/data/china/image_1915th/80778464.pdf","80778464")</f>
        <v>80778464</v>
      </c>
      <c r="F518" s="9" t="s">
        <v>1488</v>
      </c>
      <c r="G518" s="12" t="s">
        <v>1489</v>
      </c>
      <c r="H518" s="9" t="s">
        <v>1490</v>
      </c>
      <c r="I518" s="10">
        <v>45541</v>
      </c>
    </row>
    <row r="519" spans="1:9" x14ac:dyDescent="0.15">
      <c r="A519" s="9">
        <v>518</v>
      </c>
      <c r="B519" s="9" t="s">
        <v>9</v>
      </c>
      <c r="C519" s="9">
        <v>1915</v>
      </c>
      <c r="D519" s="10">
        <v>45639</v>
      </c>
      <c r="E519" s="13" t="str">
        <f>+HYPERLINK("http://trademark.i-assist.jp/data/china/image_1915th/80780559.pdf","80780559")</f>
        <v>80780559</v>
      </c>
      <c r="F519" s="9" t="s">
        <v>1491</v>
      </c>
      <c r="G519" s="12" t="s">
        <v>1492</v>
      </c>
      <c r="H519" s="9" t="s">
        <v>1493</v>
      </c>
      <c r="I519" s="10">
        <v>45541</v>
      </c>
    </row>
    <row r="520" spans="1:9" x14ac:dyDescent="0.15">
      <c r="A520" s="9">
        <v>519</v>
      </c>
      <c r="B520" s="9" t="s">
        <v>9</v>
      </c>
      <c r="C520" s="9">
        <v>1915</v>
      </c>
      <c r="D520" s="10">
        <v>45639</v>
      </c>
      <c r="E520" s="13" t="str">
        <f>+HYPERLINK("http://trademark.i-assist.jp/data/china/image_1915th/80781272.pdf","80781272")</f>
        <v>80781272</v>
      </c>
      <c r="F520" s="9" t="s">
        <v>1494</v>
      </c>
      <c r="G520" s="9" t="s">
        <v>1495</v>
      </c>
      <c r="H520" s="9" t="s">
        <v>1496</v>
      </c>
      <c r="I520" s="10">
        <v>45541</v>
      </c>
    </row>
    <row r="521" spans="1:9" x14ac:dyDescent="0.15">
      <c r="A521" s="9">
        <v>520</v>
      </c>
      <c r="B521" s="9" t="s">
        <v>9</v>
      </c>
      <c r="C521" s="9">
        <v>1915</v>
      </c>
      <c r="D521" s="10">
        <v>45639</v>
      </c>
      <c r="E521" s="13" t="str">
        <f>+HYPERLINK("http://trademark.i-assist.jp/data/china/image_1915th/80782690.pdf","80782690")</f>
        <v>80782690</v>
      </c>
      <c r="F521" s="9" t="s">
        <v>1497</v>
      </c>
      <c r="G521" s="9" t="s">
        <v>1498</v>
      </c>
      <c r="H521" s="9" t="s">
        <v>1499</v>
      </c>
      <c r="I521" s="10">
        <v>45541</v>
      </c>
    </row>
    <row r="522" spans="1:9" x14ac:dyDescent="0.15">
      <c r="A522" s="9">
        <v>521</v>
      </c>
      <c r="B522" s="9" t="s">
        <v>9</v>
      </c>
      <c r="C522" s="9">
        <v>1915</v>
      </c>
      <c r="D522" s="10">
        <v>45639</v>
      </c>
      <c r="E522" s="13" t="str">
        <f>+HYPERLINK("http://trademark.i-assist.jp/data/china/image_1915th/80783290.pdf","80783290")</f>
        <v>80783290</v>
      </c>
      <c r="F522" s="9" t="s">
        <v>1500</v>
      </c>
      <c r="G522" s="9" t="s">
        <v>1501</v>
      </c>
      <c r="H522" s="12" t="s">
        <v>1502</v>
      </c>
      <c r="I522" s="10">
        <v>45541</v>
      </c>
    </row>
    <row r="523" spans="1:9" x14ac:dyDescent="0.15">
      <c r="A523" s="9">
        <v>522</v>
      </c>
      <c r="B523" s="9" t="s">
        <v>9</v>
      </c>
      <c r="C523" s="9">
        <v>1915</v>
      </c>
      <c r="D523" s="10">
        <v>45639</v>
      </c>
      <c r="E523" s="13" t="str">
        <f>+HYPERLINK("http://trademark.i-assist.jp/data/china/image_1915th/80783525.pdf","80783525")</f>
        <v>80783525</v>
      </c>
      <c r="F523" s="9" t="s">
        <v>1503</v>
      </c>
      <c r="G523" s="9" t="s">
        <v>11</v>
      </c>
      <c r="H523" s="9" t="s">
        <v>1504</v>
      </c>
      <c r="I523" s="10">
        <v>45541</v>
      </c>
    </row>
    <row r="524" spans="1:9" x14ac:dyDescent="0.15">
      <c r="A524" s="9">
        <v>523</v>
      </c>
      <c r="B524" s="9" t="s">
        <v>9</v>
      </c>
      <c r="C524" s="9">
        <v>1915</v>
      </c>
      <c r="D524" s="10">
        <v>45639</v>
      </c>
      <c r="E524" s="13" t="str">
        <f>+HYPERLINK("http://trademark.i-assist.jp/data/china/image_1915th/80784129.pdf","80784129")</f>
        <v>80784129</v>
      </c>
      <c r="F524" s="9" t="s">
        <v>1505</v>
      </c>
      <c r="G524" s="9" t="s">
        <v>1506</v>
      </c>
      <c r="H524" s="9" t="s">
        <v>1507</v>
      </c>
      <c r="I524" s="10">
        <v>45541</v>
      </c>
    </row>
    <row r="525" spans="1:9" x14ac:dyDescent="0.15">
      <c r="A525" s="9">
        <v>524</v>
      </c>
      <c r="B525" s="9" t="s">
        <v>9</v>
      </c>
      <c r="C525" s="9">
        <v>1915</v>
      </c>
      <c r="D525" s="10">
        <v>45639</v>
      </c>
      <c r="E525" s="13" t="str">
        <f>+HYPERLINK("http://trademark.i-assist.jp/data/china/image_1915th/80784294.pdf","80784294")</f>
        <v>80784294</v>
      </c>
      <c r="F525" s="9" t="s">
        <v>1508</v>
      </c>
      <c r="G525" s="12" t="s">
        <v>65</v>
      </c>
      <c r="H525" s="9" t="s">
        <v>1509</v>
      </c>
      <c r="I525" s="10">
        <v>45541</v>
      </c>
    </row>
    <row r="526" spans="1:9" x14ac:dyDescent="0.15">
      <c r="A526" s="9">
        <v>525</v>
      </c>
      <c r="B526" s="9" t="s">
        <v>9</v>
      </c>
      <c r="C526" s="9">
        <v>1915</v>
      </c>
      <c r="D526" s="10">
        <v>45639</v>
      </c>
      <c r="E526" s="13" t="str">
        <f>+HYPERLINK("http://trademark.i-assist.jp/data/china/image_1915th/80784527.pdf","80784527")</f>
        <v>80784527</v>
      </c>
      <c r="F526" s="12" t="s">
        <v>15</v>
      </c>
      <c r="G526" s="9" t="s">
        <v>1510</v>
      </c>
      <c r="H526" s="9" t="s">
        <v>1511</v>
      </c>
      <c r="I526" s="10">
        <v>45541</v>
      </c>
    </row>
    <row r="527" spans="1:9" x14ac:dyDescent="0.15">
      <c r="A527" s="9">
        <v>526</v>
      </c>
      <c r="B527" s="9" t="s">
        <v>9</v>
      </c>
      <c r="C527" s="9">
        <v>1915</v>
      </c>
      <c r="D527" s="10">
        <v>45639</v>
      </c>
      <c r="E527" s="13" t="str">
        <f>+HYPERLINK("http://trademark.i-assist.jp/data/china/image_1915th/80786949.pdf","80786949")</f>
        <v>80786949</v>
      </c>
      <c r="F527" s="9" t="s">
        <v>1512</v>
      </c>
      <c r="G527" s="9" t="s">
        <v>1513</v>
      </c>
      <c r="H527" s="9" t="s">
        <v>33</v>
      </c>
      <c r="I527" s="10">
        <v>45541</v>
      </c>
    </row>
    <row r="528" spans="1:9" x14ac:dyDescent="0.15">
      <c r="A528" s="9">
        <v>527</v>
      </c>
      <c r="B528" s="9" t="s">
        <v>9</v>
      </c>
      <c r="C528" s="9">
        <v>1915</v>
      </c>
      <c r="D528" s="10">
        <v>45639</v>
      </c>
      <c r="E528" s="13" t="str">
        <f>+HYPERLINK("http://trademark.i-assist.jp/data/china/image_1915th/80787257.pdf","80787257")</f>
        <v>80787257</v>
      </c>
      <c r="F528" s="9" t="s">
        <v>1514</v>
      </c>
      <c r="G528" s="9" t="s">
        <v>12</v>
      </c>
      <c r="H528" s="9" t="s">
        <v>1515</v>
      </c>
      <c r="I528" s="10">
        <v>45541</v>
      </c>
    </row>
    <row r="529" spans="1:9" x14ac:dyDescent="0.15">
      <c r="A529" s="9">
        <v>528</v>
      </c>
      <c r="B529" s="9" t="s">
        <v>9</v>
      </c>
      <c r="C529" s="9">
        <v>1915</v>
      </c>
      <c r="D529" s="10">
        <v>45639</v>
      </c>
      <c r="E529" s="13" t="str">
        <f>+HYPERLINK("http://trademark.i-assist.jp/data/china/image_1915th/80787631.pdf","80787631")</f>
        <v>80787631</v>
      </c>
      <c r="F529" s="9" t="s">
        <v>1516</v>
      </c>
      <c r="G529" s="9" t="s">
        <v>1506</v>
      </c>
      <c r="H529" s="9" t="s">
        <v>1517</v>
      </c>
      <c r="I529" s="10">
        <v>45541</v>
      </c>
    </row>
    <row r="530" spans="1:9" x14ac:dyDescent="0.15">
      <c r="A530" s="9">
        <v>529</v>
      </c>
      <c r="B530" s="9" t="s">
        <v>9</v>
      </c>
      <c r="C530" s="9">
        <v>1915</v>
      </c>
      <c r="D530" s="10">
        <v>45639</v>
      </c>
      <c r="E530" s="13" t="str">
        <f>+HYPERLINK("http://trademark.i-assist.jp/data/china/image_1915th/80788658.pdf","80788658")</f>
        <v>80788658</v>
      </c>
      <c r="F530" s="9" t="s">
        <v>1518</v>
      </c>
      <c r="G530" s="9" t="s">
        <v>1519</v>
      </c>
      <c r="H530" s="9" t="s">
        <v>1520</v>
      </c>
      <c r="I530" s="10">
        <v>45541</v>
      </c>
    </row>
    <row r="531" spans="1:9" x14ac:dyDescent="0.15">
      <c r="A531" s="9">
        <v>530</v>
      </c>
      <c r="B531" s="9" t="s">
        <v>9</v>
      </c>
      <c r="C531" s="9">
        <v>1915</v>
      </c>
      <c r="D531" s="10">
        <v>45639</v>
      </c>
      <c r="E531" s="13" t="str">
        <f>+HYPERLINK("http://trademark.i-assist.jp/data/china/image_1915th/80788776.pdf","80788776")</f>
        <v>80788776</v>
      </c>
      <c r="F531" s="12" t="s">
        <v>1521</v>
      </c>
      <c r="G531" s="12" t="s">
        <v>44</v>
      </c>
      <c r="H531" s="12" t="s">
        <v>1522</v>
      </c>
      <c r="I531" s="10">
        <v>45541</v>
      </c>
    </row>
    <row r="532" spans="1:9" x14ac:dyDescent="0.15">
      <c r="A532" s="9">
        <v>531</v>
      </c>
      <c r="B532" s="9" t="s">
        <v>9</v>
      </c>
      <c r="C532" s="9">
        <v>1915</v>
      </c>
      <c r="D532" s="10">
        <v>45639</v>
      </c>
      <c r="E532" s="13" t="str">
        <f>+HYPERLINK("http://trademark.i-assist.jp/data/china/image_1915th/80790154.pdf","80790154")</f>
        <v>80790154</v>
      </c>
      <c r="F532" s="9" t="s">
        <v>1523</v>
      </c>
      <c r="G532" s="12" t="s">
        <v>1524</v>
      </c>
      <c r="H532" s="9" t="s">
        <v>1525</v>
      </c>
      <c r="I532" s="10">
        <v>45541</v>
      </c>
    </row>
    <row r="533" spans="1:9" x14ac:dyDescent="0.15">
      <c r="A533" s="9">
        <v>532</v>
      </c>
      <c r="B533" s="9" t="s">
        <v>9</v>
      </c>
      <c r="C533" s="9">
        <v>1915</v>
      </c>
      <c r="D533" s="10">
        <v>45639</v>
      </c>
      <c r="E533" s="13" t="str">
        <f>+HYPERLINK("http://trademark.i-assist.jp/data/china/image_1915th/80790221.pdf","80790221")</f>
        <v>80790221</v>
      </c>
      <c r="F533" s="9" t="s">
        <v>1526</v>
      </c>
      <c r="G533" s="9" t="s">
        <v>1527</v>
      </c>
      <c r="H533" s="9" t="s">
        <v>1528</v>
      </c>
      <c r="I533" s="10">
        <v>45541</v>
      </c>
    </row>
    <row r="534" spans="1:9" x14ac:dyDescent="0.15">
      <c r="A534" s="9">
        <v>533</v>
      </c>
      <c r="B534" s="9" t="s">
        <v>9</v>
      </c>
      <c r="C534" s="9">
        <v>1915</v>
      </c>
      <c r="D534" s="10">
        <v>45639</v>
      </c>
      <c r="E534" s="13" t="str">
        <f>+HYPERLINK("http://trademark.i-assist.jp/data/china/image_1915th/80790269.pdf","80790269")</f>
        <v>80790269</v>
      </c>
      <c r="F534" s="12" t="s">
        <v>1529</v>
      </c>
      <c r="G534" s="9" t="s">
        <v>1506</v>
      </c>
      <c r="H534" s="9" t="s">
        <v>1530</v>
      </c>
      <c r="I534" s="10">
        <v>45541</v>
      </c>
    </row>
    <row r="535" spans="1:9" x14ac:dyDescent="0.15">
      <c r="A535" s="9">
        <v>534</v>
      </c>
      <c r="B535" s="9" t="s">
        <v>9</v>
      </c>
      <c r="C535" s="9">
        <v>1915</v>
      </c>
      <c r="D535" s="10">
        <v>45639</v>
      </c>
      <c r="E535" s="13" t="str">
        <f>+HYPERLINK("http://trademark.i-assist.jp/data/china/image_1915th/80790594.pdf","80790594")</f>
        <v>80790594</v>
      </c>
      <c r="F535" s="9" t="s">
        <v>1531</v>
      </c>
      <c r="G535" s="12" t="s">
        <v>1532</v>
      </c>
      <c r="H535" s="9" t="s">
        <v>1533</v>
      </c>
      <c r="I535" s="10">
        <v>45541</v>
      </c>
    </row>
    <row r="536" spans="1:9" x14ac:dyDescent="0.15">
      <c r="A536" s="9">
        <v>535</v>
      </c>
      <c r="B536" s="9" t="s">
        <v>9</v>
      </c>
      <c r="C536" s="9">
        <v>1915</v>
      </c>
      <c r="D536" s="10">
        <v>45639</v>
      </c>
      <c r="E536" s="13" t="str">
        <f>+HYPERLINK("http://trademark.i-assist.jp/data/china/image_1915th/80790704.pdf","80790704")</f>
        <v>80790704</v>
      </c>
      <c r="F536" s="9" t="s">
        <v>1534</v>
      </c>
      <c r="G536" s="9" t="s">
        <v>1535</v>
      </c>
      <c r="H536" s="9" t="s">
        <v>1536</v>
      </c>
      <c r="I536" s="10">
        <v>45541</v>
      </c>
    </row>
    <row r="537" spans="1:9" x14ac:dyDescent="0.15">
      <c r="A537" s="9">
        <v>536</v>
      </c>
      <c r="B537" s="9" t="s">
        <v>9</v>
      </c>
      <c r="C537" s="9">
        <v>1915</v>
      </c>
      <c r="D537" s="10">
        <v>45639</v>
      </c>
      <c r="E537" s="13" t="str">
        <f>+HYPERLINK("http://trademark.i-assist.jp/data/china/image_1915th/80791118.pdf","80791118")</f>
        <v>80791118</v>
      </c>
      <c r="F537" s="12" t="s">
        <v>1537</v>
      </c>
      <c r="G537" s="9" t="s">
        <v>88</v>
      </c>
      <c r="H537" s="9" t="s">
        <v>1538</v>
      </c>
      <c r="I537" s="10">
        <v>45541</v>
      </c>
    </row>
    <row r="538" spans="1:9" x14ac:dyDescent="0.15">
      <c r="A538" s="9">
        <v>537</v>
      </c>
      <c r="B538" s="9" t="s">
        <v>9</v>
      </c>
      <c r="C538" s="9">
        <v>1915</v>
      </c>
      <c r="D538" s="10">
        <v>45639</v>
      </c>
      <c r="E538" s="13" t="str">
        <f>+HYPERLINK("http://trademark.i-assist.jp/data/china/image_1915th/80791992.pdf","80791992")</f>
        <v>80791992</v>
      </c>
      <c r="F538" s="9" t="s">
        <v>1539</v>
      </c>
      <c r="G538" s="9" t="s">
        <v>12</v>
      </c>
      <c r="H538" s="9" t="s">
        <v>1540</v>
      </c>
      <c r="I538" s="10">
        <v>45541</v>
      </c>
    </row>
    <row r="539" spans="1:9" x14ac:dyDescent="0.15">
      <c r="A539" s="9">
        <v>538</v>
      </c>
      <c r="B539" s="9" t="s">
        <v>9</v>
      </c>
      <c r="C539" s="9">
        <v>1915</v>
      </c>
      <c r="D539" s="10">
        <v>45639</v>
      </c>
      <c r="E539" s="13" t="str">
        <f>+HYPERLINK("http://trademark.i-assist.jp/data/china/image_1915th/80792043.pdf","80792043")</f>
        <v>80792043</v>
      </c>
      <c r="F539" s="9" t="s">
        <v>1541</v>
      </c>
      <c r="G539" s="9" t="s">
        <v>1542</v>
      </c>
      <c r="H539" s="9" t="s">
        <v>10</v>
      </c>
      <c r="I539" s="10">
        <v>45541</v>
      </c>
    </row>
    <row r="540" spans="1:9" x14ac:dyDescent="0.15">
      <c r="A540" s="9">
        <v>539</v>
      </c>
      <c r="B540" s="9" t="s">
        <v>9</v>
      </c>
      <c r="C540" s="9">
        <v>1915</v>
      </c>
      <c r="D540" s="10">
        <v>45639</v>
      </c>
      <c r="E540" s="13" t="str">
        <f>+HYPERLINK("http://trademark.i-assist.jp/data/china/image_1915th/80792223.pdf","80792223")</f>
        <v>80792223</v>
      </c>
      <c r="F540" s="9" t="s">
        <v>1543</v>
      </c>
      <c r="G540" s="12" t="s">
        <v>1544</v>
      </c>
      <c r="H540" s="9" t="s">
        <v>1545</v>
      </c>
      <c r="I540" s="10">
        <v>45541</v>
      </c>
    </row>
    <row r="541" spans="1:9" x14ac:dyDescent="0.15">
      <c r="A541" s="9">
        <v>540</v>
      </c>
      <c r="B541" s="9" t="s">
        <v>9</v>
      </c>
      <c r="C541" s="9">
        <v>1915</v>
      </c>
      <c r="D541" s="10">
        <v>45639</v>
      </c>
      <c r="E541" s="13" t="str">
        <f>+HYPERLINK("http://trademark.i-assist.jp/data/china/image_1915th/80792642.pdf","80792642")</f>
        <v>80792642</v>
      </c>
      <c r="F541" s="9" t="s">
        <v>1546</v>
      </c>
      <c r="G541" s="9" t="s">
        <v>1547</v>
      </c>
      <c r="H541" s="9" t="s">
        <v>1548</v>
      </c>
      <c r="I541" s="10">
        <v>45541</v>
      </c>
    </row>
    <row r="542" spans="1:9" x14ac:dyDescent="0.15">
      <c r="A542" s="9">
        <v>541</v>
      </c>
      <c r="B542" s="9" t="s">
        <v>9</v>
      </c>
      <c r="C542" s="9">
        <v>1915</v>
      </c>
      <c r="D542" s="10">
        <v>45639</v>
      </c>
      <c r="E542" s="13" t="str">
        <f>+HYPERLINK("http://trademark.i-assist.jp/data/china/image_1915th/80794247.pdf","80794247")</f>
        <v>80794247</v>
      </c>
      <c r="F542" s="12" t="s">
        <v>15</v>
      </c>
      <c r="G542" s="12" t="s">
        <v>1549</v>
      </c>
      <c r="H542" s="12" t="s">
        <v>1550</v>
      </c>
      <c r="I542" s="10">
        <v>45541</v>
      </c>
    </row>
    <row r="543" spans="1:9" x14ac:dyDescent="0.15">
      <c r="A543" s="9">
        <v>542</v>
      </c>
      <c r="B543" s="9" t="s">
        <v>9</v>
      </c>
      <c r="C543" s="9">
        <v>1915</v>
      </c>
      <c r="D543" s="10">
        <v>45639</v>
      </c>
      <c r="E543" s="13" t="str">
        <f>+HYPERLINK("http://trademark.i-assist.jp/data/china/image_1915th/80794261.pdf","80794261")</f>
        <v>80794261</v>
      </c>
      <c r="F543" s="9" t="s">
        <v>1551</v>
      </c>
      <c r="G543" s="9" t="s">
        <v>1552</v>
      </c>
      <c r="H543" s="9" t="s">
        <v>1553</v>
      </c>
      <c r="I543" s="10">
        <v>45541</v>
      </c>
    </row>
    <row r="544" spans="1:9" x14ac:dyDescent="0.15">
      <c r="A544" s="9">
        <v>543</v>
      </c>
      <c r="B544" s="9" t="s">
        <v>9</v>
      </c>
      <c r="C544" s="9">
        <v>1915</v>
      </c>
      <c r="D544" s="10">
        <v>45639</v>
      </c>
      <c r="E544" s="13" t="str">
        <f>+HYPERLINK("http://trademark.i-assist.jp/data/china/image_1915th/80794636.pdf","80794636")</f>
        <v>80794636</v>
      </c>
      <c r="F544" s="12" t="s">
        <v>1554</v>
      </c>
      <c r="G544" s="9" t="s">
        <v>1555</v>
      </c>
      <c r="H544" s="9" t="s">
        <v>1556</v>
      </c>
      <c r="I544" s="10">
        <v>45541</v>
      </c>
    </row>
    <row r="545" spans="1:9" x14ac:dyDescent="0.15">
      <c r="A545" s="9">
        <v>544</v>
      </c>
      <c r="B545" s="9" t="s">
        <v>9</v>
      </c>
      <c r="C545" s="9">
        <v>1915</v>
      </c>
      <c r="D545" s="10">
        <v>45639</v>
      </c>
      <c r="E545" s="13" t="str">
        <f>+HYPERLINK("http://trademark.i-assist.jp/data/china/image_1915th/80794652.pdf","80794652")</f>
        <v>80794652</v>
      </c>
      <c r="F545" s="12" t="s">
        <v>1557</v>
      </c>
      <c r="G545" s="9" t="s">
        <v>1555</v>
      </c>
      <c r="H545" s="12" t="s">
        <v>1558</v>
      </c>
      <c r="I545" s="10">
        <v>45541</v>
      </c>
    </row>
    <row r="546" spans="1:9" x14ac:dyDescent="0.15">
      <c r="A546" s="9">
        <v>545</v>
      </c>
      <c r="B546" s="9" t="s">
        <v>9</v>
      </c>
      <c r="C546" s="9">
        <v>1915</v>
      </c>
      <c r="D546" s="10">
        <v>45639</v>
      </c>
      <c r="E546" s="13" t="str">
        <f>+HYPERLINK("http://trademark.i-assist.jp/data/china/image_1915th/80795528.pdf","80795528")</f>
        <v>80795528</v>
      </c>
      <c r="F546" s="9" t="s">
        <v>1559</v>
      </c>
      <c r="G546" s="12" t="s">
        <v>1560</v>
      </c>
      <c r="H546" s="12" t="s">
        <v>1561</v>
      </c>
      <c r="I546" s="10">
        <v>45541</v>
      </c>
    </row>
    <row r="547" spans="1:9" x14ac:dyDescent="0.15">
      <c r="A547" s="9">
        <v>546</v>
      </c>
      <c r="B547" s="9" t="s">
        <v>9</v>
      </c>
      <c r="C547" s="9">
        <v>1915</v>
      </c>
      <c r="D547" s="10">
        <v>45639</v>
      </c>
      <c r="E547" s="13" t="str">
        <f>+HYPERLINK("http://trademark.i-assist.jp/data/china/image_1915th/80795848.pdf","80795848")</f>
        <v>80795848</v>
      </c>
      <c r="F547" s="12" t="s">
        <v>1562</v>
      </c>
      <c r="G547" s="12" t="s">
        <v>1563</v>
      </c>
      <c r="H547" s="12" t="s">
        <v>1564</v>
      </c>
      <c r="I547" s="10">
        <v>45541</v>
      </c>
    </row>
    <row r="548" spans="1:9" x14ac:dyDescent="0.15">
      <c r="A548" s="9">
        <v>547</v>
      </c>
      <c r="B548" s="9" t="s">
        <v>9</v>
      </c>
      <c r="C548" s="9">
        <v>1915</v>
      </c>
      <c r="D548" s="10">
        <v>45639</v>
      </c>
      <c r="E548" s="13" t="str">
        <f>+HYPERLINK("http://trademark.i-assist.jp/data/china/image_1915th/80796165.pdf","80796165")</f>
        <v>80796165</v>
      </c>
      <c r="F548" s="9" t="s">
        <v>1565</v>
      </c>
      <c r="G548" s="9" t="s">
        <v>1506</v>
      </c>
      <c r="H548" s="9" t="s">
        <v>1566</v>
      </c>
      <c r="I548" s="10">
        <v>45541</v>
      </c>
    </row>
    <row r="549" spans="1:9" x14ac:dyDescent="0.15">
      <c r="A549" s="9">
        <v>548</v>
      </c>
      <c r="B549" s="9" t="s">
        <v>9</v>
      </c>
      <c r="C549" s="9">
        <v>1915</v>
      </c>
      <c r="D549" s="10">
        <v>45639</v>
      </c>
      <c r="E549" s="13" t="str">
        <f>+HYPERLINK("http://trademark.i-assist.jp/data/china/image_1915th/80796395.pdf","80796395")</f>
        <v>80796395</v>
      </c>
      <c r="F549" s="9" t="s">
        <v>1567</v>
      </c>
      <c r="G549" s="9" t="s">
        <v>1568</v>
      </c>
      <c r="H549" s="9" t="s">
        <v>1569</v>
      </c>
      <c r="I549" s="10">
        <v>45541</v>
      </c>
    </row>
    <row r="550" spans="1:9" x14ac:dyDescent="0.15">
      <c r="A550" s="9">
        <v>549</v>
      </c>
      <c r="B550" s="9" t="s">
        <v>9</v>
      </c>
      <c r="C550" s="9">
        <v>1915</v>
      </c>
      <c r="D550" s="10">
        <v>45639</v>
      </c>
      <c r="E550" s="13" t="str">
        <f>+HYPERLINK("http://trademark.i-assist.jp/data/china/image_1915th/80796471.pdf","80796471")</f>
        <v>80796471</v>
      </c>
      <c r="F550" s="9" t="s">
        <v>1570</v>
      </c>
      <c r="G550" s="9" t="s">
        <v>1571</v>
      </c>
      <c r="H550" s="9" t="s">
        <v>1572</v>
      </c>
      <c r="I550" s="10">
        <v>45541</v>
      </c>
    </row>
    <row r="551" spans="1:9" x14ac:dyDescent="0.15">
      <c r="A551" s="9">
        <v>550</v>
      </c>
      <c r="B551" s="9" t="s">
        <v>9</v>
      </c>
      <c r="C551" s="9">
        <v>1915</v>
      </c>
      <c r="D551" s="10">
        <v>45639</v>
      </c>
      <c r="E551" s="13" t="str">
        <f>+HYPERLINK("http://trademark.i-assist.jp/data/china/image_1915th/80796749.pdf","80796749")</f>
        <v>80796749</v>
      </c>
      <c r="F551" s="9" t="s">
        <v>1573</v>
      </c>
      <c r="G551" s="9" t="s">
        <v>1574</v>
      </c>
      <c r="H551" s="9" t="s">
        <v>1575</v>
      </c>
      <c r="I551" s="10">
        <v>45541</v>
      </c>
    </row>
    <row r="552" spans="1:9" x14ac:dyDescent="0.15">
      <c r="A552" s="9">
        <v>551</v>
      </c>
      <c r="B552" s="9" t="s">
        <v>9</v>
      </c>
      <c r="C552" s="9">
        <v>1915</v>
      </c>
      <c r="D552" s="10">
        <v>45639</v>
      </c>
      <c r="E552" s="13" t="str">
        <f>+HYPERLINK("http://trademark.i-assist.jp/data/china/image_1915th/80796899.pdf","80796899")</f>
        <v>80796899</v>
      </c>
      <c r="F552" s="9" t="s">
        <v>1576</v>
      </c>
      <c r="G552" s="9" t="s">
        <v>1519</v>
      </c>
      <c r="H552" s="9" t="s">
        <v>1577</v>
      </c>
      <c r="I552" s="10">
        <v>45541</v>
      </c>
    </row>
    <row r="553" spans="1:9" x14ac:dyDescent="0.15">
      <c r="A553" s="9">
        <v>552</v>
      </c>
      <c r="B553" s="9" t="s">
        <v>9</v>
      </c>
      <c r="C553" s="9">
        <v>1915</v>
      </c>
      <c r="D553" s="10">
        <v>45639</v>
      </c>
      <c r="E553" s="13" t="str">
        <f>+HYPERLINK("http://trademark.i-assist.jp/data/china/image_1915th/80798351.pdf","80798351")</f>
        <v>80798351</v>
      </c>
      <c r="F553" s="9" t="s">
        <v>1578</v>
      </c>
      <c r="G553" s="9" t="s">
        <v>1579</v>
      </c>
      <c r="H553" s="9" t="s">
        <v>1580</v>
      </c>
      <c r="I553" s="10">
        <v>45541</v>
      </c>
    </row>
    <row r="554" spans="1:9" x14ac:dyDescent="0.15">
      <c r="A554" s="9">
        <v>553</v>
      </c>
      <c r="B554" s="9" t="s">
        <v>9</v>
      </c>
      <c r="C554" s="9">
        <v>1915</v>
      </c>
      <c r="D554" s="10">
        <v>45639</v>
      </c>
      <c r="E554" s="13" t="str">
        <f>+HYPERLINK("http://trademark.i-assist.jp/data/china/image_1915th/80798651.pdf","80798651")</f>
        <v>80798651</v>
      </c>
      <c r="F554" s="9" t="s">
        <v>1581</v>
      </c>
      <c r="G554" s="9" t="s">
        <v>1552</v>
      </c>
      <c r="H554" s="12" t="s">
        <v>1582</v>
      </c>
      <c r="I554" s="10">
        <v>45541</v>
      </c>
    </row>
    <row r="555" spans="1:9" x14ac:dyDescent="0.15">
      <c r="A555" s="9">
        <v>554</v>
      </c>
      <c r="B555" s="9" t="s">
        <v>9</v>
      </c>
      <c r="C555" s="9">
        <v>1915</v>
      </c>
      <c r="D555" s="10">
        <v>45639</v>
      </c>
      <c r="E555" s="13" t="str">
        <f>+HYPERLINK("http://trademark.i-assist.jp/data/china/image_1915th/80799928.pdf","80799928")</f>
        <v>80799928</v>
      </c>
      <c r="F555" s="12" t="s">
        <v>1583</v>
      </c>
      <c r="G555" s="9" t="s">
        <v>1584</v>
      </c>
      <c r="H555" s="9" t="s">
        <v>1585</v>
      </c>
      <c r="I555" s="10">
        <v>45541</v>
      </c>
    </row>
    <row r="556" spans="1:9" x14ac:dyDescent="0.15">
      <c r="A556" s="9">
        <v>555</v>
      </c>
      <c r="B556" s="9" t="s">
        <v>9</v>
      </c>
      <c r="C556" s="9">
        <v>1915</v>
      </c>
      <c r="D556" s="10">
        <v>45639</v>
      </c>
      <c r="E556" s="13" t="str">
        <f>+HYPERLINK("http://trademark.i-assist.jp/data/china/image_1915th/80800774.pdf","80800774")</f>
        <v>80800774</v>
      </c>
      <c r="F556" s="12" t="s">
        <v>1586</v>
      </c>
      <c r="G556" s="9" t="s">
        <v>88</v>
      </c>
      <c r="H556" s="9" t="s">
        <v>1587</v>
      </c>
      <c r="I556" s="10">
        <v>45541</v>
      </c>
    </row>
    <row r="557" spans="1:9" x14ac:dyDescent="0.15">
      <c r="A557" s="9">
        <v>556</v>
      </c>
      <c r="B557" s="9" t="s">
        <v>9</v>
      </c>
      <c r="C557" s="9">
        <v>1915</v>
      </c>
      <c r="D557" s="10">
        <v>45639</v>
      </c>
      <c r="E557" s="13" t="str">
        <f>+HYPERLINK("http://trademark.i-assist.jp/data/china/image_1915th/80801262.pdf","80801262")</f>
        <v>80801262</v>
      </c>
      <c r="F557" s="9" t="s">
        <v>1588</v>
      </c>
      <c r="G557" s="9" t="s">
        <v>1589</v>
      </c>
      <c r="H557" s="9" t="s">
        <v>1590</v>
      </c>
      <c r="I557" s="10">
        <v>45542</v>
      </c>
    </row>
    <row r="558" spans="1:9" x14ac:dyDescent="0.15">
      <c r="A558" s="9">
        <v>557</v>
      </c>
      <c r="B558" s="9" t="s">
        <v>9</v>
      </c>
      <c r="C558" s="9">
        <v>1915</v>
      </c>
      <c r="D558" s="10">
        <v>45639</v>
      </c>
      <c r="E558" s="13" t="str">
        <f>+HYPERLINK("http://trademark.i-assist.jp/data/china/image_1915th/80801494.pdf","80801494")</f>
        <v>80801494</v>
      </c>
      <c r="F558" s="9" t="s">
        <v>1591</v>
      </c>
      <c r="G558" s="12" t="s">
        <v>1592</v>
      </c>
      <c r="H558" s="9" t="s">
        <v>1593</v>
      </c>
      <c r="I558" s="10">
        <v>45542</v>
      </c>
    </row>
    <row r="559" spans="1:9" x14ac:dyDescent="0.15">
      <c r="A559" s="9">
        <v>558</v>
      </c>
      <c r="B559" s="9" t="s">
        <v>9</v>
      </c>
      <c r="C559" s="9">
        <v>1915</v>
      </c>
      <c r="D559" s="10">
        <v>45639</v>
      </c>
      <c r="E559" s="13" t="str">
        <f>+HYPERLINK("http://trademark.i-assist.jp/data/china/image_1915th/80803589.pdf","80803589")</f>
        <v>80803589</v>
      </c>
      <c r="F559" s="9" t="s">
        <v>1594</v>
      </c>
      <c r="G559" s="9" t="s">
        <v>1595</v>
      </c>
      <c r="H559" s="9" t="s">
        <v>1596</v>
      </c>
      <c r="I559" s="10">
        <v>45542</v>
      </c>
    </row>
    <row r="560" spans="1:9" x14ac:dyDescent="0.15">
      <c r="A560" s="9">
        <v>559</v>
      </c>
      <c r="B560" s="9" t="s">
        <v>9</v>
      </c>
      <c r="C560" s="9">
        <v>1915</v>
      </c>
      <c r="D560" s="10">
        <v>45639</v>
      </c>
      <c r="E560" s="13" t="str">
        <f>+HYPERLINK("http://trademark.i-assist.jp/data/china/image_1915th/80804018.pdf","80804018")</f>
        <v>80804018</v>
      </c>
      <c r="F560" s="9" t="s">
        <v>1597</v>
      </c>
      <c r="G560" s="9" t="s">
        <v>1598</v>
      </c>
      <c r="H560" s="9" t="s">
        <v>1599</v>
      </c>
      <c r="I560" s="10">
        <v>45542</v>
      </c>
    </row>
    <row r="561" spans="1:9" x14ac:dyDescent="0.15">
      <c r="A561" s="9">
        <v>560</v>
      </c>
      <c r="B561" s="9" t="s">
        <v>9</v>
      </c>
      <c r="C561" s="9">
        <v>1915</v>
      </c>
      <c r="D561" s="10">
        <v>45639</v>
      </c>
      <c r="E561" s="13" t="str">
        <f>+HYPERLINK("http://trademark.i-assist.jp/data/china/image_1915th/80804502.pdf","80804502")</f>
        <v>80804502</v>
      </c>
      <c r="F561" s="12" t="s">
        <v>1600</v>
      </c>
      <c r="G561" s="9" t="s">
        <v>1601</v>
      </c>
      <c r="H561" s="9" t="s">
        <v>1602</v>
      </c>
      <c r="I561" s="10">
        <v>45542</v>
      </c>
    </row>
    <row r="562" spans="1:9" x14ac:dyDescent="0.15">
      <c r="A562" s="9">
        <v>561</v>
      </c>
      <c r="B562" s="9" t="s">
        <v>9</v>
      </c>
      <c r="C562" s="9">
        <v>1915</v>
      </c>
      <c r="D562" s="10">
        <v>45639</v>
      </c>
      <c r="E562" s="13" t="str">
        <f>+HYPERLINK("http://trademark.i-assist.jp/data/china/image_1915th/80805493.pdf","80805493")</f>
        <v>80805493</v>
      </c>
      <c r="F562" s="9" t="s">
        <v>1603</v>
      </c>
      <c r="G562" s="9" t="s">
        <v>69</v>
      </c>
      <c r="H562" s="9" t="s">
        <v>1604</v>
      </c>
      <c r="I562" s="10">
        <v>45542</v>
      </c>
    </row>
    <row r="563" spans="1:9" x14ac:dyDescent="0.15">
      <c r="A563" s="9">
        <v>562</v>
      </c>
      <c r="B563" s="9" t="s">
        <v>9</v>
      </c>
      <c r="C563" s="9">
        <v>1915</v>
      </c>
      <c r="D563" s="10">
        <v>45639</v>
      </c>
      <c r="E563" s="13" t="str">
        <f>+HYPERLINK("http://trademark.i-assist.jp/data/china/image_1915th/80805724.pdf","80805724")</f>
        <v>80805724</v>
      </c>
      <c r="F563" s="9" t="s">
        <v>1605</v>
      </c>
      <c r="G563" s="12" t="s">
        <v>1606</v>
      </c>
      <c r="H563" s="9" t="s">
        <v>1607</v>
      </c>
      <c r="I563" s="10">
        <v>45542</v>
      </c>
    </row>
    <row r="564" spans="1:9" x14ac:dyDescent="0.15">
      <c r="A564" s="9">
        <v>563</v>
      </c>
      <c r="B564" s="9" t="s">
        <v>9</v>
      </c>
      <c r="C564" s="9">
        <v>1915</v>
      </c>
      <c r="D564" s="10">
        <v>45639</v>
      </c>
      <c r="E564" s="13" t="str">
        <f>+HYPERLINK("http://trademark.i-assist.jp/data/china/image_1915th/80806679.pdf","80806679")</f>
        <v>80806679</v>
      </c>
      <c r="F564" s="12" t="s">
        <v>15</v>
      </c>
      <c r="G564" s="9" t="s">
        <v>1608</v>
      </c>
      <c r="H564" s="9" t="s">
        <v>1609</v>
      </c>
      <c r="I564" s="10">
        <v>45543</v>
      </c>
    </row>
    <row r="565" spans="1:9" x14ac:dyDescent="0.15">
      <c r="A565" s="9">
        <v>564</v>
      </c>
      <c r="B565" s="9" t="s">
        <v>9</v>
      </c>
      <c r="C565" s="9">
        <v>1915</v>
      </c>
      <c r="D565" s="10">
        <v>45639</v>
      </c>
      <c r="E565" s="13" t="str">
        <f>+HYPERLINK("http://trademark.i-assist.jp/data/china/image_1915th/80807021.pdf","80807021")</f>
        <v>80807021</v>
      </c>
      <c r="F565" s="9" t="s">
        <v>1610</v>
      </c>
      <c r="G565" s="9" t="s">
        <v>1611</v>
      </c>
      <c r="H565" s="9" t="s">
        <v>1612</v>
      </c>
      <c r="I565" s="10">
        <v>45543</v>
      </c>
    </row>
    <row r="566" spans="1:9" x14ac:dyDescent="0.15">
      <c r="A566" s="9">
        <v>565</v>
      </c>
      <c r="B566" s="9" t="s">
        <v>9</v>
      </c>
      <c r="C566" s="9">
        <v>1915</v>
      </c>
      <c r="D566" s="10">
        <v>45639</v>
      </c>
      <c r="E566" s="13" t="str">
        <f>+HYPERLINK("http://trademark.i-assist.jp/data/china/image_1915th/80807491.pdf","80807491")</f>
        <v>80807491</v>
      </c>
      <c r="F566" s="9" t="s">
        <v>1613</v>
      </c>
      <c r="G566" s="12" t="s">
        <v>1614</v>
      </c>
      <c r="H566" s="9" t="s">
        <v>1615</v>
      </c>
      <c r="I566" s="10">
        <v>45543</v>
      </c>
    </row>
    <row r="567" spans="1:9" x14ac:dyDescent="0.15">
      <c r="A567" s="9">
        <v>566</v>
      </c>
      <c r="B567" s="9" t="s">
        <v>9</v>
      </c>
      <c r="C567" s="9">
        <v>1915</v>
      </c>
      <c r="D567" s="10">
        <v>45639</v>
      </c>
      <c r="E567" s="13" t="str">
        <f>+HYPERLINK("http://trademark.i-assist.jp/data/china/image_1915th/80807816.pdf","80807816")</f>
        <v>80807816</v>
      </c>
      <c r="F567" s="9" t="s">
        <v>1616</v>
      </c>
      <c r="G567" s="12" t="s">
        <v>1617</v>
      </c>
      <c r="H567" s="9" t="s">
        <v>1618</v>
      </c>
      <c r="I567" s="10">
        <v>45543</v>
      </c>
    </row>
    <row r="568" spans="1:9" x14ac:dyDescent="0.15">
      <c r="A568" s="9">
        <v>567</v>
      </c>
      <c r="B568" s="9" t="s">
        <v>9</v>
      </c>
      <c r="C568" s="9">
        <v>1915</v>
      </c>
      <c r="D568" s="10">
        <v>45639</v>
      </c>
      <c r="E568" s="13" t="str">
        <f>+HYPERLINK("http://trademark.i-assist.jp/data/china/image_1915th/80808335.pdf","80808335")</f>
        <v>80808335</v>
      </c>
      <c r="F568" s="9" t="s">
        <v>1619</v>
      </c>
      <c r="G568" s="9" t="s">
        <v>1620</v>
      </c>
      <c r="H568" s="12" t="s">
        <v>1621</v>
      </c>
      <c r="I568" s="10">
        <v>45543</v>
      </c>
    </row>
    <row r="569" spans="1:9" x14ac:dyDescent="0.15">
      <c r="A569" s="9">
        <v>568</v>
      </c>
      <c r="B569" s="9" t="s">
        <v>9</v>
      </c>
      <c r="C569" s="9">
        <v>1915</v>
      </c>
      <c r="D569" s="10">
        <v>45639</v>
      </c>
      <c r="E569" s="13" t="str">
        <f>+HYPERLINK("http://trademark.i-assist.jp/data/china/image_1915th/80808712.pdf","80808712")</f>
        <v>80808712</v>
      </c>
      <c r="F569" s="12" t="s">
        <v>1622</v>
      </c>
      <c r="G569" s="12" t="s">
        <v>1623</v>
      </c>
      <c r="H569" s="9" t="s">
        <v>1624</v>
      </c>
      <c r="I569" s="10">
        <v>45543</v>
      </c>
    </row>
    <row r="570" spans="1:9" x14ac:dyDescent="0.15">
      <c r="A570" s="9">
        <v>569</v>
      </c>
      <c r="B570" s="9" t="s">
        <v>9</v>
      </c>
      <c r="C570" s="9">
        <v>1915</v>
      </c>
      <c r="D570" s="10">
        <v>45639</v>
      </c>
      <c r="E570" s="13" t="str">
        <f>+HYPERLINK("http://trademark.i-assist.jp/data/china/image_1915th/80808787.pdf","80808787")</f>
        <v>80808787</v>
      </c>
      <c r="F570" s="9" t="s">
        <v>1625</v>
      </c>
      <c r="G570" s="9" t="s">
        <v>1626</v>
      </c>
      <c r="H570" s="9" t="s">
        <v>1627</v>
      </c>
      <c r="I570" s="10">
        <v>45543</v>
      </c>
    </row>
    <row r="571" spans="1:9" x14ac:dyDescent="0.15">
      <c r="A571" s="9">
        <v>570</v>
      </c>
      <c r="B571" s="9" t="s">
        <v>9</v>
      </c>
      <c r="C571" s="9">
        <v>1915</v>
      </c>
      <c r="D571" s="10">
        <v>45639</v>
      </c>
      <c r="E571" s="13" t="str">
        <f>+HYPERLINK("http://trademark.i-assist.jp/data/china/image_1915th/80809455.pdf","80809455")</f>
        <v>80809455</v>
      </c>
      <c r="F571" s="12" t="s">
        <v>1628</v>
      </c>
      <c r="G571" s="9" t="s">
        <v>1629</v>
      </c>
      <c r="H571" s="12" t="s">
        <v>1630</v>
      </c>
      <c r="I571" s="10">
        <v>45544</v>
      </c>
    </row>
    <row r="572" spans="1:9" x14ac:dyDescent="0.15">
      <c r="A572" s="9">
        <v>571</v>
      </c>
      <c r="B572" s="9" t="s">
        <v>9</v>
      </c>
      <c r="C572" s="9">
        <v>1915</v>
      </c>
      <c r="D572" s="10">
        <v>45639</v>
      </c>
      <c r="E572" s="13" t="str">
        <f>+HYPERLINK("http://trademark.i-assist.jp/data/china/image_1915th/80809649.pdf","80809649")</f>
        <v>80809649</v>
      </c>
      <c r="F572" s="9" t="s">
        <v>1631</v>
      </c>
      <c r="G572" s="9" t="s">
        <v>1632</v>
      </c>
      <c r="H572" s="9" t="s">
        <v>1633</v>
      </c>
      <c r="I572" s="10">
        <v>45544</v>
      </c>
    </row>
    <row r="573" spans="1:9" x14ac:dyDescent="0.15">
      <c r="A573" s="9">
        <v>572</v>
      </c>
      <c r="B573" s="9" t="s">
        <v>9</v>
      </c>
      <c r="C573" s="9">
        <v>1915</v>
      </c>
      <c r="D573" s="10">
        <v>45639</v>
      </c>
      <c r="E573" s="13" t="str">
        <f>+HYPERLINK("http://trademark.i-assist.jp/data/china/image_1915th/80810737.pdf","80810737")</f>
        <v>80810737</v>
      </c>
      <c r="F573" s="12" t="s">
        <v>1634</v>
      </c>
      <c r="G573" s="9" t="s">
        <v>1635</v>
      </c>
      <c r="H573" s="9" t="s">
        <v>1636</v>
      </c>
      <c r="I573" s="10">
        <v>45544</v>
      </c>
    </row>
    <row r="574" spans="1:9" x14ac:dyDescent="0.15">
      <c r="A574" s="9">
        <v>573</v>
      </c>
      <c r="B574" s="9" t="s">
        <v>9</v>
      </c>
      <c r="C574" s="9">
        <v>1915</v>
      </c>
      <c r="D574" s="10">
        <v>45639</v>
      </c>
      <c r="E574" s="13" t="str">
        <f>+HYPERLINK("http://trademark.i-assist.jp/data/china/image_1915th/80811283.pdf","80811283")</f>
        <v>80811283</v>
      </c>
      <c r="F574" s="9" t="s">
        <v>1637</v>
      </c>
      <c r="G574" s="9" t="s">
        <v>1638</v>
      </c>
      <c r="H574" s="9" t="s">
        <v>1639</v>
      </c>
      <c r="I574" s="10">
        <v>45544</v>
      </c>
    </row>
    <row r="575" spans="1:9" x14ac:dyDescent="0.15">
      <c r="A575" s="9">
        <v>574</v>
      </c>
      <c r="B575" s="9" t="s">
        <v>9</v>
      </c>
      <c r="C575" s="9">
        <v>1915</v>
      </c>
      <c r="D575" s="10">
        <v>45639</v>
      </c>
      <c r="E575" s="13" t="str">
        <f>+HYPERLINK("http://trademark.i-assist.jp/data/china/image_1915th/80811817.pdf","80811817")</f>
        <v>80811817</v>
      </c>
      <c r="F575" s="9" t="s">
        <v>1640</v>
      </c>
      <c r="G575" s="9" t="s">
        <v>1641</v>
      </c>
      <c r="H575" s="9" t="s">
        <v>1642</v>
      </c>
      <c r="I575" s="10">
        <v>45544</v>
      </c>
    </row>
    <row r="576" spans="1:9" x14ac:dyDescent="0.15">
      <c r="A576" s="9">
        <v>575</v>
      </c>
      <c r="B576" s="9" t="s">
        <v>9</v>
      </c>
      <c r="C576" s="9">
        <v>1915</v>
      </c>
      <c r="D576" s="10">
        <v>45639</v>
      </c>
      <c r="E576" s="13" t="str">
        <f>+HYPERLINK("http://trademark.i-assist.jp/data/china/image_1915th/80812236.pdf","80812236")</f>
        <v>80812236</v>
      </c>
      <c r="F576" s="9" t="s">
        <v>1643</v>
      </c>
      <c r="G576" s="12" t="s">
        <v>1644</v>
      </c>
      <c r="H576" s="9" t="s">
        <v>1645</v>
      </c>
      <c r="I576" s="10">
        <v>45544</v>
      </c>
    </row>
    <row r="577" spans="1:9" x14ac:dyDescent="0.15">
      <c r="A577" s="9">
        <v>576</v>
      </c>
      <c r="B577" s="9" t="s">
        <v>9</v>
      </c>
      <c r="C577" s="9">
        <v>1915</v>
      </c>
      <c r="D577" s="10">
        <v>45639</v>
      </c>
      <c r="E577" s="13" t="str">
        <f>+HYPERLINK("http://trademark.i-assist.jp/data/china/image_1915th/80812384.pdf","80812384")</f>
        <v>80812384</v>
      </c>
      <c r="F577" s="9" t="s">
        <v>1646</v>
      </c>
      <c r="G577" s="9" t="s">
        <v>1647</v>
      </c>
      <c r="H577" s="9" t="s">
        <v>1648</v>
      </c>
      <c r="I577" s="10">
        <v>45544</v>
      </c>
    </row>
    <row r="578" spans="1:9" x14ac:dyDescent="0.15">
      <c r="A578" s="9">
        <v>577</v>
      </c>
      <c r="B578" s="9" t="s">
        <v>9</v>
      </c>
      <c r="C578" s="9">
        <v>1915</v>
      </c>
      <c r="D578" s="10">
        <v>45639</v>
      </c>
      <c r="E578" s="13" t="str">
        <f>+HYPERLINK("http://trademark.i-assist.jp/data/china/image_1915th/80812671.pdf","80812671")</f>
        <v>80812671</v>
      </c>
      <c r="F578" s="12" t="s">
        <v>15</v>
      </c>
      <c r="G578" s="9" t="s">
        <v>1649</v>
      </c>
      <c r="H578" s="12" t="s">
        <v>1650</v>
      </c>
      <c r="I578" s="10">
        <v>45544</v>
      </c>
    </row>
    <row r="579" spans="1:9" x14ac:dyDescent="0.15">
      <c r="A579" s="9">
        <v>578</v>
      </c>
      <c r="B579" s="9" t="s">
        <v>9</v>
      </c>
      <c r="C579" s="9">
        <v>1915</v>
      </c>
      <c r="D579" s="10">
        <v>45639</v>
      </c>
      <c r="E579" s="13" t="str">
        <f>+HYPERLINK("http://trademark.i-assist.jp/data/china/image_1915th/80812968.pdf","80812968")</f>
        <v>80812968</v>
      </c>
      <c r="F579" s="9" t="s">
        <v>1651</v>
      </c>
      <c r="G579" s="12" t="s">
        <v>1652</v>
      </c>
      <c r="H579" s="9" t="s">
        <v>1653</v>
      </c>
      <c r="I579" s="10">
        <v>45544</v>
      </c>
    </row>
    <row r="580" spans="1:9" x14ac:dyDescent="0.15">
      <c r="A580" s="9">
        <v>579</v>
      </c>
      <c r="B580" s="9" t="s">
        <v>9</v>
      </c>
      <c r="C580" s="9">
        <v>1915</v>
      </c>
      <c r="D580" s="10">
        <v>45639</v>
      </c>
      <c r="E580" s="13" t="str">
        <f>+HYPERLINK("http://trademark.i-assist.jp/data/china/image_1915th/80813664.pdf","80813664")</f>
        <v>80813664</v>
      </c>
      <c r="F580" s="9" t="s">
        <v>1654</v>
      </c>
      <c r="G580" s="12" t="s">
        <v>1655</v>
      </c>
      <c r="H580" s="9" t="s">
        <v>1656</v>
      </c>
      <c r="I580" s="10">
        <v>45544</v>
      </c>
    </row>
    <row r="581" spans="1:9" x14ac:dyDescent="0.15">
      <c r="A581" s="9">
        <v>580</v>
      </c>
      <c r="B581" s="9" t="s">
        <v>9</v>
      </c>
      <c r="C581" s="9">
        <v>1915</v>
      </c>
      <c r="D581" s="10">
        <v>45639</v>
      </c>
      <c r="E581" s="13" t="str">
        <f>+HYPERLINK("http://trademark.i-assist.jp/data/china/image_1915th/80813981.pdf","80813981")</f>
        <v>80813981</v>
      </c>
      <c r="F581" s="9" t="s">
        <v>1657</v>
      </c>
      <c r="G581" s="12" t="s">
        <v>1658</v>
      </c>
      <c r="H581" s="9" t="s">
        <v>1659</v>
      </c>
      <c r="I581" s="10">
        <v>45544</v>
      </c>
    </row>
    <row r="582" spans="1:9" x14ac:dyDescent="0.15">
      <c r="A582" s="9">
        <v>581</v>
      </c>
      <c r="B582" s="9" t="s">
        <v>9</v>
      </c>
      <c r="C582" s="9">
        <v>1915</v>
      </c>
      <c r="D582" s="10">
        <v>45639</v>
      </c>
      <c r="E582" s="13" t="str">
        <f>+HYPERLINK("http://trademark.i-assist.jp/data/china/image_1915th/80814150.pdf","80814150")</f>
        <v>80814150</v>
      </c>
      <c r="F582" s="9" t="s">
        <v>1660</v>
      </c>
      <c r="G582" s="9" t="s">
        <v>1661</v>
      </c>
      <c r="H582" s="9" t="s">
        <v>1662</v>
      </c>
      <c r="I582" s="10">
        <v>45544</v>
      </c>
    </row>
    <row r="583" spans="1:9" x14ac:dyDescent="0.15">
      <c r="A583" s="9">
        <v>582</v>
      </c>
      <c r="B583" s="9" t="s">
        <v>9</v>
      </c>
      <c r="C583" s="9">
        <v>1915</v>
      </c>
      <c r="D583" s="10">
        <v>45639</v>
      </c>
      <c r="E583" s="13" t="str">
        <f>+HYPERLINK("http://trademark.i-assist.jp/data/china/image_1915th/80814848.pdf","80814848")</f>
        <v>80814848</v>
      </c>
      <c r="F583" s="9" t="s">
        <v>1663</v>
      </c>
      <c r="G583" s="12" t="s">
        <v>1664</v>
      </c>
      <c r="H583" s="9" t="s">
        <v>1665</v>
      </c>
      <c r="I583" s="10">
        <v>45544</v>
      </c>
    </row>
    <row r="584" spans="1:9" x14ac:dyDescent="0.15">
      <c r="A584" s="9">
        <v>583</v>
      </c>
      <c r="B584" s="9" t="s">
        <v>9</v>
      </c>
      <c r="C584" s="9">
        <v>1915</v>
      </c>
      <c r="D584" s="10">
        <v>45639</v>
      </c>
      <c r="E584" s="13" t="str">
        <f>+HYPERLINK("http://trademark.i-assist.jp/data/china/image_1915th/80814904.pdf","80814904")</f>
        <v>80814904</v>
      </c>
      <c r="F584" s="9" t="s">
        <v>1666</v>
      </c>
      <c r="G584" s="9" t="s">
        <v>1641</v>
      </c>
      <c r="H584" s="9" t="s">
        <v>1667</v>
      </c>
      <c r="I584" s="10">
        <v>45544</v>
      </c>
    </row>
    <row r="585" spans="1:9" x14ac:dyDescent="0.15">
      <c r="A585" s="9">
        <v>584</v>
      </c>
      <c r="B585" s="9" t="s">
        <v>9</v>
      </c>
      <c r="C585" s="9">
        <v>1915</v>
      </c>
      <c r="D585" s="10">
        <v>45639</v>
      </c>
      <c r="E585" s="13" t="str">
        <f>+HYPERLINK("http://trademark.i-assist.jp/data/china/image_1915th/80815263.pdf","80815263")</f>
        <v>80815263</v>
      </c>
      <c r="F585" s="12" t="s">
        <v>1668</v>
      </c>
      <c r="G585" s="12" t="s">
        <v>1669</v>
      </c>
      <c r="H585" s="9" t="s">
        <v>1670</v>
      </c>
      <c r="I585" s="10">
        <v>45544</v>
      </c>
    </row>
    <row r="586" spans="1:9" x14ac:dyDescent="0.15">
      <c r="A586" s="9">
        <v>585</v>
      </c>
      <c r="B586" s="9" t="s">
        <v>9</v>
      </c>
      <c r="C586" s="9">
        <v>1915</v>
      </c>
      <c r="D586" s="10">
        <v>45639</v>
      </c>
      <c r="E586" s="13" t="str">
        <f>+HYPERLINK("http://trademark.i-assist.jp/data/china/image_1915th/80816439.pdf","80816439")</f>
        <v>80816439</v>
      </c>
      <c r="F586" s="9" t="s">
        <v>1671</v>
      </c>
      <c r="G586" s="12" t="s">
        <v>1672</v>
      </c>
      <c r="H586" s="9" t="s">
        <v>1673</v>
      </c>
      <c r="I586" s="10">
        <v>45544</v>
      </c>
    </row>
    <row r="587" spans="1:9" x14ac:dyDescent="0.15">
      <c r="A587" s="9">
        <v>586</v>
      </c>
      <c r="B587" s="9" t="s">
        <v>9</v>
      </c>
      <c r="C587" s="9">
        <v>1915</v>
      </c>
      <c r="D587" s="10">
        <v>45639</v>
      </c>
      <c r="E587" s="13" t="str">
        <f>+HYPERLINK("http://trademark.i-assist.jp/data/china/image_1915th/80816826.pdf","80816826")</f>
        <v>80816826</v>
      </c>
      <c r="F587" s="9" t="s">
        <v>1674</v>
      </c>
      <c r="G587" s="9" t="s">
        <v>1632</v>
      </c>
      <c r="H587" s="9" t="s">
        <v>1675</v>
      </c>
      <c r="I587" s="10">
        <v>45544</v>
      </c>
    </row>
    <row r="588" spans="1:9" x14ac:dyDescent="0.15">
      <c r="A588" s="9">
        <v>587</v>
      </c>
      <c r="B588" s="9" t="s">
        <v>9</v>
      </c>
      <c r="C588" s="9">
        <v>1915</v>
      </c>
      <c r="D588" s="10">
        <v>45639</v>
      </c>
      <c r="E588" s="13" t="str">
        <f>+HYPERLINK("http://trademark.i-assist.jp/data/china/image_1915th/80817562.pdf","80817562")</f>
        <v>80817562</v>
      </c>
      <c r="F588" s="9" t="s">
        <v>1676</v>
      </c>
      <c r="G588" s="9" t="s">
        <v>1677</v>
      </c>
      <c r="H588" s="9" t="s">
        <v>1678</v>
      </c>
      <c r="I588" s="10">
        <v>45544</v>
      </c>
    </row>
    <row r="589" spans="1:9" x14ac:dyDescent="0.15">
      <c r="A589" s="9">
        <v>588</v>
      </c>
      <c r="B589" s="9" t="s">
        <v>9</v>
      </c>
      <c r="C589" s="9">
        <v>1915</v>
      </c>
      <c r="D589" s="10">
        <v>45639</v>
      </c>
      <c r="E589" s="13" t="str">
        <f>+HYPERLINK("http://trademark.i-assist.jp/data/china/image_1915th/80817927.pdf","80817927")</f>
        <v>80817927</v>
      </c>
      <c r="F589" s="9" t="s">
        <v>1679</v>
      </c>
      <c r="G589" s="12" t="s">
        <v>1680</v>
      </c>
      <c r="H589" s="9" t="s">
        <v>1681</v>
      </c>
      <c r="I589" s="10">
        <v>45544</v>
      </c>
    </row>
    <row r="590" spans="1:9" x14ac:dyDescent="0.15">
      <c r="A590" s="9">
        <v>589</v>
      </c>
      <c r="B590" s="9" t="s">
        <v>9</v>
      </c>
      <c r="C590" s="9">
        <v>1915</v>
      </c>
      <c r="D590" s="10">
        <v>45639</v>
      </c>
      <c r="E590" s="13" t="str">
        <f>+HYPERLINK("http://trademark.i-assist.jp/data/china/image_1915th/80818121.pdf","80818121")</f>
        <v>80818121</v>
      </c>
      <c r="F590" s="9" t="s">
        <v>1682</v>
      </c>
      <c r="G590" s="9" t="s">
        <v>1683</v>
      </c>
      <c r="H590" s="9" t="s">
        <v>1684</v>
      </c>
      <c r="I590" s="10">
        <v>45544</v>
      </c>
    </row>
    <row r="591" spans="1:9" x14ac:dyDescent="0.15">
      <c r="A591" s="9">
        <v>590</v>
      </c>
      <c r="B591" s="9" t="s">
        <v>9</v>
      </c>
      <c r="C591" s="9">
        <v>1915</v>
      </c>
      <c r="D591" s="10">
        <v>45639</v>
      </c>
      <c r="E591" s="13" t="str">
        <f>+HYPERLINK("http://trademark.i-assist.jp/data/china/image_1915th/80818331.pdf","80818331")</f>
        <v>80818331</v>
      </c>
      <c r="F591" s="9" t="s">
        <v>1685</v>
      </c>
      <c r="G591" s="9" t="s">
        <v>61</v>
      </c>
      <c r="H591" s="9" t="s">
        <v>1686</v>
      </c>
      <c r="I591" s="10">
        <v>45544</v>
      </c>
    </row>
    <row r="592" spans="1:9" x14ac:dyDescent="0.15">
      <c r="A592" s="9">
        <v>591</v>
      </c>
      <c r="B592" s="9" t="s">
        <v>9</v>
      </c>
      <c r="C592" s="9">
        <v>1915</v>
      </c>
      <c r="D592" s="10">
        <v>45639</v>
      </c>
      <c r="E592" s="13" t="str">
        <f>+HYPERLINK("http://trademark.i-assist.jp/data/china/image_1915th/80818504.pdf","80818504")</f>
        <v>80818504</v>
      </c>
      <c r="F592" s="9" t="s">
        <v>1687</v>
      </c>
      <c r="G592" s="9" t="s">
        <v>1688</v>
      </c>
      <c r="H592" s="9" t="s">
        <v>1689</v>
      </c>
      <c r="I592" s="10">
        <v>45544</v>
      </c>
    </row>
    <row r="593" spans="1:9" x14ac:dyDescent="0.15">
      <c r="A593" s="9">
        <v>592</v>
      </c>
      <c r="B593" s="9" t="s">
        <v>9</v>
      </c>
      <c r="C593" s="9">
        <v>1915</v>
      </c>
      <c r="D593" s="10">
        <v>45639</v>
      </c>
      <c r="E593" s="13" t="str">
        <f>+HYPERLINK("http://trademark.i-assist.jp/data/china/image_1915th/80818561.pdf","80818561")</f>
        <v>80818561</v>
      </c>
      <c r="F593" s="9" t="s">
        <v>1690</v>
      </c>
      <c r="G593" s="12" t="s">
        <v>1691</v>
      </c>
      <c r="H593" s="9" t="s">
        <v>1692</v>
      </c>
      <c r="I593" s="10">
        <v>45544</v>
      </c>
    </row>
    <row r="594" spans="1:9" x14ac:dyDescent="0.15">
      <c r="A594" s="9">
        <v>593</v>
      </c>
      <c r="B594" s="9" t="s">
        <v>9</v>
      </c>
      <c r="C594" s="9">
        <v>1915</v>
      </c>
      <c r="D594" s="10">
        <v>45639</v>
      </c>
      <c r="E594" s="13" t="str">
        <f>+HYPERLINK("http://trademark.i-assist.jp/data/china/image_1915th/80819130.pdf","80819130")</f>
        <v>80819130</v>
      </c>
      <c r="F594" s="12" t="s">
        <v>1693</v>
      </c>
      <c r="G594" s="12" t="s">
        <v>39</v>
      </c>
      <c r="H594" s="9" t="s">
        <v>1694</v>
      </c>
      <c r="I594" s="10">
        <v>45544</v>
      </c>
    </row>
    <row r="595" spans="1:9" x14ac:dyDescent="0.15">
      <c r="A595" s="9">
        <v>594</v>
      </c>
      <c r="B595" s="9" t="s">
        <v>9</v>
      </c>
      <c r="C595" s="9">
        <v>1915</v>
      </c>
      <c r="D595" s="10">
        <v>45639</v>
      </c>
      <c r="E595" s="13" t="str">
        <f>+HYPERLINK("http://trademark.i-assist.jp/data/china/image_1915th/80819861.pdf","80819861")</f>
        <v>80819861</v>
      </c>
      <c r="F595" s="12" t="s">
        <v>1695</v>
      </c>
      <c r="G595" s="9" t="s">
        <v>1641</v>
      </c>
      <c r="H595" s="9" t="s">
        <v>1696</v>
      </c>
      <c r="I595" s="10">
        <v>45544</v>
      </c>
    </row>
    <row r="596" spans="1:9" x14ac:dyDescent="0.15">
      <c r="A596" s="9">
        <v>595</v>
      </c>
      <c r="B596" s="9" t="s">
        <v>9</v>
      </c>
      <c r="C596" s="9">
        <v>1915</v>
      </c>
      <c r="D596" s="10">
        <v>45639</v>
      </c>
      <c r="E596" s="13" t="str">
        <f>+HYPERLINK("http://trademark.i-assist.jp/data/china/image_1915th/80819865.pdf","80819865")</f>
        <v>80819865</v>
      </c>
      <c r="F596" s="12" t="s">
        <v>1697</v>
      </c>
      <c r="G596" s="9" t="s">
        <v>1641</v>
      </c>
      <c r="H596" s="9" t="s">
        <v>1698</v>
      </c>
      <c r="I596" s="10">
        <v>45544</v>
      </c>
    </row>
    <row r="597" spans="1:9" x14ac:dyDescent="0.15">
      <c r="A597" s="9">
        <v>596</v>
      </c>
      <c r="B597" s="9" t="s">
        <v>9</v>
      </c>
      <c r="C597" s="9">
        <v>1915</v>
      </c>
      <c r="D597" s="10">
        <v>45639</v>
      </c>
      <c r="E597" s="13" t="str">
        <f>+HYPERLINK("http://trademark.i-assist.jp/data/china/image_1915th/80820057.pdf","80820057")</f>
        <v>80820057</v>
      </c>
      <c r="F597" s="9" t="s">
        <v>1699</v>
      </c>
      <c r="G597" s="9" t="s">
        <v>1700</v>
      </c>
      <c r="H597" s="9" t="s">
        <v>1701</v>
      </c>
      <c r="I597" s="10">
        <v>45544</v>
      </c>
    </row>
    <row r="598" spans="1:9" x14ac:dyDescent="0.15">
      <c r="A598" s="9">
        <v>597</v>
      </c>
      <c r="B598" s="9" t="s">
        <v>9</v>
      </c>
      <c r="C598" s="9">
        <v>1915</v>
      </c>
      <c r="D598" s="10">
        <v>45639</v>
      </c>
      <c r="E598" s="13" t="str">
        <f>+HYPERLINK("http://trademark.i-assist.jp/data/china/image_1915th/80820335.pdf","80820335")</f>
        <v>80820335</v>
      </c>
      <c r="F598" s="9" t="s">
        <v>1702</v>
      </c>
      <c r="G598" s="9" t="s">
        <v>1703</v>
      </c>
      <c r="H598" s="9" t="s">
        <v>1704</v>
      </c>
      <c r="I598" s="10">
        <v>45544</v>
      </c>
    </row>
    <row r="599" spans="1:9" x14ac:dyDescent="0.15">
      <c r="A599" s="9">
        <v>598</v>
      </c>
      <c r="B599" s="9" t="s">
        <v>9</v>
      </c>
      <c r="C599" s="9">
        <v>1915</v>
      </c>
      <c r="D599" s="10">
        <v>45639</v>
      </c>
      <c r="E599" s="13" t="str">
        <f>+HYPERLINK("http://trademark.i-assist.jp/data/china/image_1915th/80820477.pdf","80820477")</f>
        <v>80820477</v>
      </c>
      <c r="F599" s="12" t="s">
        <v>1705</v>
      </c>
      <c r="G599" s="9" t="s">
        <v>1706</v>
      </c>
      <c r="H599" s="9" t="s">
        <v>1707</v>
      </c>
      <c r="I599" s="10">
        <v>45544</v>
      </c>
    </row>
    <row r="600" spans="1:9" x14ac:dyDescent="0.15">
      <c r="A600" s="9">
        <v>599</v>
      </c>
      <c r="B600" s="9" t="s">
        <v>9</v>
      </c>
      <c r="C600" s="9">
        <v>1915</v>
      </c>
      <c r="D600" s="10">
        <v>45639</v>
      </c>
      <c r="E600" s="13" t="str">
        <f>+HYPERLINK("http://trademark.i-assist.jp/data/china/image_1915th/80820486.pdf","80820486")</f>
        <v>80820486</v>
      </c>
      <c r="F600" s="12" t="s">
        <v>1708</v>
      </c>
      <c r="G600" s="9" t="s">
        <v>1706</v>
      </c>
      <c r="H600" s="9" t="s">
        <v>1709</v>
      </c>
      <c r="I600" s="10">
        <v>45544</v>
      </c>
    </row>
    <row r="601" spans="1:9" x14ac:dyDescent="0.15">
      <c r="A601" s="9">
        <v>600</v>
      </c>
      <c r="B601" s="9" t="s">
        <v>9</v>
      </c>
      <c r="C601" s="9">
        <v>1915</v>
      </c>
      <c r="D601" s="10">
        <v>45639</v>
      </c>
      <c r="E601" s="13" t="str">
        <f>+HYPERLINK("http://trademark.i-assist.jp/data/china/image_1915th/80820534.pdf","80820534")</f>
        <v>80820534</v>
      </c>
      <c r="F601" s="9" t="s">
        <v>1710</v>
      </c>
      <c r="G601" s="9" t="s">
        <v>1711</v>
      </c>
      <c r="H601" s="9" t="s">
        <v>1712</v>
      </c>
      <c r="I601" s="10">
        <v>45544</v>
      </c>
    </row>
    <row r="602" spans="1:9" x14ac:dyDescent="0.15">
      <c r="A602" s="9">
        <v>601</v>
      </c>
      <c r="B602" s="9" t="s">
        <v>9</v>
      </c>
      <c r="C602" s="9">
        <v>1915</v>
      </c>
      <c r="D602" s="10">
        <v>45639</v>
      </c>
      <c r="E602" s="13" t="str">
        <f>+HYPERLINK("http://trademark.i-assist.jp/data/china/image_1915th/80820642.pdf","80820642")</f>
        <v>80820642</v>
      </c>
      <c r="F602" s="9" t="s">
        <v>1713</v>
      </c>
      <c r="G602" s="9" t="s">
        <v>81</v>
      </c>
      <c r="H602" s="9" t="s">
        <v>1714</v>
      </c>
      <c r="I602" s="10">
        <v>45544</v>
      </c>
    </row>
    <row r="603" spans="1:9" x14ac:dyDescent="0.15">
      <c r="A603" s="9">
        <v>602</v>
      </c>
      <c r="B603" s="9" t="s">
        <v>9</v>
      </c>
      <c r="C603" s="9">
        <v>1915</v>
      </c>
      <c r="D603" s="10">
        <v>45639</v>
      </c>
      <c r="E603" s="13" t="str">
        <f>+HYPERLINK("http://trademark.i-assist.jp/data/china/image_1915th/80821448.pdf","80821448")</f>
        <v>80821448</v>
      </c>
      <c r="F603" s="12" t="s">
        <v>1715</v>
      </c>
      <c r="G603" s="9" t="s">
        <v>1716</v>
      </c>
      <c r="H603" s="9" t="s">
        <v>1717</v>
      </c>
      <c r="I603" s="10">
        <v>45544</v>
      </c>
    </row>
    <row r="604" spans="1:9" x14ac:dyDescent="0.15">
      <c r="A604" s="9">
        <v>603</v>
      </c>
      <c r="B604" s="9" t="s">
        <v>9</v>
      </c>
      <c r="C604" s="9">
        <v>1915</v>
      </c>
      <c r="D604" s="10">
        <v>45639</v>
      </c>
      <c r="E604" s="13" t="str">
        <f>+HYPERLINK("http://trademark.i-assist.jp/data/china/image_1915th/80821636.pdf","80821636")</f>
        <v>80821636</v>
      </c>
      <c r="F604" s="9" t="s">
        <v>1718</v>
      </c>
      <c r="G604" s="9" t="s">
        <v>1719</v>
      </c>
      <c r="H604" s="9" t="s">
        <v>1720</v>
      </c>
      <c r="I604" s="10">
        <v>45544</v>
      </c>
    </row>
    <row r="605" spans="1:9" x14ac:dyDescent="0.15">
      <c r="A605" s="9">
        <v>604</v>
      </c>
      <c r="B605" s="9" t="s">
        <v>9</v>
      </c>
      <c r="C605" s="9">
        <v>1915</v>
      </c>
      <c r="D605" s="10">
        <v>45639</v>
      </c>
      <c r="E605" s="13" t="str">
        <f>+HYPERLINK("http://trademark.i-assist.jp/data/china/image_1915th/80821644.pdf","80821644")</f>
        <v>80821644</v>
      </c>
      <c r="F605" s="12" t="s">
        <v>1721</v>
      </c>
      <c r="G605" s="9" t="s">
        <v>1722</v>
      </c>
      <c r="H605" s="9" t="s">
        <v>1723</v>
      </c>
      <c r="I605" s="10">
        <v>45544</v>
      </c>
    </row>
    <row r="606" spans="1:9" x14ac:dyDescent="0.15">
      <c r="A606" s="9">
        <v>605</v>
      </c>
      <c r="B606" s="9" t="s">
        <v>9</v>
      </c>
      <c r="C606" s="9">
        <v>1915</v>
      </c>
      <c r="D606" s="10">
        <v>45639</v>
      </c>
      <c r="E606" s="13" t="str">
        <f>+HYPERLINK("http://trademark.i-assist.jp/data/china/image_1915th/80822844.pdf","80822844")</f>
        <v>80822844</v>
      </c>
      <c r="F606" s="9" t="s">
        <v>1724</v>
      </c>
      <c r="G606" s="9" t="s">
        <v>1725</v>
      </c>
      <c r="H606" s="9" t="s">
        <v>1726</v>
      </c>
      <c r="I606" s="10">
        <v>45544</v>
      </c>
    </row>
    <row r="607" spans="1:9" x14ac:dyDescent="0.15">
      <c r="A607" s="9">
        <v>606</v>
      </c>
      <c r="B607" s="9" t="s">
        <v>9</v>
      </c>
      <c r="C607" s="9">
        <v>1915</v>
      </c>
      <c r="D607" s="10">
        <v>45639</v>
      </c>
      <c r="E607" s="13" t="str">
        <f>+HYPERLINK("http://trademark.i-assist.jp/data/china/image_1915th/80822939.pdf","80822939")</f>
        <v>80822939</v>
      </c>
      <c r="F607" s="12" t="s">
        <v>1727</v>
      </c>
      <c r="G607" s="9" t="s">
        <v>1728</v>
      </c>
      <c r="H607" s="9" t="s">
        <v>1729</v>
      </c>
      <c r="I607" s="10">
        <v>45544</v>
      </c>
    </row>
    <row r="608" spans="1:9" x14ac:dyDescent="0.15">
      <c r="A608" s="9">
        <v>607</v>
      </c>
      <c r="B608" s="9" t="s">
        <v>9</v>
      </c>
      <c r="C608" s="9">
        <v>1915</v>
      </c>
      <c r="D608" s="10">
        <v>45639</v>
      </c>
      <c r="E608" s="13" t="str">
        <f>+HYPERLINK("http://trademark.i-assist.jp/data/china/image_1915th/80823500.pdf","80823500")</f>
        <v>80823500</v>
      </c>
      <c r="F608" s="9" t="s">
        <v>1730</v>
      </c>
      <c r="G608" s="9" t="s">
        <v>1632</v>
      </c>
      <c r="H608" s="9" t="s">
        <v>1731</v>
      </c>
      <c r="I608" s="10">
        <v>45544</v>
      </c>
    </row>
    <row r="609" spans="1:9" x14ac:dyDescent="0.15">
      <c r="A609" s="9">
        <v>608</v>
      </c>
      <c r="B609" s="9" t="s">
        <v>9</v>
      </c>
      <c r="C609" s="9">
        <v>1915</v>
      </c>
      <c r="D609" s="10">
        <v>45639</v>
      </c>
      <c r="E609" s="13" t="str">
        <f>+HYPERLINK("http://trademark.i-assist.jp/data/china/image_1915th/80823514.pdf","80823514")</f>
        <v>80823514</v>
      </c>
      <c r="F609" s="9" t="s">
        <v>1732</v>
      </c>
      <c r="G609" s="9" t="s">
        <v>1632</v>
      </c>
      <c r="H609" s="9" t="s">
        <v>1733</v>
      </c>
      <c r="I609" s="10">
        <v>45544</v>
      </c>
    </row>
    <row r="610" spans="1:9" x14ac:dyDescent="0.15">
      <c r="A610" s="9">
        <v>609</v>
      </c>
      <c r="B610" s="9" t="s">
        <v>9</v>
      </c>
      <c r="C610" s="9">
        <v>1915</v>
      </c>
      <c r="D610" s="10">
        <v>45639</v>
      </c>
      <c r="E610" s="13" t="str">
        <f>+HYPERLINK("http://trademark.i-assist.jp/data/china/image_1915th/80823671.pdf","80823671")</f>
        <v>80823671</v>
      </c>
      <c r="F610" s="9" t="s">
        <v>1734</v>
      </c>
      <c r="G610" s="9" t="s">
        <v>1735</v>
      </c>
      <c r="H610" s="12" t="s">
        <v>1736</v>
      </c>
      <c r="I610" s="10">
        <v>45544</v>
      </c>
    </row>
    <row r="611" spans="1:9" x14ac:dyDescent="0.15">
      <c r="A611" s="9">
        <v>610</v>
      </c>
      <c r="B611" s="9" t="s">
        <v>9</v>
      </c>
      <c r="C611" s="9">
        <v>1915</v>
      </c>
      <c r="D611" s="10">
        <v>45639</v>
      </c>
      <c r="E611" s="13" t="str">
        <f>+HYPERLINK("http://trademark.i-assist.jp/data/china/image_1915th/80823760.pdf","80823760")</f>
        <v>80823760</v>
      </c>
      <c r="F611" s="9" t="s">
        <v>1737</v>
      </c>
      <c r="G611" s="12" t="s">
        <v>1738</v>
      </c>
      <c r="H611" s="9" t="s">
        <v>1739</v>
      </c>
      <c r="I611" s="10">
        <v>45544</v>
      </c>
    </row>
    <row r="612" spans="1:9" x14ac:dyDescent="0.15">
      <c r="A612" s="9">
        <v>611</v>
      </c>
      <c r="B612" s="9" t="s">
        <v>9</v>
      </c>
      <c r="C612" s="9">
        <v>1915</v>
      </c>
      <c r="D612" s="10">
        <v>45639</v>
      </c>
      <c r="E612" s="13" t="str">
        <f>+HYPERLINK("http://trademark.i-assist.jp/data/china/image_1915th/80824220.pdf","80824220")</f>
        <v>80824220</v>
      </c>
      <c r="F612" s="12" t="s">
        <v>15</v>
      </c>
      <c r="G612" s="9" t="s">
        <v>1740</v>
      </c>
      <c r="H612" s="9" t="s">
        <v>1741</v>
      </c>
      <c r="I612" s="10">
        <v>45544</v>
      </c>
    </row>
    <row r="613" spans="1:9" x14ac:dyDescent="0.15">
      <c r="A613" s="9">
        <v>612</v>
      </c>
      <c r="B613" s="9" t="s">
        <v>9</v>
      </c>
      <c r="C613" s="9">
        <v>1915</v>
      </c>
      <c r="D613" s="10">
        <v>45639</v>
      </c>
      <c r="E613" s="13" t="str">
        <f>+HYPERLINK("http://trademark.i-assist.jp/data/china/image_1915th/80824290.pdf","80824290")</f>
        <v>80824290</v>
      </c>
      <c r="F613" s="9" t="s">
        <v>1742</v>
      </c>
      <c r="G613" s="9" t="s">
        <v>1641</v>
      </c>
      <c r="H613" s="9" t="s">
        <v>1743</v>
      </c>
      <c r="I613" s="10">
        <v>45544</v>
      </c>
    </row>
    <row r="614" spans="1:9" x14ac:dyDescent="0.15">
      <c r="A614" s="9">
        <v>613</v>
      </c>
      <c r="B614" s="9" t="s">
        <v>9</v>
      </c>
      <c r="C614" s="9">
        <v>1915</v>
      </c>
      <c r="D614" s="10">
        <v>45639</v>
      </c>
      <c r="E614" s="13" t="str">
        <f>+HYPERLINK("http://trademark.i-assist.jp/data/china/image_1915th/80824308.pdf","80824308")</f>
        <v>80824308</v>
      </c>
      <c r="F614" s="9" t="s">
        <v>1744</v>
      </c>
      <c r="G614" s="9" t="s">
        <v>1641</v>
      </c>
      <c r="H614" s="9" t="s">
        <v>1745</v>
      </c>
      <c r="I614" s="10">
        <v>45544</v>
      </c>
    </row>
    <row r="615" spans="1:9" x14ac:dyDescent="0.15">
      <c r="A615" s="9">
        <v>614</v>
      </c>
      <c r="B615" s="9" t="s">
        <v>9</v>
      </c>
      <c r="C615" s="9">
        <v>1915</v>
      </c>
      <c r="D615" s="10">
        <v>45639</v>
      </c>
      <c r="E615" s="13" t="str">
        <f>+HYPERLINK("http://trademark.i-assist.jp/data/china/image_1915th/80824326.pdf","80824326")</f>
        <v>80824326</v>
      </c>
      <c r="F615" s="12" t="s">
        <v>1746</v>
      </c>
      <c r="G615" s="12" t="s">
        <v>28</v>
      </c>
      <c r="H615" s="9" t="s">
        <v>1747</v>
      </c>
      <c r="I615" s="10">
        <v>45544</v>
      </c>
    </row>
    <row r="616" spans="1:9" x14ac:dyDescent="0.15">
      <c r="A616" s="9">
        <v>615</v>
      </c>
      <c r="B616" s="9" t="s">
        <v>9</v>
      </c>
      <c r="C616" s="9">
        <v>1915</v>
      </c>
      <c r="D616" s="10">
        <v>45639</v>
      </c>
      <c r="E616" s="13" t="str">
        <f>+HYPERLINK("http://trademark.i-assist.jp/data/china/image_1915th/80824399.pdf","80824399")</f>
        <v>80824399</v>
      </c>
      <c r="F616" s="12" t="s">
        <v>1748</v>
      </c>
      <c r="G616" s="9" t="s">
        <v>1749</v>
      </c>
      <c r="H616" s="9" t="s">
        <v>1750</v>
      </c>
      <c r="I616" s="10">
        <v>45544</v>
      </c>
    </row>
    <row r="617" spans="1:9" x14ac:dyDescent="0.15">
      <c r="A617" s="9">
        <v>616</v>
      </c>
      <c r="B617" s="9" t="s">
        <v>9</v>
      </c>
      <c r="C617" s="9">
        <v>1915</v>
      </c>
      <c r="D617" s="10">
        <v>45639</v>
      </c>
      <c r="E617" s="13" t="str">
        <f>+HYPERLINK("http://trademark.i-assist.jp/data/china/image_1915th/80824642.pdf","80824642")</f>
        <v>80824642</v>
      </c>
      <c r="F617" s="12" t="s">
        <v>1751</v>
      </c>
      <c r="G617" s="9" t="s">
        <v>1752</v>
      </c>
      <c r="H617" s="9" t="s">
        <v>1753</v>
      </c>
      <c r="I617" s="10">
        <v>45544</v>
      </c>
    </row>
    <row r="618" spans="1:9" x14ac:dyDescent="0.15">
      <c r="A618" s="9">
        <v>617</v>
      </c>
      <c r="B618" s="9" t="s">
        <v>9</v>
      </c>
      <c r="C618" s="9">
        <v>1915</v>
      </c>
      <c r="D618" s="10">
        <v>45639</v>
      </c>
      <c r="E618" s="13" t="str">
        <f>+HYPERLINK("http://trademark.i-assist.jp/data/china/image_1915th/80824724.pdf","80824724")</f>
        <v>80824724</v>
      </c>
      <c r="F618" s="12" t="s">
        <v>1754</v>
      </c>
      <c r="G618" s="9" t="s">
        <v>1755</v>
      </c>
      <c r="H618" s="9" t="s">
        <v>1756</v>
      </c>
      <c r="I618" s="10">
        <v>45544</v>
      </c>
    </row>
    <row r="619" spans="1:9" x14ac:dyDescent="0.15">
      <c r="A619" s="9">
        <v>618</v>
      </c>
      <c r="B619" s="9" t="s">
        <v>9</v>
      </c>
      <c r="C619" s="9">
        <v>1915</v>
      </c>
      <c r="D619" s="10">
        <v>45639</v>
      </c>
      <c r="E619" s="13" t="str">
        <f>+HYPERLINK("http://trademark.i-assist.jp/data/china/image_1915th/80824758.pdf","80824758")</f>
        <v>80824758</v>
      </c>
      <c r="F619" s="9" t="s">
        <v>1757</v>
      </c>
      <c r="G619" s="9" t="s">
        <v>1758</v>
      </c>
      <c r="H619" s="9" t="s">
        <v>1759</v>
      </c>
      <c r="I619" s="10">
        <v>45544</v>
      </c>
    </row>
    <row r="620" spans="1:9" x14ac:dyDescent="0.15">
      <c r="A620" s="9">
        <v>619</v>
      </c>
      <c r="B620" s="9" t="s">
        <v>9</v>
      </c>
      <c r="C620" s="9">
        <v>1915</v>
      </c>
      <c r="D620" s="10">
        <v>45639</v>
      </c>
      <c r="E620" s="13" t="str">
        <f>+HYPERLINK("http://trademark.i-assist.jp/data/china/image_1915th/80824926.pdf","80824926")</f>
        <v>80824926</v>
      </c>
      <c r="F620" s="9" t="s">
        <v>1760</v>
      </c>
      <c r="G620" s="9" t="s">
        <v>1761</v>
      </c>
      <c r="H620" s="9" t="s">
        <v>1762</v>
      </c>
      <c r="I620" s="10">
        <v>45544</v>
      </c>
    </row>
    <row r="621" spans="1:9" x14ac:dyDescent="0.15">
      <c r="A621" s="9">
        <v>620</v>
      </c>
      <c r="B621" s="9" t="s">
        <v>9</v>
      </c>
      <c r="C621" s="9">
        <v>1915</v>
      </c>
      <c r="D621" s="10">
        <v>45639</v>
      </c>
      <c r="E621" s="13" t="str">
        <f>+HYPERLINK("http://trademark.i-assist.jp/data/china/image_1915th/80825178.pdf","80825178")</f>
        <v>80825178</v>
      </c>
      <c r="F621" s="9" t="s">
        <v>1763</v>
      </c>
      <c r="G621" s="12" t="s">
        <v>1764</v>
      </c>
      <c r="H621" s="9" t="s">
        <v>1765</v>
      </c>
      <c r="I621" s="10">
        <v>45544</v>
      </c>
    </row>
    <row r="622" spans="1:9" x14ac:dyDescent="0.15">
      <c r="A622" s="9">
        <v>621</v>
      </c>
      <c r="B622" s="9" t="s">
        <v>9</v>
      </c>
      <c r="C622" s="9">
        <v>1915</v>
      </c>
      <c r="D622" s="10">
        <v>45639</v>
      </c>
      <c r="E622" s="13" t="str">
        <f>+HYPERLINK("http://trademark.i-assist.jp/data/china/image_1915th/80825331.pdf","80825331")</f>
        <v>80825331</v>
      </c>
      <c r="F622" s="9" t="s">
        <v>1766</v>
      </c>
      <c r="G622" s="9" t="s">
        <v>1767</v>
      </c>
      <c r="H622" s="12" t="s">
        <v>1768</v>
      </c>
      <c r="I622" s="10">
        <v>45544</v>
      </c>
    </row>
    <row r="623" spans="1:9" x14ac:dyDescent="0.15">
      <c r="A623" s="9">
        <v>622</v>
      </c>
      <c r="B623" s="9" t="s">
        <v>9</v>
      </c>
      <c r="C623" s="9">
        <v>1915</v>
      </c>
      <c r="D623" s="10">
        <v>45639</v>
      </c>
      <c r="E623" s="13" t="str">
        <f>+HYPERLINK("http://trademark.i-assist.jp/data/china/image_1915th/80825522.pdf","80825522")</f>
        <v>80825522</v>
      </c>
      <c r="F623" s="9" t="s">
        <v>1769</v>
      </c>
      <c r="G623" s="12" t="s">
        <v>1770</v>
      </c>
      <c r="H623" s="9" t="s">
        <v>1771</v>
      </c>
      <c r="I623" s="10">
        <v>45544</v>
      </c>
    </row>
    <row r="624" spans="1:9" x14ac:dyDescent="0.15">
      <c r="A624" s="9">
        <v>623</v>
      </c>
      <c r="B624" s="9" t="s">
        <v>9</v>
      </c>
      <c r="C624" s="9">
        <v>1915</v>
      </c>
      <c r="D624" s="10">
        <v>45639</v>
      </c>
      <c r="E624" s="13" t="str">
        <f>+HYPERLINK("http://trademark.i-assist.jp/data/china/image_1915th/80826228.pdf","80826228")</f>
        <v>80826228</v>
      </c>
      <c r="F624" s="12" t="s">
        <v>1772</v>
      </c>
      <c r="G624" s="12" t="s">
        <v>1773</v>
      </c>
      <c r="H624" s="9" t="s">
        <v>1774</v>
      </c>
      <c r="I624" s="10">
        <v>45544</v>
      </c>
    </row>
    <row r="625" spans="1:9" x14ac:dyDescent="0.15">
      <c r="A625" s="9">
        <v>624</v>
      </c>
      <c r="B625" s="9" t="s">
        <v>9</v>
      </c>
      <c r="C625" s="9">
        <v>1915</v>
      </c>
      <c r="D625" s="10">
        <v>45639</v>
      </c>
      <c r="E625" s="13" t="str">
        <f>+HYPERLINK("http://trademark.i-assist.jp/data/china/image_1915th/80826471.pdf","80826471")</f>
        <v>80826471</v>
      </c>
      <c r="F625" s="9" t="s">
        <v>1775</v>
      </c>
      <c r="G625" s="12" t="s">
        <v>1776</v>
      </c>
      <c r="H625" s="12" t="s">
        <v>1777</v>
      </c>
      <c r="I625" s="10">
        <v>45544</v>
      </c>
    </row>
    <row r="626" spans="1:9" x14ac:dyDescent="0.15">
      <c r="A626" s="9">
        <v>625</v>
      </c>
      <c r="B626" s="9" t="s">
        <v>9</v>
      </c>
      <c r="C626" s="9">
        <v>1915</v>
      </c>
      <c r="D626" s="10">
        <v>45639</v>
      </c>
      <c r="E626" s="13" t="str">
        <f>+HYPERLINK("http://trademark.i-assist.jp/data/china/image_1915th/80826536.pdf","80826536")</f>
        <v>80826536</v>
      </c>
      <c r="F626" s="9" t="s">
        <v>1778</v>
      </c>
      <c r="G626" s="9" t="s">
        <v>1779</v>
      </c>
      <c r="H626" s="9" t="s">
        <v>1780</v>
      </c>
      <c r="I626" s="10">
        <v>45544</v>
      </c>
    </row>
    <row r="627" spans="1:9" x14ac:dyDescent="0.15">
      <c r="A627" s="9">
        <v>626</v>
      </c>
      <c r="B627" s="9" t="s">
        <v>9</v>
      </c>
      <c r="C627" s="9">
        <v>1915</v>
      </c>
      <c r="D627" s="10">
        <v>45639</v>
      </c>
      <c r="E627" s="13" t="str">
        <f>+HYPERLINK("http://trademark.i-assist.jp/data/china/image_1915th/80827138.pdf","80827138")</f>
        <v>80827138</v>
      </c>
      <c r="F627" s="9" t="s">
        <v>1781</v>
      </c>
      <c r="G627" s="9" t="s">
        <v>1782</v>
      </c>
      <c r="H627" s="9" t="s">
        <v>1783</v>
      </c>
      <c r="I627" s="10">
        <v>45544</v>
      </c>
    </row>
    <row r="628" spans="1:9" x14ac:dyDescent="0.15">
      <c r="A628" s="9">
        <v>627</v>
      </c>
      <c r="B628" s="9" t="s">
        <v>9</v>
      </c>
      <c r="C628" s="9">
        <v>1915</v>
      </c>
      <c r="D628" s="10">
        <v>45639</v>
      </c>
      <c r="E628" s="13" t="str">
        <f>+HYPERLINK("http://trademark.i-assist.jp/data/china/image_1915th/80827844.pdf","80827844")</f>
        <v>80827844</v>
      </c>
      <c r="F628" s="9" t="s">
        <v>1784</v>
      </c>
      <c r="G628" s="9" t="s">
        <v>1785</v>
      </c>
      <c r="H628" s="12" t="s">
        <v>1786</v>
      </c>
      <c r="I628" s="10">
        <v>45544</v>
      </c>
    </row>
    <row r="629" spans="1:9" x14ac:dyDescent="0.15">
      <c r="A629" s="9">
        <v>628</v>
      </c>
      <c r="B629" s="9" t="s">
        <v>9</v>
      </c>
      <c r="C629" s="9">
        <v>1915</v>
      </c>
      <c r="D629" s="10">
        <v>45639</v>
      </c>
      <c r="E629" s="13" t="str">
        <f>+HYPERLINK("http://trademark.i-assist.jp/data/china/image_1915th/80827910.pdf","80827910")</f>
        <v>80827910</v>
      </c>
      <c r="F629" s="9" t="s">
        <v>1787</v>
      </c>
      <c r="G629" s="12" t="s">
        <v>38</v>
      </c>
      <c r="H629" s="9" t="s">
        <v>1788</v>
      </c>
      <c r="I629" s="10">
        <v>45544</v>
      </c>
    </row>
    <row r="630" spans="1:9" x14ac:dyDescent="0.15">
      <c r="A630" s="9">
        <v>629</v>
      </c>
      <c r="B630" s="9" t="s">
        <v>9</v>
      </c>
      <c r="C630" s="9">
        <v>1915</v>
      </c>
      <c r="D630" s="10">
        <v>45639</v>
      </c>
      <c r="E630" s="13" t="str">
        <f>+HYPERLINK("http://trademark.i-assist.jp/data/china/image_1915th/80829197.pdf","80829197")</f>
        <v>80829197</v>
      </c>
      <c r="F630" s="9" t="s">
        <v>1789</v>
      </c>
      <c r="G630" s="9" t="s">
        <v>1632</v>
      </c>
      <c r="H630" s="9" t="s">
        <v>1790</v>
      </c>
      <c r="I630" s="10">
        <v>45544</v>
      </c>
    </row>
    <row r="631" spans="1:9" x14ac:dyDescent="0.15">
      <c r="A631" s="9">
        <v>630</v>
      </c>
      <c r="B631" s="9" t="s">
        <v>9</v>
      </c>
      <c r="C631" s="9">
        <v>1915</v>
      </c>
      <c r="D631" s="10">
        <v>45639</v>
      </c>
      <c r="E631" s="13" t="str">
        <f>+HYPERLINK("http://trademark.i-assist.jp/data/china/image_1915th/80829827.pdf","80829827")</f>
        <v>80829827</v>
      </c>
      <c r="F631" s="12" t="s">
        <v>1791</v>
      </c>
      <c r="G631" s="12" t="s">
        <v>1792</v>
      </c>
      <c r="H631" s="9" t="s">
        <v>1793</v>
      </c>
      <c r="I631" s="10">
        <v>45544</v>
      </c>
    </row>
    <row r="632" spans="1:9" x14ac:dyDescent="0.15">
      <c r="A632" s="9">
        <v>631</v>
      </c>
      <c r="B632" s="9" t="s">
        <v>9</v>
      </c>
      <c r="C632" s="9">
        <v>1915</v>
      </c>
      <c r="D632" s="10">
        <v>45639</v>
      </c>
      <c r="E632" s="13" t="str">
        <f>+HYPERLINK("http://trademark.i-assist.jp/data/china/image_1915th/80829995.pdf","80829995")</f>
        <v>80829995</v>
      </c>
      <c r="F632" s="12" t="s">
        <v>1794</v>
      </c>
      <c r="G632" s="9" t="s">
        <v>1795</v>
      </c>
      <c r="H632" s="9" t="s">
        <v>1796</v>
      </c>
      <c r="I632" s="10">
        <v>45544</v>
      </c>
    </row>
    <row r="633" spans="1:9" x14ac:dyDescent="0.15">
      <c r="A633" s="9">
        <v>632</v>
      </c>
      <c r="B633" s="9" t="s">
        <v>9</v>
      </c>
      <c r="C633" s="9">
        <v>1915</v>
      </c>
      <c r="D633" s="10">
        <v>45639</v>
      </c>
      <c r="E633" s="13" t="str">
        <f>+HYPERLINK("http://trademark.i-assist.jp/data/china/image_1915th/80830606.pdf","80830606")</f>
        <v>80830606</v>
      </c>
      <c r="F633" s="9" t="s">
        <v>1797</v>
      </c>
      <c r="G633" s="9" t="s">
        <v>1798</v>
      </c>
      <c r="H633" s="9" t="s">
        <v>1799</v>
      </c>
      <c r="I633" s="10">
        <v>45544</v>
      </c>
    </row>
    <row r="634" spans="1:9" x14ac:dyDescent="0.15">
      <c r="A634" s="9">
        <v>633</v>
      </c>
      <c r="B634" s="9" t="s">
        <v>9</v>
      </c>
      <c r="C634" s="9">
        <v>1915</v>
      </c>
      <c r="D634" s="10">
        <v>45639</v>
      </c>
      <c r="E634" s="13" t="str">
        <f>+HYPERLINK("http://trademark.i-assist.jp/data/china/image_1915th/80830662.pdf","80830662")</f>
        <v>80830662</v>
      </c>
      <c r="F634" s="9" t="s">
        <v>1800</v>
      </c>
      <c r="G634" s="9" t="s">
        <v>1641</v>
      </c>
      <c r="H634" s="9" t="s">
        <v>1801</v>
      </c>
      <c r="I634" s="10">
        <v>45544</v>
      </c>
    </row>
    <row r="635" spans="1:9" x14ac:dyDescent="0.15">
      <c r="A635" s="9">
        <v>634</v>
      </c>
      <c r="B635" s="9" t="s">
        <v>9</v>
      </c>
      <c r="C635" s="9">
        <v>1915</v>
      </c>
      <c r="D635" s="10">
        <v>45639</v>
      </c>
      <c r="E635" s="13" t="str">
        <f>+HYPERLINK("http://trademark.i-assist.jp/data/china/image_1915th/80830993.pdf","80830993")</f>
        <v>80830993</v>
      </c>
      <c r="F635" s="9" t="s">
        <v>1802</v>
      </c>
      <c r="G635" s="12" t="s">
        <v>38</v>
      </c>
      <c r="H635" s="9" t="s">
        <v>1803</v>
      </c>
      <c r="I635" s="10">
        <v>45544</v>
      </c>
    </row>
    <row r="636" spans="1:9" x14ac:dyDescent="0.15">
      <c r="A636" s="9">
        <v>635</v>
      </c>
      <c r="B636" s="9" t="s">
        <v>9</v>
      </c>
      <c r="C636" s="9">
        <v>1915</v>
      </c>
      <c r="D636" s="10">
        <v>45639</v>
      </c>
      <c r="E636" s="13" t="str">
        <f>+HYPERLINK("http://trademark.i-assist.jp/data/china/image_1915th/80831030.pdf","80831030")</f>
        <v>80831030</v>
      </c>
      <c r="F636" s="9" t="s">
        <v>1804</v>
      </c>
      <c r="G636" s="9" t="s">
        <v>1805</v>
      </c>
      <c r="H636" s="9" t="s">
        <v>1806</v>
      </c>
      <c r="I636" s="10">
        <v>45544</v>
      </c>
    </row>
    <row r="637" spans="1:9" x14ac:dyDescent="0.15">
      <c r="A637" s="9">
        <v>636</v>
      </c>
      <c r="B637" s="9" t="s">
        <v>9</v>
      </c>
      <c r="C637" s="9">
        <v>1915</v>
      </c>
      <c r="D637" s="10">
        <v>45639</v>
      </c>
      <c r="E637" s="13" t="str">
        <f>+HYPERLINK("http://trademark.i-assist.jp/data/china/image_1915th/80831039.pdf","80831039")</f>
        <v>80831039</v>
      </c>
      <c r="F637" s="9" t="s">
        <v>1807</v>
      </c>
      <c r="G637" s="9" t="s">
        <v>1808</v>
      </c>
      <c r="H637" s="12" t="s">
        <v>1809</v>
      </c>
      <c r="I637" s="10">
        <v>45544</v>
      </c>
    </row>
    <row r="638" spans="1:9" x14ac:dyDescent="0.15">
      <c r="A638" s="9">
        <v>637</v>
      </c>
      <c r="B638" s="9" t="s">
        <v>9</v>
      </c>
      <c r="C638" s="9">
        <v>1915</v>
      </c>
      <c r="D638" s="10">
        <v>45639</v>
      </c>
      <c r="E638" s="13" t="str">
        <f>+HYPERLINK("http://trademark.i-assist.jp/data/china/image_1915th/80831192.pdf","80831192")</f>
        <v>80831192</v>
      </c>
      <c r="F638" s="12" t="s">
        <v>15</v>
      </c>
      <c r="G638" s="12" t="s">
        <v>1810</v>
      </c>
      <c r="H638" s="9" t="s">
        <v>1811</v>
      </c>
      <c r="I638" s="10">
        <v>45544</v>
      </c>
    </row>
    <row r="639" spans="1:9" x14ac:dyDescent="0.15">
      <c r="A639" s="9">
        <v>638</v>
      </c>
      <c r="B639" s="9" t="s">
        <v>9</v>
      </c>
      <c r="C639" s="9">
        <v>1915</v>
      </c>
      <c r="D639" s="10">
        <v>45639</v>
      </c>
      <c r="E639" s="13" t="str">
        <f>+HYPERLINK("http://trademark.i-assist.jp/data/china/image_1915th/80831246.pdf","80831246")</f>
        <v>80831246</v>
      </c>
      <c r="F639" s="12" t="s">
        <v>15</v>
      </c>
      <c r="G639" s="9" t="s">
        <v>1812</v>
      </c>
      <c r="H639" s="9" t="s">
        <v>1813</v>
      </c>
      <c r="I639" s="10">
        <v>45544</v>
      </c>
    </row>
    <row r="640" spans="1:9" x14ac:dyDescent="0.15">
      <c r="A640" s="9">
        <v>639</v>
      </c>
      <c r="B640" s="9" t="s">
        <v>9</v>
      </c>
      <c r="C640" s="9">
        <v>1915</v>
      </c>
      <c r="D640" s="10">
        <v>45639</v>
      </c>
      <c r="E640" s="13" t="str">
        <f>+HYPERLINK("http://trademark.i-assist.jp/data/china/image_1915th/80831441.pdf","80831441")</f>
        <v>80831441</v>
      </c>
      <c r="F640" s="9" t="s">
        <v>1814</v>
      </c>
      <c r="G640" s="9" t="s">
        <v>1815</v>
      </c>
      <c r="H640" s="12" t="s">
        <v>1816</v>
      </c>
      <c r="I640" s="10">
        <v>45544</v>
      </c>
    </row>
    <row r="641" spans="1:9" x14ac:dyDescent="0.15">
      <c r="A641" s="9">
        <v>640</v>
      </c>
      <c r="B641" s="9" t="s">
        <v>9</v>
      </c>
      <c r="C641" s="9">
        <v>1915</v>
      </c>
      <c r="D641" s="10">
        <v>45639</v>
      </c>
      <c r="E641" s="13" t="str">
        <f>+HYPERLINK("http://trademark.i-assist.jp/data/china/image_1915th/80832571.pdf","80832571")</f>
        <v>80832571</v>
      </c>
      <c r="F641" s="9" t="s">
        <v>1817</v>
      </c>
      <c r="G641" s="9" t="s">
        <v>1818</v>
      </c>
      <c r="H641" s="9" t="s">
        <v>1819</v>
      </c>
      <c r="I641" s="10">
        <v>45544</v>
      </c>
    </row>
    <row r="642" spans="1:9" x14ac:dyDescent="0.15">
      <c r="A642" s="9">
        <v>641</v>
      </c>
      <c r="B642" s="9" t="s">
        <v>9</v>
      </c>
      <c r="C642" s="9">
        <v>1915</v>
      </c>
      <c r="D642" s="10">
        <v>45639</v>
      </c>
      <c r="E642" s="13" t="str">
        <f>+HYPERLINK("http://trademark.i-assist.jp/data/china/image_1915th/80833091.pdf","80833091")</f>
        <v>80833091</v>
      </c>
      <c r="F642" s="9" t="s">
        <v>1820</v>
      </c>
      <c r="G642" s="9" t="s">
        <v>1821</v>
      </c>
      <c r="H642" s="9" t="s">
        <v>1822</v>
      </c>
      <c r="I642" s="10">
        <v>45544</v>
      </c>
    </row>
    <row r="643" spans="1:9" x14ac:dyDescent="0.15">
      <c r="A643" s="9">
        <v>642</v>
      </c>
      <c r="B643" s="9" t="s">
        <v>9</v>
      </c>
      <c r="C643" s="9">
        <v>1915</v>
      </c>
      <c r="D643" s="10">
        <v>45639</v>
      </c>
      <c r="E643" s="13" t="str">
        <f>+HYPERLINK("http://trademark.i-assist.jp/data/china/image_1915th/80833595.pdf","80833595")</f>
        <v>80833595</v>
      </c>
      <c r="F643" s="12" t="s">
        <v>1823</v>
      </c>
      <c r="G643" s="9" t="s">
        <v>1824</v>
      </c>
      <c r="H643" s="9" t="s">
        <v>1825</v>
      </c>
      <c r="I643" s="10">
        <v>45544</v>
      </c>
    </row>
    <row r="644" spans="1:9" x14ac:dyDescent="0.15">
      <c r="A644" s="9">
        <v>643</v>
      </c>
      <c r="B644" s="9" t="s">
        <v>9</v>
      </c>
      <c r="C644" s="9">
        <v>1915</v>
      </c>
      <c r="D644" s="10">
        <v>45639</v>
      </c>
      <c r="E644" s="13" t="str">
        <f>+HYPERLINK("http://trademark.i-assist.jp/data/china/image_1915th/80833663.pdf","80833663")</f>
        <v>80833663</v>
      </c>
      <c r="F644" s="9" t="s">
        <v>1826</v>
      </c>
      <c r="G644" s="9" t="s">
        <v>1812</v>
      </c>
      <c r="H644" s="9" t="s">
        <v>1827</v>
      </c>
      <c r="I644" s="10">
        <v>45544</v>
      </c>
    </row>
    <row r="645" spans="1:9" x14ac:dyDescent="0.15">
      <c r="A645" s="9">
        <v>644</v>
      </c>
      <c r="B645" s="9" t="s">
        <v>9</v>
      </c>
      <c r="C645" s="9">
        <v>1915</v>
      </c>
      <c r="D645" s="10">
        <v>45639</v>
      </c>
      <c r="E645" s="13" t="str">
        <f>+HYPERLINK("http://trademark.i-assist.jp/data/china/image_1915th/80833683.pdf","80833683")</f>
        <v>80833683</v>
      </c>
      <c r="F645" s="9" t="s">
        <v>1828</v>
      </c>
      <c r="G645" s="12" t="s">
        <v>44</v>
      </c>
      <c r="H645" s="9" t="s">
        <v>1829</v>
      </c>
      <c r="I645" s="10">
        <v>45544</v>
      </c>
    </row>
    <row r="646" spans="1:9" x14ac:dyDescent="0.15">
      <c r="A646" s="9">
        <v>645</v>
      </c>
      <c r="B646" s="9" t="s">
        <v>9</v>
      </c>
      <c r="C646" s="9">
        <v>1915</v>
      </c>
      <c r="D646" s="10">
        <v>45639</v>
      </c>
      <c r="E646" s="13" t="str">
        <f>+HYPERLINK("http://trademark.i-assist.jp/data/china/image_1915th/80833798.pdf","80833798")</f>
        <v>80833798</v>
      </c>
      <c r="F646" s="12" t="s">
        <v>1830</v>
      </c>
      <c r="G646" s="9" t="s">
        <v>1831</v>
      </c>
      <c r="H646" s="9" t="s">
        <v>1832</v>
      </c>
      <c r="I646" s="10">
        <v>45544</v>
      </c>
    </row>
    <row r="647" spans="1:9" x14ac:dyDescent="0.15">
      <c r="A647" s="9">
        <v>646</v>
      </c>
      <c r="B647" s="9" t="s">
        <v>9</v>
      </c>
      <c r="C647" s="9">
        <v>1915</v>
      </c>
      <c r="D647" s="10">
        <v>45639</v>
      </c>
      <c r="E647" s="13" t="str">
        <f>+HYPERLINK("http://trademark.i-assist.jp/data/china/image_1915th/80834011.pdf","80834011")</f>
        <v>80834011</v>
      </c>
      <c r="F647" s="9" t="s">
        <v>1833</v>
      </c>
      <c r="G647" s="9" t="s">
        <v>1834</v>
      </c>
      <c r="H647" s="9" t="s">
        <v>1835</v>
      </c>
      <c r="I647" s="10">
        <v>45544</v>
      </c>
    </row>
    <row r="648" spans="1:9" x14ac:dyDescent="0.15">
      <c r="A648" s="9">
        <v>647</v>
      </c>
      <c r="B648" s="9" t="s">
        <v>9</v>
      </c>
      <c r="C648" s="9">
        <v>1915</v>
      </c>
      <c r="D648" s="10">
        <v>45639</v>
      </c>
      <c r="E648" s="13" t="str">
        <f>+HYPERLINK("http://trademark.i-assist.jp/data/china/image_1915th/80834059.pdf","80834059")</f>
        <v>80834059</v>
      </c>
      <c r="F648" s="9" t="s">
        <v>1836</v>
      </c>
      <c r="G648" s="9" t="s">
        <v>1837</v>
      </c>
      <c r="H648" s="9" t="s">
        <v>1838</v>
      </c>
      <c r="I648" s="10">
        <v>45545</v>
      </c>
    </row>
    <row r="649" spans="1:9" x14ac:dyDescent="0.15">
      <c r="A649" s="9">
        <v>648</v>
      </c>
      <c r="B649" s="9" t="s">
        <v>9</v>
      </c>
      <c r="C649" s="9">
        <v>1915</v>
      </c>
      <c r="D649" s="10">
        <v>45639</v>
      </c>
      <c r="E649" s="13" t="str">
        <f>+HYPERLINK("http://trademark.i-assist.jp/data/china/image_1915th/80834670.pdf","80834670")</f>
        <v>80834670</v>
      </c>
      <c r="F649" s="12" t="s">
        <v>1839</v>
      </c>
      <c r="G649" s="9" t="s">
        <v>1840</v>
      </c>
      <c r="H649" s="9" t="s">
        <v>1841</v>
      </c>
      <c r="I649" s="10">
        <v>45545</v>
      </c>
    </row>
    <row r="650" spans="1:9" x14ac:dyDescent="0.15">
      <c r="A650" s="9">
        <v>649</v>
      </c>
      <c r="B650" s="9" t="s">
        <v>9</v>
      </c>
      <c r="C650" s="9">
        <v>1915</v>
      </c>
      <c r="D650" s="10">
        <v>45639</v>
      </c>
      <c r="E650" s="13" t="str">
        <f>+HYPERLINK("http://trademark.i-assist.jp/data/china/image_1915th/80836062.pdf","80836062")</f>
        <v>80836062</v>
      </c>
      <c r="F650" s="9" t="s">
        <v>1842</v>
      </c>
      <c r="G650" s="9" t="s">
        <v>1843</v>
      </c>
      <c r="H650" s="12" t="s">
        <v>1844</v>
      </c>
      <c r="I650" s="10">
        <v>45545</v>
      </c>
    </row>
    <row r="651" spans="1:9" x14ac:dyDescent="0.15">
      <c r="A651" s="9">
        <v>650</v>
      </c>
      <c r="B651" s="9" t="s">
        <v>9</v>
      </c>
      <c r="C651" s="9">
        <v>1915</v>
      </c>
      <c r="D651" s="10">
        <v>45639</v>
      </c>
      <c r="E651" s="13" t="str">
        <f>+HYPERLINK("http://trademark.i-assist.jp/data/china/image_1915th/80837870.pdf","80837870")</f>
        <v>80837870</v>
      </c>
      <c r="F651" s="9" t="s">
        <v>1845</v>
      </c>
      <c r="G651" s="9" t="s">
        <v>1846</v>
      </c>
      <c r="H651" s="9" t="s">
        <v>1847</v>
      </c>
      <c r="I651" s="10">
        <v>45545</v>
      </c>
    </row>
    <row r="652" spans="1:9" x14ac:dyDescent="0.15">
      <c r="A652" s="9">
        <v>651</v>
      </c>
      <c r="B652" s="9" t="s">
        <v>9</v>
      </c>
      <c r="C652" s="9">
        <v>1915</v>
      </c>
      <c r="D652" s="10">
        <v>45639</v>
      </c>
      <c r="E652" s="13" t="str">
        <f>+HYPERLINK("http://trademark.i-assist.jp/data/china/image_1915th/80837918.pdf","80837918")</f>
        <v>80837918</v>
      </c>
      <c r="F652" s="9" t="s">
        <v>1848</v>
      </c>
      <c r="G652" s="9" t="s">
        <v>1849</v>
      </c>
      <c r="H652" s="12" t="s">
        <v>1850</v>
      </c>
      <c r="I652" s="10">
        <v>45545</v>
      </c>
    </row>
    <row r="653" spans="1:9" x14ac:dyDescent="0.15">
      <c r="A653" s="9">
        <v>652</v>
      </c>
      <c r="B653" s="9" t="s">
        <v>9</v>
      </c>
      <c r="C653" s="9">
        <v>1915</v>
      </c>
      <c r="D653" s="10">
        <v>45639</v>
      </c>
      <c r="E653" s="13" t="str">
        <f>+HYPERLINK("http://trademark.i-assist.jp/data/china/image_1915th/80838953.pdf","80838953")</f>
        <v>80838953</v>
      </c>
      <c r="F653" s="9" t="s">
        <v>1851</v>
      </c>
      <c r="G653" s="9" t="s">
        <v>1852</v>
      </c>
      <c r="H653" s="9" t="s">
        <v>1853</v>
      </c>
      <c r="I653" s="10">
        <v>45545</v>
      </c>
    </row>
    <row r="654" spans="1:9" x14ac:dyDescent="0.15">
      <c r="A654" s="9">
        <v>653</v>
      </c>
      <c r="B654" s="9" t="s">
        <v>9</v>
      </c>
      <c r="C654" s="9">
        <v>1915</v>
      </c>
      <c r="D654" s="10">
        <v>45639</v>
      </c>
      <c r="E654" s="13" t="str">
        <f>+HYPERLINK("http://trademark.i-assist.jp/data/china/image_1915th/80839284.pdf","80839284")</f>
        <v>80839284</v>
      </c>
      <c r="F654" s="9" t="s">
        <v>1854</v>
      </c>
      <c r="G654" s="9" t="s">
        <v>1855</v>
      </c>
      <c r="H654" s="9" t="s">
        <v>1856</v>
      </c>
      <c r="I654" s="10">
        <v>45545</v>
      </c>
    </row>
    <row r="655" spans="1:9" x14ac:dyDescent="0.15">
      <c r="A655" s="9">
        <v>654</v>
      </c>
      <c r="B655" s="9" t="s">
        <v>9</v>
      </c>
      <c r="C655" s="9">
        <v>1915</v>
      </c>
      <c r="D655" s="10">
        <v>45639</v>
      </c>
      <c r="E655" s="13" t="str">
        <f>+HYPERLINK("http://trademark.i-assist.jp/data/china/image_1915th/80839577.pdf","80839577")</f>
        <v>80839577</v>
      </c>
      <c r="F655" s="9" t="s">
        <v>1857</v>
      </c>
      <c r="G655" s="9" t="s">
        <v>1858</v>
      </c>
      <c r="H655" s="9" t="s">
        <v>1859</v>
      </c>
      <c r="I655" s="10">
        <v>45545</v>
      </c>
    </row>
    <row r="656" spans="1:9" x14ac:dyDescent="0.15">
      <c r="A656" s="9">
        <v>655</v>
      </c>
      <c r="B656" s="9" t="s">
        <v>9</v>
      </c>
      <c r="C656" s="9">
        <v>1915</v>
      </c>
      <c r="D656" s="10">
        <v>45639</v>
      </c>
      <c r="E656" s="13" t="str">
        <f>+HYPERLINK("http://trademark.i-assist.jp/data/china/image_1915th/80840305.pdf","80840305")</f>
        <v>80840305</v>
      </c>
      <c r="F656" s="12" t="s">
        <v>1860</v>
      </c>
      <c r="G656" s="9" t="s">
        <v>1861</v>
      </c>
      <c r="H656" s="9" t="s">
        <v>1862</v>
      </c>
      <c r="I656" s="10">
        <v>45545</v>
      </c>
    </row>
    <row r="657" spans="1:9" x14ac:dyDescent="0.15">
      <c r="A657" s="9">
        <v>656</v>
      </c>
      <c r="B657" s="9" t="s">
        <v>9</v>
      </c>
      <c r="C657" s="9">
        <v>1915</v>
      </c>
      <c r="D657" s="10">
        <v>45639</v>
      </c>
      <c r="E657" s="13" t="str">
        <f>+HYPERLINK("http://trademark.i-assist.jp/data/china/image_1915th/80840751.pdf","80840751")</f>
        <v>80840751</v>
      </c>
      <c r="F657" s="9" t="s">
        <v>1863</v>
      </c>
      <c r="G657" s="9" t="s">
        <v>1864</v>
      </c>
      <c r="H657" s="9" t="s">
        <v>1865</v>
      </c>
      <c r="I657" s="10">
        <v>45545</v>
      </c>
    </row>
    <row r="658" spans="1:9" x14ac:dyDescent="0.15">
      <c r="A658" s="9">
        <v>657</v>
      </c>
      <c r="B658" s="9" t="s">
        <v>9</v>
      </c>
      <c r="C658" s="9">
        <v>1915</v>
      </c>
      <c r="D658" s="10">
        <v>45639</v>
      </c>
      <c r="E658" s="13" t="str">
        <f>+HYPERLINK("http://trademark.i-assist.jp/data/china/image_1915th/80840821.pdf","80840821")</f>
        <v>80840821</v>
      </c>
      <c r="F658" s="9" t="s">
        <v>1866</v>
      </c>
      <c r="G658" s="9" t="s">
        <v>1867</v>
      </c>
      <c r="H658" s="9" t="s">
        <v>1868</v>
      </c>
      <c r="I658" s="10">
        <v>45545</v>
      </c>
    </row>
    <row r="659" spans="1:9" x14ac:dyDescent="0.15">
      <c r="A659" s="9">
        <v>658</v>
      </c>
      <c r="B659" s="9" t="s">
        <v>9</v>
      </c>
      <c r="C659" s="9">
        <v>1915</v>
      </c>
      <c r="D659" s="10">
        <v>45639</v>
      </c>
      <c r="E659" s="13" t="str">
        <f>+HYPERLINK("http://trademark.i-assist.jp/data/china/image_1915th/80840831.pdf","80840831")</f>
        <v>80840831</v>
      </c>
      <c r="F659" s="12" t="s">
        <v>1869</v>
      </c>
      <c r="G659" s="9" t="s">
        <v>1870</v>
      </c>
      <c r="H659" s="9" t="s">
        <v>1871</v>
      </c>
      <c r="I659" s="10">
        <v>45545</v>
      </c>
    </row>
    <row r="660" spans="1:9" x14ac:dyDescent="0.15">
      <c r="A660" s="9">
        <v>659</v>
      </c>
      <c r="B660" s="9" t="s">
        <v>9</v>
      </c>
      <c r="C660" s="9">
        <v>1915</v>
      </c>
      <c r="D660" s="10">
        <v>45639</v>
      </c>
      <c r="E660" s="13" t="str">
        <f>+HYPERLINK("http://trademark.i-assist.jp/data/china/image_1915th/80840990.pdf","80840990")</f>
        <v>80840990</v>
      </c>
      <c r="F660" s="9" t="s">
        <v>1872</v>
      </c>
      <c r="G660" s="12" t="s">
        <v>1873</v>
      </c>
      <c r="H660" s="9" t="s">
        <v>1874</v>
      </c>
      <c r="I660" s="10">
        <v>45545</v>
      </c>
    </row>
    <row r="661" spans="1:9" x14ac:dyDescent="0.15">
      <c r="A661" s="9">
        <v>660</v>
      </c>
      <c r="B661" s="9" t="s">
        <v>9</v>
      </c>
      <c r="C661" s="9">
        <v>1915</v>
      </c>
      <c r="D661" s="10">
        <v>45639</v>
      </c>
      <c r="E661" s="13" t="str">
        <f>+HYPERLINK("http://trademark.i-assist.jp/data/china/image_1915th/80841040.pdf","80841040")</f>
        <v>80841040</v>
      </c>
      <c r="F661" s="9" t="s">
        <v>1875</v>
      </c>
      <c r="G661" s="9" t="s">
        <v>1876</v>
      </c>
      <c r="H661" s="9" t="s">
        <v>1877</v>
      </c>
      <c r="I661" s="10">
        <v>45545</v>
      </c>
    </row>
    <row r="662" spans="1:9" x14ac:dyDescent="0.15">
      <c r="A662" s="9">
        <v>661</v>
      </c>
      <c r="B662" s="9" t="s">
        <v>9</v>
      </c>
      <c r="C662" s="9">
        <v>1915</v>
      </c>
      <c r="D662" s="10">
        <v>45639</v>
      </c>
      <c r="E662" s="13" t="str">
        <f>+HYPERLINK("http://trademark.i-assist.jp/data/china/image_1915th/80841628.pdf","80841628")</f>
        <v>80841628</v>
      </c>
      <c r="F662" s="9" t="s">
        <v>1878</v>
      </c>
      <c r="G662" s="9" t="s">
        <v>1867</v>
      </c>
      <c r="H662" s="9" t="s">
        <v>1879</v>
      </c>
      <c r="I662" s="10">
        <v>45545</v>
      </c>
    </row>
    <row r="663" spans="1:9" x14ac:dyDescent="0.15">
      <c r="A663" s="9">
        <v>662</v>
      </c>
      <c r="B663" s="9" t="s">
        <v>9</v>
      </c>
      <c r="C663" s="9">
        <v>1915</v>
      </c>
      <c r="D663" s="10">
        <v>45639</v>
      </c>
      <c r="E663" s="13" t="str">
        <f>+HYPERLINK("http://trademark.i-assist.jp/data/china/image_1915th/80841681.pdf","80841681")</f>
        <v>80841681</v>
      </c>
      <c r="F663" s="9" t="s">
        <v>1880</v>
      </c>
      <c r="G663" s="9" t="s">
        <v>1881</v>
      </c>
      <c r="H663" s="9" t="s">
        <v>1882</v>
      </c>
      <c r="I663" s="10">
        <v>45545</v>
      </c>
    </row>
    <row r="664" spans="1:9" x14ac:dyDescent="0.15">
      <c r="A664" s="9">
        <v>663</v>
      </c>
      <c r="B664" s="9" t="s">
        <v>9</v>
      </c>
      <c r="C664" s="9">
        <v>1915</v>
      </c>
      <c r="D664" s="10">
        <v>45639</v>
      </c>
      <c r="E664" s="13" t="str">
        <f>+HYPERLINK("http://trademark.i-assist.jp/data/china/image_1915th/80841932.pdf","80841932")</f>
        <v>80841932</v>
      </c>
      <c r="F664" s="12" t="s">
        <v>1883</v>
      </c>
      <c r="G664" s="9" t="s">
        <v>58</v>
      </c>
      <c r="H664" s="9" t="s">
        <v>1884</v>
      </c>
      <c r="I664" s="10">
        <v>45545</v>
      </c>
    </row>
    <row r="665" spans="1:9" x14ac:dyDescent="0.15">
      <c r="A665" s="9">
        <v>664</v>
      </c>
      <c r="B665" s="9" t="s">
        <v>9</v>
      </c>
      <c r="C665" s="9">
        <v>1915</v>
      </c>
      <c r="D665" s="10">
        <v>45639</v>
      </c>
      <c r="E665" s="13" t="str">
        <f>+HYPERLINK("http://trademark.i-assist.jp/data/china/image_1915th/80842074.pdf","80842074")</f>
        <v>80842074</v>
      </c>
      <c r="F665" s="12" t="s">
        <v>1885</v>
      </c>
      <c r="G665" s="9" t="s">
        <v>1886</v>
      </c>
      <c r="H665" s="9" t="s">
        <v>1887</v>
      </c>
      <c r="I665" s="10">
        <v>45545</v>
      </c>
    </row>
    <row r="666" spans="1:9" x14ac:dyDescent="0.15">
      <c r="A666" s="9">
        <v>665</v>
      </c>
      <c r="B666" s="9" t="s">
        <v>9</v>
      </c>
      <c r="C666" s="9">
        <v>1915</v>
      </c>
      <c r="D666" s="10">
        <v>45639</v>
      </c>
      <c r="E666" s="13" t="str">
        <f>+HYPERLINK("http://trademark.i-assist.jp/data/china/image_1915th/80842090.pdf","80842090")</f>
        <v>80842090</v>
      </c>
      <c r="F666" s="9" t="s">
        <v>1888</v>
      </c>
      <c r="G666" s="9" t="s">
        <v>1889</v>
      </c>
      <c r="H666" s="9" t="s">
        <v>1890</v>
      </c>
      <c r="I666" s="10">
        <v>45545</v>
      </c>
    </row>
    <row r="667" spans="1:9" x14ac:dyDescent="0.15">
      <c r="A667" s="9">
        <v>666</v>
      </c>
      <c r="B667" s="9" t="s">
        <v>9</v>
      </c>
      <c r="C667" s="9">
        <v>1915</v>
      </c>
      <c r="D667" s="10">
        <v>45639</v>
      </c>
      <c r="E667" s="13" t="str">
        <f>+HYPERLINK("http://trademark.i-assist.jp/data/china/image_1915th/80842115.pdf","80842115")</f>
        <v>80842115</v>
      </c>
      <c r="F667" s="9" t="s">
        <v>1891</v>
      </c>
      <c r="G667" s="9" t="s">
        <v>1892</v>
      </c>
      <c r="H667" s="9" t="s">
        <v>1893</v>
      </c>
      <c r="I667" s="10">
        <v>45545</v>
      </c>
    </row>
    <row r="668" spans="1:9" x14ac:dyDescent="0.15">
      <c r="A668" s="9">
        <v>667</v>
      </c>
      <c r="B668" s="9" t="s">
        <v>9</v>
      </c>
      <c r="C668" s="9">
        <v>1915</v>
      </c>
      <c r="D668" s="10">
        <v>45639</v>
      </c>
      <c r="E668" s="13" t="str">
        <f>+HYPERLINK("http://trademark.i-assist.jp/data/china/image_1915th/80842450.pdf","80842450")</f>
        <v>80842450</v>
      </c>
      <c r="F668" s="12" t="s">
        <v>1894</v>
      </c>
      <c r="G668" s="12" t="s">
        <v>1895</v>
      </c>
      <c r="H668" s="9" t="s">
        <v>1896</v>
      </c>
      <c r="I668" s="10">
        <v>45545</v>
      </c>
    </row>
    <row r="669" spans="1:9" x14ac:dyDescent="0.15">
      <c r="A669" s="9">
        <v>668</v>
      </c>
      <c r="B669" s="9" t="s">
        <v>9</v>
      </c>
      <c r="C669" s="9">
        <v>1915</v>
      </c>
      <c r="D669" s="10">
        <v>45639</v>
      </c>
      <c r="E669" s="13" t="str">
        <f>+HYPERLINK("http://trademark.i-assist.jp/data/china/image_1915th/80843061.pdf","80843061")</f>
        <v>80843061</v>
      </c>
      <c r="F669" s="9" t="s">
        <v>1897</v>
      </c>
      <c r="G669" s="9" t="s">
        <v>1898</v>
      </c>
      <c r="H669" s="9" t="s">
        <v>1899</v>
      </c>
      <c r="I669" s="10">
        <v>45545</v>
      </c>
    </row>
    <row r="670" spans="1:9" x14ac:dyDescent="0.15">
      <c r="A670" s="9">
        <v>669</v>
      </c>
      <c r="B670" s="9" t="s">
        <v>9</v>
      </c>
      <c r="C670" s="9">
        <v>1915</v>
      </c>
      <c r="D670" s="10">
        <v>45639</v>
      </c>
      <c r="E670" s="13" t="str">
        <f>+HYPERLINK("http://trademark.i-assist.jp/data/china/image_1915th/80843186.pdf","80843186")</f>
        <v>80843186</v>
      </c>
      <c r="F670" s="9" t="s">
        <v>1900</v>
      </c>
      <c r="G670" s="9" t="s">
        <v>1901</v>
      </c>
      <c r="H670" s="9" t="s">
        <v>1902</v>
      </c>
      <c r="I670" s="10">
        <v>45545</v>
      </c>
    </row>
    <row r="671" spans="1:9" x14ac:dyDescent="0.15">
      <c r="A671" s="9">
        <v>670</v>
      </c>
      <c r="B671" s="9" t="s">
        <v>9</v>
      </c>
      <c r="C671" s="9">
        <v>1915</v>
      </c>
      <c r="D671" s="10">
        <v>45639</v>
      </c>
      <c r="E671" s="13" t="str">
        <f>+HYPERLINK("http://trademark.i-assist.jp/data/china/image_1915th/80843423.pdf","80843423")</f>
        <v>80843423</v>
      </c>
      <c r="F671" s="9" t="s">
        <v>1903</v>
      </c>
      <c r="G671" s="9" t="s">
        <v>1904</v>
      </c>
      <c r="H671" s="9" t="s">
        <v>1905</v>
      </c>
      <c r="I671" s="10">
        <v>45545</v>
      </c>
    </row>
    <row r="672" spans="1:9" x14ac:dyDescent="0.15">
      <c r="A672" s="9">
        <v>671</v>
      </c>
      <c r="B672" s="9" t="s">
        <v>9</v>
      </c>
      <c r="C672" s="9">
        <v>1915</v>
      </c>
      <c r="D672" s="10">
        <v>45639</v>
      </c>
      <c r="E672" s="13" t="str">
        <f>+HYPERLINK("http://trademark.i-assist.jp/data/china/image_1915th/80843950.pdf","80843950")</f>
        <v>80843950</v>
      </c>
      <c r="F672" s="9" t="s">
        <v>1906</v>
      </c>
      <c r="G672" s="9" t="s">
        <v>1907</v>
      </c>
      <c r="H672" s="9" t="s">
        <v>1908</v>
      </c>
      <c r="I672" s="10">
        <v>45545</v>
      </c>
    </row>
    <row r="673" spans="1:9" x14ac:dyDescent="0.15">
      <c r="A673" s="9">
        <v>672</v>
      </c>
      <c r="B673" s="9" t="s">
        <v>9</v>
      </c>
      <c r="C673" s="9">
        <v>1915</v>
      </c>
      <c r="D673" s="10">
        <v>45639</v>
      </c>
      <c r="E673" s="13" t="str">
        <f>+HYPERLINK("http://trademark.i-assist.jp/data/china/image_1915th/80844054.pdf","80844054")</f>
        <v>80844054</v>
      </c>
      <c r="F673" s="9" t="s">
        <v>1909</v>
      </c>
      <c r="G673" s="9" t="s">
        <v>1910</v>
      </c>
      <c r="H673" s="9" t="s">
        <v>1911</v>
      </c>
      <c r="I673" s="10">
        <v>45545</v>
      </c>
    </row>
    <row r="674" spans="1:9" x14ac:dyDescent="0.15">
      <c r="A674" s="9">
        <v>673</v>
      </c>
      <c r="B674" s="9" t="s">
        <v>9</v>
      </c>
      <c r="C674" s="9">
        <v>1915</v>
      </c>
      <c r="D674" s="10">
        <v>45639</v>
      </c>
      <c r="E674" s="13" t="str">
        <f>+HYPERLINK("http://trademark.i-assist.jp/data/china/image_1915th/80844079.pdf","80844079")</f>
        <v>80844079</v>
      </c>
      <c r="F674" s="9" t="s">
        <v>1912</v>
      </c>
      <c r="G674" s="9" t="s">
        <v>1913</v>
      </c>
      <c r="H674" s="9" t="s">
        <v>1914</v>
      </c>
      <c r="I674" s="10">
        <v>45545</v>
      </c>
    </row>
    <row r="675" spans="1:9" x14ac:dyDescent="0.15">
      <c r="A675" s="9">
        <v>674</v>
      </c>
      <c r="B675" s="9" t="s">
        <v>9</v>
      </c>
      <c r="C675" s="9">
        <v>1915</v>
      </c>
      <c r="D675" s="10">
        <v>45639</v>
      </c>
      <c r="E675" s="13" t="str">
        <f>+HYPERLINK("http://trademark.i-assist.jp/data/china/image_1915th/80844321.pdf","80844321")</f>
        <v>80844321</v>
      </c>
      <c r="F675" s="9" t="s">
        <v>1915</v>
      </c>
      <c r="G675" s="9" t="s">
        <v>1916</v>
      </c>
      <c r="H675" s="9" t="s">
        <v>1917</v>
      </c>
      <c r="I675" s="10">
        <v>45545</v>
      </c>
    </row>
    <row r="676" spans="1:9" x14ac:dyDescent="0.15">
      <c r="A676" s="9">
        <v>675</v>
      </c>
      <c r="B676" s="9" t="s">
        <v>9</v>
      </c>
      <c r="C676" s="9">
        <v>1915</v>
      </c>
      <c r="D676" s="10">
        <v>45639</v>
      </c>
      <c r="E676" s="13" t="str">
        <f>+HYPERLINK("http://trademark.i-assist.jp/data/china/image_1915th/80844346.pdf","80844346")</f>
        <v>80844346</v>
      </c>
      <c r="F676" s="12" t="s">
        <v>1918</v>
      </c>
      <c r="G676" s="9" t="s">
        <v>1919</v>
      </c>
      <c r="H676" s="9" t="s">
        <v>1920</v>
      </c>
      <c r="I676" s="10">
        <v>45545</v>
      </c>
    </row>
    <row r="677" spans="1:9" x14ac:dyDescent="0.15">
      <c r="A677" s="9">
        <v>676</v>
      </c>
      <c r="B677" s="9" t="s">
        <v>9</v>
      </c>
      <c r="C677" s="9">
        <v>1915</v>
      </c>
      <c r="D677" s="10">
        <v>45639</v>
      </c>
      <c r="E677" s="13" t="str">
        <f>+HYPERLINK("http://trademark.i-assist.jp/data/china/image_1915th/80844517.pdf","80844517")</f>
        <v>80844517</v>
      </c>
      <c r="F677" s="9" t="s">
        <v>1921</v>
      </c>
      <c r="G677" s="9" t="s">
        <v>1922</v>
      </c>
      <c r="H677" s="12" t="s">
        <v>1923</v>
      </c>
      <c r="I677" s="10">
        <v>45545</v>
      </c>
    </row>
    <row r="678" spans="1:9" x14ac:dyDescent="0.15">
      <c r="A678" s="9">
        <v>677</v>
      </c>
      <c r="B678" s="9" t="s">
        <v>9</v>
      </c>
      <c r="C678" s="9">
        <v>1915</v>
      </c>
      <c r="D678" s="10">
        <v>45639</v>
      </c>
      <c r="E678" s="13" t="str">
        <f>+HYPERLINK("http://trademark.i-assist.jp/data/china/image_1915th/80844532.pdf","80844532")</f>
        <v>80844532</v>
      </c>
      <c r="F678" s="9" t="s">
        <v>1924</v>
      </c>
      <c r="G678" s="12" t="s">
        <v>1925</v>
      </c>
      <c r="H678" s="9" t="s">
        <v>1926</v>
      </c>
      <c r="I678" s="10">
        <v>45545</v>
      </c>
    </row>
    <row r="679" spans="1:9" x14ac:dyDescent="0.15">
      <c r="A679" s="9">
        <v>678</v>
      </c>
      <c r="B679" s="9" t="s">
        <v>9</v>
      </c>
      <c r="C679" s="9">
        <v>1915</v>
      </c>
      <c r="D679" s="10">
        <v>45639</v>
      </c>
      <c r="E679" s="13" t="str">
        <f>+HYPERLINK("http://trademark.i-assist.jp/data/china/image_1915th/80844748.pdf","80844748")</f>
        <v>80844748</v>
      </c>
      <c r="F679" s="9" t="s">
        <v>1927</v>
      </c>
      <c r="G679" s="9" t="s">
        <v>1928</v>
      </c>
      <c r="H679" s="9" t="s">
        <v>1929</v>
      </c>
      <c r="I679" s="10">
        <v>45545</v>
      </c>
    </row>
    <row r="680" spans="1:9" x14ac:dyDescent="0.15">
      <c r="A680" s="9">
        <v>679</v>
      </c>
      <c r="B680" s="9" t="s">
        <v>9</v>
      </c>
      <c r="C680" s="9">
        <v>1915</v>
      </c>
      <c r="D680" s="10">
        <v>45639</v>
      </c>
      <c r="E680" s="13" t="str">
        <f>+HYPERLINK("http://trademark.i-assist.jp/data/china/image_1915th/80845247.pdf","80845247")</f>
        <v>80845247</v>
      </c>
      <c r="F680" s="9" t="s">
        <v>1930</v>
      </c>
      <c r="G680" s="9" t="s">
        <v>1931</v>
      </c>
      <c r="H680" s="9" t="s">
        <v>1932</v>
      </c>
      <c r="I680" s="10">
        <v>45545</v>
      </c>
    </row>
    <row r="681" spans="1:9" x14ac:dyDescent="0.15">
      <c r="A681" s="9">
        <v>680</v>
      </c>
      <c r="B681" s="9" t="s">
        <v>9</v>
      </c>
      <c r="C681" s="9">
        <v>1915</v>
      </c>
      <c r="D681" s="10">
        <v>45639</v>
      </c>
      <c r="E681" s="13" t="str">
        <f>+HYPERLINK("http://trademark.i-assist.jp/data/china/image_1915th/80845425.pdf","80845425")</f>
        <v>80845425</v>
      </c>
      <c r="F681" s="9" t="s">
        <v>1933</v>
      </c>
      <c r="G681" s="9" t="s">
        <v>1934</v>
      </c>
      <c r="H681" s="9" t="s">
        <v>1935</v>
      </c>
      <c r="I681" s="10">
        <v>45545</v>
      </c>
    </row>
    <row r="682" spans="1:9" x14ac:dyDescent="0.15">
      <c r="A682" s="9">
        <v>681</v>
      </c>
      <c r="B682" s="9" t="s">
        <v>9</v>
      </c>
      <c r="C682" s="9">
        <v>1915</v>
      </c>
      <c r="D682" s="10">
        <v>45639</v>
      </c>
      <c r="E682" s="13" t="str">
        <f>+HYPERLINK("http://trademark.i-assist.jp/data/china/image_1915th/80845627.pdf","80845627")</f>
        <v>80845627</v>
      </c>
      <c r="F682" s="9" t="s">
        <v>1936</v>
      </c>
      <c r="G682" s="9" t="s">
        <v>1937</v>
      </c>
      <c r="H682" s="12" t="s">
        <v>1938</v>
      </c>
      <c r="I682" s="10">
        <v>45545</v>
      </c>
    </row>
    <row r="683" spans="1:9" x14ac:dyDescent="0.15">
      <c r="A683" s="9">
        <v>682</v>
      </c>
      <c r="B683" s="9" t="s">
        <v>9</v>
      </c>
      <c r="C683" s="9">
        <v>1915</v>
      </c>
      <c r="D683" s="10">
        <v>45639</v>
      </c>
      <c r="E683" s="13" t="str">
        <f>+HYPERLINK("http://trademark.i-assist.jp/data/china/image_1915th/80845798.pdf","80845798")</f>
        <v>80845798</v>
      </c>
      <c r="F683" s="9" t="s">
        <v>1939</v>
      </c>
      <c r="G683" s="9" t="s">
        <v>1940</v>
      </c>
      <c r="H683" s="9" t="s">
        <v>1941</v>
      </c>
      <c r="I683" s="10">
        <v>45545</v>
      </c>
    </row>
    <row r="684" spans="1:9" x14ac:dyDescent="0.15">
      <c r="A684" s="9">
        <v>683</v>
      </c>
      <c r="B684" s="9" t="s">
        <v>9</v>
      </c>
      <c r="C684" s="9">
        <v>1915</v>
      </c>
      <c r="D684" s="10">
        <v>45639</v>
      </c>
      <c r="E684" s="13" t="str">
        <f>+HYPERLINK("http://trademark.i-assist.jp/data/china/image_1915th/80846371.pdf","80846371")</f>
        <v>80846371</v>
      </c>
      <c r="F684" s="9" t="s">
        <v>1942</v>
      </c>
      <c r="G684" s="12" t="s">
        <v>210</v>
      </c>
      <c r="H684" s="9" t="s">
        <v>1943</v>
      </c>
      <c r="I684" s="10">
        <v>45545</v>
      </c>
    </row>
    <row r="685" spans="1:9" x14ac:dyDescent="0.15">
      <c r="A685" s="9">
        <v>684</v>
      </c>
      <c r="B685" s="9" t="s">
        <v>9</v>
      </c>
      <c r="C685" s="9">
        <v>1915</v>
      </c>
      <c r="D685" s="10">
        <v>45639</v>
      </c>
      <c r="E685" s="13" t="str">
        <f>+HYPERLINK("http://trademark.i-assist.jp/data/china/image_1915th/80846828.pdf","80846828")</f>
        <v>80846828</v>
      </c>
      <c r="F685" s="9" t="s">
        <v>1944</v>
      </c>
      <c r="G685" s="9" t="s">
        <v>1940</v>
      </c>
      <c r="H685" s="9" t="s">
        <v>1945</v>
      </c>
      <c r="I685" s="10">
        <v>45545</v>
      </c>
    </row>
    <row r="686" spans="1:9" x14ac:dyDescent="0.15">
      <c r="A686" s="9">
        <v>685</v>
      </c>
      <c r="B686" s="9" t="s">
        <v>9</v>
      </c>
      <c r="C686" s="9">
        <v>1915</v>
      </c>
      <c r="D686" s="10">
        <v>45639</v>
      </c>
      <c r="E686" s="13" t="str">
        <f>+HYPERLINK("http://trademark.i-assist.jp/data/china/image_1915th/80847103.pdf","80847103")</f>
        <v>80847103</v>
      </c>
      <c r="F686" s="9" t="s">
        <v>1946</v>
      </c>
      <c r="G686" s="9" t="s">
        <v>1947</v>
      </c>
      <c r="H686" s="9" t="s">
        <v>13</v>
      </c>
      <c r="I686" s="10">
        <v>45545</v>
      </c>
    </row>
    <row r="687" spans="1:9" x14ac:dyDescent="0.15">
      <c r="A687" s="9">
        <v>686</v>
      </c>
      <c r="B687" s="9" t="s">
        <v>9</v>
      </c>
      <c r="C687" s="9">
        <v>1915</v>
      </c>
      <c r="D687" s="10">
        <v>45639</v>
      </c>
      <c r="E687" s="13" t="str">
        <f>+HYPERLINK("http://trademark.i-assist.jp/data/china/image_1915th/80847658.pdf","80847658")</f>
        <v>80847658</v>
      </c>
      <c r="F687" s="12" t="s">
        <v>1948</v>
      </c>
      <c r="G687" s="12" t="s">
        <v>1949</v>
      </c>
      <c r="H687" s="9" t="s">
        <v>1950</v>
      </c>
      <c r="I687" s="10">
        <v>45545</v>
      </c>
    </row>
    <row r="688" spans="1:9" x14ac:dyDescent="0.15">
      <c r="A688" s="9">
        <v>687</v>
      </c>
      <c r="B688" s="9" t="s">
        <v>9</v>
      </c>
      <c r="C688" s="9">
        <v>1915</v>
      </c>
      <c r="D688" s="10">
        <v>45639</v>
      </c>
      <c r="E688" s="13" t="str">
        <f>+HYPERLINK("http://trademark.i-assist.jp/data/china/image_1915th/80847679.pdf","80847679")</f>
        <v>80847679</v>
      </c>
      <c r="F688" s="9" t="s">
        <v>1951</v>
      </c>
      <c r="G688" s="9" t="s">
        <v>1952</v>
      </c>
      <c r="H688" s="9" t="s">
        <v>1953</v>
      </c>
      <c r="I688" s="10">
        <v>45545</v>
      </c>
    </row>
    <row r="689" spans="1:9" x14ac:dyDescent="0.15">
      <c r="A689" s="9">
        <v>688</v>
      </c>
      <c r="B689" s="9" t="s">
        <v>9</v>
      </c>
      <c r="C689" s="9">
        <v>1915</v>
      </c>
      <c r="D689" s="10">
        <v>45639</v>
      </c>
      <c r="E689" s="13" t="str">
        <f>+HYPERLINK("http://trademark.i-assist.jp/data/china/image_1915th/80848691.pdf","80848691")</f>
        <v>80848691</v>
      </c>
      <c r="F689" s="9" t="s">
        <v>1954</v>
      </c>
      <c r="G689" s="9" t="s">
        <v>1955</v>
      </c>
      <c r="H689" s="9" t="s">
        <v>1956</v>
      </c>
      <c r="I689" s="10">
        <v>45545</v>
      </c>
    </row>
    <row r="690" spans="1:9" x14ac:dyDescent="0.15">
      <c r="A690" s="9">
        <v>689</v>
      </c>
      <c r="B690" s="9" t="s">
        <v>9</v>
      </c>
      <c r="C690" s="9">
        <v>1915</v>
      </c>
      <c r="D690" s="10">
        <v>45639</v>
      </c>
      <c r="E690" s="13" t="str">
        <f>+HYPERLINK("http://trademark.i-assist.jp/data/china/image_1915th/80848773.pdf","80848773")</f>
        <v>80848773</v>
      </c>
      <c r="F690" s="9" t="s">
        <v>1957</v>
      </c>
      <c r="G690" s="9" t="s">
        <v>1958</v>
      </c>
      <c r="H690" s="9" t="s">
        <v>1959</v>
      </c>
      <c r="I690" s="10">
        <v>45545</v>
      </c>
    </row>
    <row r="691" spans="1:9" x14ac:dyDescent="0.15">
      <c r="A691" s="9">
        <v>690</v>
      </c>
      <c r="B691" s="9" t="s">
        <v>9</v>
      </c>
      <c r="C691" s="9">
        <v>1915</v>
      </c>
      <c r="D691" s="10">
        <v>45639</v>
      </c>
      <c r="E691" s="13" t="str">
        <f>+HYPERLINK("http://trademark.i-assist.jp/data/china/image_1915th/80848853.pdf","80848853")</f>
        <v>80848853</v>
      </c>
      <c r="F691" s="12" t="s">
        <v>1960</v>
      </c>
      <c r="G691" s="12" t="s">
        <v>1961</v>
      </c>
      <c r="H691" s="9" t="s">
        <v>1962</v>
      </c>
      <c r="I691" s="10">
        <v>45545</v>
      </c>
    </row>
    <row r="692" spans="1:9" x14ac:dyDescent="0.15">
      <c r="A692" s="9">
        <v>691</v>
      </c>
      <c r="B692" s="9" t="s">
        <v>9</v>
      </c>
      <c r="C692" s="9">
        <v>1915</v>
      </c>
      <c r="D692" s="10">
        <v>45639</v>
      </c>
      <c r="E692" s="13" t="str">
        <f>+HYPERLINK("http://trademark.i-assist.jp/data/china/image_1915th/80849315.pdf","80849315")</f>
        <v>80849315</v>
      </c>
      <c r="F692" s="9" t="s">
        <v>1963</v>
      </c>
      <c r="G692" s="12" t="s">
        <v>1964</v>
      </c>
      <c r="H692" s="9" t="s">
        <v>1965</v>
      </c>
      <c r="I692" s="10">
        <v>45545</v>
      </c>
    </row>
    <row r="693" spans="1:9" x14ac:dyDescent="0.15">
      <c r="A693" s="9">
        <v>692</v>
      </c>
      <c r="B693" s="9" t="s">
        <v>9</v>
      </c>
      <c r="C693" s="9">
        <v>1915</v>
      </c>
      <c r="D693" s="10">
        <v>45639</v>
      </c>
      <c r="E693" s="13" t="str">
        <f>+HYPERLINK("http://trademark.i-assist.jp/data/china/image_1915th/80849624.pdf","80849624")</f>
        <v>80849624</v>
      </c>
      <c r="F693" s="12" t="s">
        <v>1966</v>
      </c>
      <c r="G693" s="9" t="s">
        <v>1901</v>
      </c>
      <c r="H693" s="12" t="s">
        <v>1967</v>
      </c>
      <c r="I693" s="10">
        <v>45545</v>
      </c>
    </row>
    <row r="694" spans="1:9" x14ac:dyDescent="0.15">
      <c r="A694" s="9">
        <v>693</v>
      </c>
      <c r="B694" s="9" t="s">
        <v>9</v>
      </c>
      <c r="C694" s="9">
        <v>1915</v>
      </c>
      <c r="D694" s="10">
        <v>45639</v>
      </c>
      <c r="E694" s="13" t="str">
        <f>+HYPERLINK("http://trademark.i-assist.jp/data/china/image_1915th/80850236.pdf","80850236")</f>
        <v>80850236</v>
      </c>
      <c r="F694" s="9" t="s">
        <v>1968</v>
      </c>
      <c r="G694" s="12" t="s">
        <v>1969</v>
      </c>
      <c r="H694" s="9" t="s">
        <v>1970</v>
      </c>
      <c r="I694" s="10">
        <v>45545</v>
      </c>
    </row>
    <row r="695" spans="1:9" x14ac:dyDescent="0.15">
      <c r="A695" s="9">
        <v>694</v>
      </c>
      <c r="B695" s="9" t="s">
        <v>9</v>
      </c>
      <c r="C695" s="9">
        <v>1915</v>
      </c>
      <c r="D695" s="10">
        <v>45639</v>
      </c>
      <c r="E695" s="13" t="str">
        <f>+HYPERLINK("http://trademark.i-assist.jp/data/china/image_1915th/80850248.pdf","80850248")</f>
        <v>80850248</v>
      </c>
      <c r="F695" s="9" t="s">
        <v>1971</v>
      </c>
      <c r="G695" s="12" t="s">
        <v>1972</v>
      </c>
      <c r="H695" s="9" t="s">
        <v>1973</v>
      </c>
      <c r="I695" s="10">
        <v>45545</v>
      </c>
    </row>
    <row r="696" spans="1:9" x14ac:dyDescent="0.15">
      <c r="A696" s="9">
        <v>695</v>
      </c>
      <c r="B696" s="9" t="s">
        <v>9</v>
      </c>
      <c r="C696" s="9">
        <v>1915</v>
      </c>
      <c r="D696" s="10">
        <v>45639</v>
      </c>
      <c r="E696" s="13" t="str">
        <f>+HYPERLINK("http://trademark.i-assist.jp/data/china/image_1915th/80850567.pdf","80850567")</f>
        <v>80850567</v>
      </c>
      <c r="F696" s="9" t="s">
        <v>1974</v>
      </c>
      <c r="G696" s="9" t="s">
        <v>1975</v>
      </c>
      <c r="H696" s="9" t="s">
        <v>1976</v>
      </c>
      <c r="I696" s="10">
        <v>45545</v>
      </c>
    </row>
    <row r="697" spans="1:9" x14ac:dyDescent="0.15">
      <c r="A697" s="9">
        <v>696</v>
      </c>
      <c r="B697" s="9" t="s">
        <v>9</v>
      </c>
      <c r="C697" s="9">
        <v>1915</v>
      </c>
      <c r="D697" s="10">
        <v>45639</v>
      </c>
      <c r="E697" s="13" t="str">
        <f>+HYPERLINK("http://trademark.i-assist.jp/data/china/image_1915th/80850773.pdf","80850773")</f>
        <v>80850773</v>
      </c>
      <c r="F697" s="9" t="s">
        <v>1977</v>
      </c>
      <c r="G697" s="9" t="s">
        <v>1978</v>
      </c>
      <c r="H697" s="9" t="s">
        <v>1979</v>
      </c>
      <c r="I697" s="10">
        <v>45545</v>
      </c>
    </row>
    <row r="698" spans="1:9" x14ac:dyDescent="0.15">
      <c r="A698" s="9">
        <v>697</v>
      </c>
      <c r="B698" s="9" t="s">
        <v>9</v>
      </c>
      <c r="C698" s="9">
        <v>1915</v>
      </c>
      <c r="D698" s="10">
        <v>45639</v>
      </c>
      <c r="E698" s="13" t="str">
        <f>+HYPERLINK("http://trademark.i-assist.jp/data/china/image_1915th/80851041.pdf","80851041")</f>
        <v>80851041</v>
      </c>
      <c r="F698" s="9" t="s">
        <v>1980</v>
      </c>
      <c r="G698" s="9" t="s">
        <v>1981</v>
      </c>
      <c r="H698" s="9" t="s">
        <v>1982</v>
      </c>
      <c r="I698" s="10">
        <v>45545</v>
      </c>
    </row>
    <row r="699" spans="1:9" x14ac:dyDescent="0.15">
      <c r="A699" s="9">
        <v>698</v>
      </c>
      <c r="B699" s="9" t="s">
        <v>9</v>
      </c>
      <c r="C699" s="9">
        <v>1915</v>
      </c>
      <c r="D699" s="10">
        <v>45639</v>
      </c>
      <c r="E699" s="13" t="str">
        <f>+HYPERLINK("http://trademark.i-assist.jp/data/china/image_1915th/80851276.pdf","80851276")</f>
        <v>80851276</v>
      </c>
      <c r="F699" s="9" t="s">
        <v>1983</v>
      </c>
      <c r="G699" s="12" t="s">
        <v>1984</v>
      </c>
      <c r="H699" s="9" t="s">
        <v>1985</v>
      </c>
      <c r="I699" s="10">
        <v>45545</v>
      </c>
    </row>
    <row r="700" spans="1:9" x14ac:dyDescent="0.15">
      <c r="A700" s="9">
        <v>699</v>
      </c>
      <c r="B700" s="9" t="s">
        <v>9</v>
      </c>
      <c r="C700" s="9">
        <v>1915</v>
      </c>
      <c r="D700" s="10">
        <v>45639</v>
      </c>
      <c r="E700" s="13" t="str">
        <f>+HYPERLINK("http://trademark.i-assist.jp/data/china/image_1915th/80852335.pdf","80852335")</f>
        <v>80852335</v>
      </c>
      <c r="F700" s="9" t="s">
        <v>1986</v>
      </c>
      <c r="G700" s="9" t="s">
        <v>1861</v>
      </c>
      <c r="H700" s="9" t="s">
        <v>1987</v>
      </c>
      <c r="I700" s="10">
        <v>45545</v>
      </c>
    </row>
    <row r="701" spans="1:9" x14ac:dyDescent="0.15">
      <c r="A701" s="9">
        <v>700</v>
      </c>
      <c r="B701" s="9" t="s">
        <v>9</v>
      </c>
      <c r="C701" s="9">
        <v>1915</v>
      </c>
      <c r="D701" s="10">
        <v>45639</v>
      </c>
      <c r="E701" s="13" t="str">
        <f>+HYPERLINK("http://trademark.i-assist.jp/data/china/image_1915th/80852994.pdf","80852994")</f>
        <v>80852994</v>
      </c>
      <c r="F701" s="9" t="s">
        <v>1988</v>
      </c>
      <c r="G701" s="12" t="s">
        <v>1989</v>
      </c>
      <c r="H701" s="9" t="s">
        <v>1990</v>
      </c>
      <c r="I701" s="10">
        <v>45545</v>
      </c>
    </row>
    <row r="702" spans="1:9" x14ac:dyDescent="0.15">
      <c r="A702" s="9">
        <v>701</v>
      </c>
      <c r="B702" s="9" t="s">
        <v>9</v>
      </c>
      <c r="C702" s="9">
        <v>1915</v>
      </c>
      <c r="D702" s="10">
        <v>45639</v>
      </c>
      <c r="E702" s="13" t="str">
        <f>+HYPERLINK("http://trademark.i-assist.jp/data/china/image_1915th/80853453.pdf","80853453")</f>
        <v>80853453</v>
      </c>
      <c r="F702" s="9" t="s">
        <v>1991</v>
      </c>
      <c r="G702" s="9" t="s">
        <v>1992</v>
      </c>
      <c r="H702" s="9" t="s">
        <v>1993</v>
      </c>
      <c r="I702" s="10">
        <v>45545</v>
      </c>
    </row>
    <row r="703" spans="1:9" x14ac:dyDescent="0.15">
      <c r="A703" s="9">
        <v>702</v>
      </c>
      <c r="B703" s="9" t="s">
        <v>9</v>
      </c>
      <c r="C703" s="9">
        <v>1915</v>
      </c>
      <c r="D703" s="10">
        <v>45639</v>
      </c>
      <c r="E703" s="13" t="str">
        <f>+HYPERLINK("http://trademark.i-assist.jp/data/china/image_1915th/80853503.pdf","80853503")</f>
        <v>80853503</v>
      </c>
      <c r="F703" s="9" t="s">
        <v>1994</v>
      </c>
      <c r="G703" s="12" t="s">
        <v>1984</v>
      </c>
      <c r="H703" s="9" t="s">
        <v>1995</v>
      </c>
      <c r="I703" s="10">
        <v>45545</v>
      </c>
    </row>
    <row r="704" spans="1:9" x14ac:dyDescent="0.15">
      <c r="A704" s="9">
        <v>703</v>
      </c>
      <c r="B704" s="9" t="s">
        <v>9</v>
      </c>
      <c r="C704" s="9">
        <v>1915</v>
      </c>
      <c r="D704" s="10">
        <v>45639</v>
      </c>
      <c r="E704" s="13" t="str">
        <f>+HYPERLINK("http://trademark.i-assist.jp/data/china/image_1915th/80853573.pdf","80853573")</f>
        <v>80853573</v>
      </c>
      <c r="F704" s="9" t="s">
        <v>1996</v>
      </c>
      <c r="G704" s="9" t="s">
        <v>1997</v>
      </c>
      <c r="H704" s="9" t="s">
        <v>1998</v>
      </c>
      <c r="I704" s="10">
        <v>45545</v>
      </c>
    </row>
    <row r="705" spans="1:9" x14ac:dyDescent="0.15">
      <c r="A705" s="9">
        <v>704</v>
      </c>
      <c r="B705" s="9" t="s">
        <v>9</v>
      </c>
      <c r="C705" s="9">
        <v>1915</v>
      </c>
      <c r="D705" s="10">
        <v>45639</v>
      </c>
      <c r="E705" s="13" t="str">
        <f>+HYPERLINK("http://trademark.i-assist.jp/data/china/image_1915th/80853793.pdf","80853793")</f>
        <v>80853793</v>
      </c>
      <c r="F705" s="9" t="s">
        <v>1999</v>
      </c>
      <c r="G705" s="9" t="s">
        <v>1846</v>
      </c>
      <c r="H705" s="9" t="s">
        <v>2000</v>
      </c>
      <c r="I705" s="10">
        <v>45545</v>
      </c>
    </row>
    <row r="706" spans="1:9" x14ac:dyDescent="0.15">
      <c r="A706" s="9">
        <v>705</v>
      </c>
      <c r="B706" s="9" t="s">
        <v>9</v>
      </c>
      <c r="C706" s="9">
        <v>1915</v>
      </c>
      <c r="D706" s="10">
        <v>45639</v>
      </c>
      <c r="E706" s="13" t="str">
        <f>+HYPERLINK("http://trademark.i-assist.jp/data/china/image_1915th/80854039.pdf","80854039")</f>
        <v>80854039</v>
      </c>
      <c r="F706" s="12" t="s">
        <v>2001</v>
      </c>
      <c r="G706" s="9" t="s">
        <v>56</v>
      </c>
      <c r="H706" s="9" t="s">
        <v>2002</v>
      </c>
      <c r="I706" s="10">
        <v>45545</v>
      </c>
    </row>
    <row r="707" spans="1:9" x14ac:dyDescent="0.15">
      <c r="A707" s="9">
        <v>706</v>
      </c>
      <c r="B707" s="9" t="s">
        <v>9</v>
      </c>
      <c r="C707" s="9">
        <v>1915</v>
      </c>
      <c r="D707" s="10">
        <v>45639</v>
      </c>
      <c r="E707" s="13" t="str">
        <f>+HYPERLINK("http://trademark.i-assist.jp/data/china/image_1915th/80854164.pdf","80854164")</f>
        <v>80854164</v>
      </c>
      <c r="F707" s="9" t="s">
        <v>2003</v>
      </c>
      <c r="G707" s="9" t="s">
        <v>2004</v>
      </c>
      <c r="H707" s="9" t="s">
        <v>2005</v>
      </c>
      <c r="I707" s="10">
        <v>45545</v>
      </c>
    </row>
    <row r="708" spans="1:9" x14ac:dyDescent="0.15">
      <c r="A708" s="9">
        <v>707</v>
      </c>
      <c r="B708" s="9" t="s">
        <v>9</v>
      </c>
      <c r="C708" s="9">
        <v>1915</v>
      </c>
      <c r="D708" s="10">
        <v>45639</v>
      </c>
      <c r="E708" s="13" t="str">
        <f>+HYPERLINK("http://trademark.i-assist.jp/data/china/image_1915th/80854277.pdf","80854277")</f>
        <v>80854277</v>
      </c>
      <c r="F708" s="9" t="s">
        <v>2006</v>
      </c>
      <c r="G708" s="9" t="s">
        <v>1881</v>
      </c>
      <c r="H708" s="9" t="s">
        <v>2007</v>
      </c>
      <c r="I708" s="10">
        <v>45545</v>
      </c>
    </row>
    <row r="709" spans="1:9" x14ac:dyDescent="0.15">
      <c r="A709" s="9">
        <v>708</v>
      </c>
      <c r="B709" s="9" t="s">
        <v>9</v>
      </c>
      <c r="C709" s="9">
        <v>1915</v>
      </c>
      <c r="D709" s="10">
        <v>45639</v>
      </c>
      <c r="E709" s="13" t="str">
        <f>+HYPERLINK("http://trademark.i-assist.jp/data/china/image_1915th/80854507.pdf","80854507")</f>
        <v>80854507</v>
      </c>
      <c r="F709" s="9" t="s">
        <v>2008</v>
      </c>
      <c r="G709" s="9" t="s">
        <v>2009</v>
      </c>
      <c r="H709" s="9" t="s">
        <v>2010</v>
      </c>
      <c r="I709" s="10">
        <v>45545</v>
      </c>
    </row>
    <row r="710" spans="1:9" x14ac:dyDescent="0.15">
      <c r="A710" s="9">
        <v>709</v>
      </c>
      <c r="B710" s="9" t="s">
        <v>9</v>
      </c>
      <c r="C710" s="9">
        <v>1915</v>
      </c>
      <c r="D710" s="10">
        <v>45639</v>
      </c>
      <c r="E710" s="13" t="str">
        <f>+HYPERLINK("http://trademark.i-assist.jp/data/china/image_1915th/80854601.pdf","80854601")</f>
        <v>80854601</v>
      </c>
      <c r="F710" s="9" t="s">
        <v>2011</v>
      </c>
      <c r="G710" s="9" t="s">
        <v>2012</v>
      </c>
      <c r="H710" s="9" t="s">
        <v>2013</v>
      </c>
      <c r="I710" s="10">
        <v>45545</v>
      </c>
    </row>
    <row r="711" spans="1:9" x14ac:dyDescent="0.15">
      <c r="A711" s="9">
        <v>710</v>
      </c>
      <c r="B711" s="9" t="s">
        <v>9</v>
      </c>
      <c r="C711" s="9">
        <v>1915</v>
      </c>
      <c r="D711" s="10">
        <v>45639</v>
      </c>
      <c r="E711" s="13" t="str">
        <f>+HYPERLINK("http://trademark.i-assist.jp/data/china/image_1915th/80854815.pdf","80854815")</f>
        <v>80854815</v>
      </c>
      <c r="F711" s="9" t="s">
        <v>2014</v>
      </c>
      <c r="G711" s="9" t="s">
        <v>2015</v>
      </c>
      <c r="H711" s="12" t="s">
        <v>2016</v>
      </c>
      <c r="I711" s="10">
        <v>45545</v>
      </c>
    </row>
    <row r="712" spans="1:9" x14ac:dyDescent="0.15">
      <c r="A712" s="9">
        <v>711</v>
      </c>
      <c r="B712" s="9" t="s">
        <v>9</v>
      </c>
      <c r="C712" s="9">
        <v>1915</v>
      </c>
      <c r="D712" s="10">
        <v>45639</v>
      </c>
      <c r="E712" s="13" t="str">
        <f>+HYPERLINK("http://trademark.i-assist.jp/data/china/image_1915th/80855406.pdf","80855406")</f>
        <v>80855406</v>
      </c>
      <c r="F712" s="9" t="s">
        <v>2017</v>
      </c>
      <c r="G712" s="9" t="s">
        <v>2018</v>
      </c>
      <c r="H712" s="12" t="s">
        <v>2019</v>
      </c>
      <c r="I712" s="10">
        <v>45545</v>
      </c>
    </row>
    <row r="713" spans="1:9" x14ac:dyDescent="0.15">
      <c r="A713" s="9">
        <v>712</v>
      </c>
      <c r="B713" s="9" t="s">
        <v>9</v>
      </c>
      <c r="C713" s="9">
        <v>1915</v>
      </c>
      <c r="D713" s="10">
        <v>45639</v>
      </c>
      <c r="E713" s="13" t="str">
        <f>+HYPERLINK("http://trademark.i-assist.jp/data/china/image_1915th/80855600.pdf","80855600")</f>
        <v>80855600</v>
      </c>
      <c r="F713" s="9" t="s">
        <v>2020</v>
      </c>
      <c r="G713" s="12" t="s">
        <v>2021</v>
      </c>
      <c r="H713" s="12" t="s">
        <v>2022</v>
      </c>
      <c r="I713" s="10">
        <v>45545</v>
      </c>
    </row>
    <row r="714" spans="1:9" x14ac:dyDescent="0.15">
      <c r="A714" s="9">
        <v>713</v>
      </c>
      <c r="B714" s="9" t="s">
        <v>9</v>
      </c>
      <c r="C714" s="9">
        <v>1915</v>
      </c>
      <c r="D714" s="10">
        <v>45639</v>
      </c>
      <c r="E714" s="13" t="str">
        <f>+HYPERLINK("http://trademark.i-assist.jp/data/china/image_1915th/80855801.pdf","80855801")</f>
        <v>80855801</v>
      </c>
      <c r="F714" s="12" t="s">
        <v>2023</v>
      </c>
      <c r="G714" s="9" t="s">
        <v>1931</v>
      </c>
      <c r="H714" s="9" t="s">
        <v>2024</v>
      </c>
      <c r="I714" s="10">
        <v>45545</v>
      </c>
    </row>
    <row r="715" spans="1:9" x14ac:dyDescent="0.15">
      <c r="A715" s="9">
        <v>714</v>
      </c>
      <c r="B715" s="9" t="s">
        <v>9</v>
      </c>
      <c r="C715" s="9">
        <v>1915</v>
      </c>
      <c r="D715" s="10">
        <v>45639</v>
      </c>
      <c r="E715" s="13" t="str">
        <f>+HYPERLINK("http://trademark.i-assist.jp/data/china/image_1915th/80855883.pdf","80855883")</f>
        <v>80855883</v>
      </c>
      <c r="F715" s="9" t="s">
        <v>2025</v>
      </c>
      <c r="G715" s="9" t="s">
        <v>2026</v>
      </c>
      <c r="H715" s="9" t="s">
        <v>2027</v>
      </c>
      <c r="I715" s="10">
        <v>45545</v>
      </c>
    </row>
    <row r="716" spans="1:9" x14ac:dyDescent="0.15">
      <c r="A716" s="9">
        <v>715</v>
      </c>
      <c r="B716" s="9" t="s">
        <v>9</v>
      </c>
      <c r="C716" s="9">
        <v>1915</v>
      </c>
      <c r="D716" s="10">
        <v>45639</v>
      </c>
      <c r="E716" s="13" t="str">
        <f>+HYPERLINK("http://trademark.i-assist.jp/data/china/image_1915th/80856303.pdf","80856303")</f>
        <v>80856303</v>
      </c>
      <c r="F716" s="9" t="s">
        <v>2028</v>
      </c>
      <c r="G716" s="9" t="s">
        <v>2029</v>
      </c>
      <c r="H716" s="9" t="s">
        <v>2030</v>
      </c>
      <c r="I716" s="10">
        <v>45545</v>
      </c>
    </row>
    <row r="717" spans="1:9" x14ac:dyDescent="0.15">
      <c r="A717" s="9">
        <v>716</v>
      </c>
      <c r="B717" s="9" t="s">
        <v>9</v>
      </c>
      <c r="C717" s="9">
        <v>1915</v>
      </c>
      <c r="D717" s="10">
        <v>45639</v>
      </c>
      <c r="E717" s="13" t="str">
        <f>+HYPERLINK("http://trademark.i-assist.jp/data/china/image_1915th/80856427.pdf","80856427")</f>
        <v>80856427</v>
      </c>
      <c r="F717" s="12" t="s">
        <v>2031</v>
      </c>
      <c r="G717" s="12" t="s">
        <v>2032</v>
      </c>
      <c r="H717" s="9" t="s">
        <v>2033</v>
      </c>
      <c r="I717" s="10">
        <v>45545</v>
      </c>
    </row>
    <row r="718" spans="1:9" x14ac:dyDescent="0.15">
      <c r="A718" s="9">
        <v>717</v>
      </c>
      <c r="B718" s="9" t="s">
        <v>9</v>
      </c>
      <c r="C718" s="9">
        <v>1915</v>
      </c>
      <c r="D718" s="10">
        <v>45639</v>
      </c>
      <c r="E718" s="13" t="str">
        <f>+HYPERLINK("http://trademark.i-assist.jp/data/china/image_1915th/80856512.pdf","80856512")</f>
        <v>80856512</v>
      </c>
      <c r="F718" s="12" t="s">
        <v>2034</v>
      </c>
      <c r="G718" s="9" t="s">
        <v>2035</v>
      </c>
      <c r="H718" s="9" t="s">
        <v>2036</v>
      </c>
      <c r="I718" s="10">
        <v>45545</v>
      </c>
    </row>
    <row r="719" spans="1:9" x14ac:dyDescent="0.15">
      <c r="A719" s="9">
        <v>718</v>
      </c>
      <c r="B719" s="9" t="s">
        <v>9</v>
      </c>
      <c r="C719" s="9">
        <v>1915</v>
      </c>
      <c r="D719" s="10">
        <v>45639</v>
      </c>
      <c r="E719" s="13" t="str">
        <f>+HYPERLINK("http://trademark.i-assist.jp/data/china/image_1915th/80856736.pdf","80856736")</f>
        <v>80856736</v>
      </c>
      <c r="F719" s="9" t="s">
        <v>2037</v>
      </c>
      <c r="G719" s="9" t="s">
        <v>2038</v>
      </c>
      <c r="H719" s="12" t="s">
        <v>2039</v>
      </c>
      <c r="I719" s="10">
        <v>45545</v>
      </c>
    </row>
    <row r="720" spans="1:9" x14ac:dyDescent="0.15">
      <c r="A720" s="9">
        <v>719</v>
      </c>
      <c r="B720" s="9" t="s">
        <v>9</v>
      </c>
      <c r="C720" s="9">
        <v>1915</v>
      </c>
      <c r="D720" s="10">
        <v>45639</v>
      </c>
      <c r="E720" s="13" t="str">
        <f>+HYPERLINK("http://trademark.i-assist.jp/data/china/image_1915th/80857207.pdf","80857207")</f>
        <v>80857207</v>
      </c>
      <c r="F720" s="9" t="s">
        <v>2040</v>
      </c>
      <c r="G720" s="9" t="s">
        <v>2009</v>
      </c>
      <c r="H720" s="9" t="s">
        <v>2041</v>
      </c>
      <c r="I720" s="10">
        <v>45545</v>
      </c>
    </row>
    <row r="721" spans="1:9" x14ac:dyDescent="0.15">
      <c r="A721" s="9">
        <v>720</v>
      </c>
      <c r="B721" s="9" t="s">
        <v>9</v>
      </c>
      <c r="C721" s="9">
        <v>1915</v>
      </c>
      <c r="D721" s="10">
        <v>45639</v>
      </c>
      <c r="E721" s="13" t="str">
        <f>+HYPERLINK("http://trademark.i-assist.jp/data/china/image_1915th/80857427.pdf","80857427")</f>
        <v>80857427</v>
      </c>
      <c r="F721" s="9" t="s">
        <v>2042</v>
      </c>
      <c r="G721" s="9" t="s">
        <v>1997</v>
      </c>
      <c r="H721" s="9" t="s">
        <v>2043</v>
      </c>
      <c r="I721" s="10">
        <v>45545</v>
      </c>
    </row>
    <row r="722" spans="1:9" x14ac:dyDescent="0.15">
      <c r="A722" s="9">
        <v>721</v>
      </c>
      <c r="B722" s="9" t="s">
        <v>9</v>
      </c>
      <c r="C722" s="9">
        <v>1915</v>
      </c>
      <c r="D722" s="10">
        <v>45639</v>
      </c>
      <c r="E722" s="13" t="str">
        <f>+HYPERLINK("http://trademark.i-assist.jp/data/china/image_1915th/80857458.pdf","80857458")</f>
        <v>80857458</v>
      </c>
      <c r="F722" s="9" t="s">
        <v>2044</v>
      </c>
      <c r="G722" s="9" t="s">
        <v>2045</v>
      </c>
      <c r="H722" s="9" t="s">
        <v>2046</v>
      </c>
      <c r="I722" s="10">
        <v>45545</v>
      </c>
    </row>
    <row r="723" spans="1:9" x14ac:dyDescent="0.15">
      <c r="A723" s="9">
        <v>722</v>
      </c>
      <c r="B723" s="9" t="s">
        <v>9</v>
      </c>
      <c r="C723" s="9">
        <v>1915</v>
      </c>
      <c r="D723" s="10">
        <v>45639</v>
      </c>
      <c r="E723" s="13" t="str">
        <f>+HYPERLINK("http://trademark.i-assist.jp/data/china/image_1915th/80858079.pdf","80858079")</f>
        <v>80858079</v>
      </c>
      <c r="F723" s="9" t="s">
        <v>2047</v>
      </c>
      <c r="G723" s="12" t="s">
        <v>2048</v>
      </c>
      <c r="H723" s="9" t="s">
        <v>2049</v>
      </c>
      <c r="I723" s="10">
        <v>45546</v>
      </c>
    </row>
    <row r="724" spans="1:9" x14ac:dyDescent="0.15">
      <c r="A724" s="9">
        <v>723</v>
      </c>
      <c r="B724" s="9" t="s">
        <v>9</v>
      </c>
      <c r="C724" s="9">
        <v>1915</v>
      </c>
      <c r="D724" s="10">
        <v>45639</v>
      </c>
      <c r="E724" s="13" t="str">
        <f>+HYPERLINK("http://trademark.i-assist.jp/data/china/image_1915th/80858534.pdf","80858534")</f>
        <v>80858534</v>
      </c>
      <c r="F724" s="9" t="s">
        <v>2050</v>
      </c>
      <c r="G724" s="9" t="s">
        <v>2051</v>
      </c>
      <c r="H724" s="9" t="s">
        <v>2052</v>
      </c>
      <c r="I724" s="10">
        <v>45546</v>
      </c>
    </row>
    <row r="725" spans="1:9" x14ac:dyDescent="0.15">
      <c r="A725" s="9">
        <v>724</v>
      </c>
      <c r="B725" s="9" t="s">
        <v>9</v>
      </c>
      <c r="C725" s="9">
        <v>1915</v>
      </c>
      <c r="D725" s="10">
        <v>45639</v>
      </c>
      <c r="E725" s="13" t="str">
        <f>+HYPERLINK("http://trademark.i-assist.jp/data/china/image_1915th/80859169.pdf","80859169")</f>
        <v>80859169</v>
      </c>
      <c r="F725" s="9" t="s">
        <v>2053</v>
      </c>
      <c r="G725" s="9" t="s">
        <v>2054</v>
      </c>
      <c r="H725" s="12" t="s">
        <v>2055</v>
      </c>
      <c r="I725" s="10">
        <v>45546</v>
      </c>
    </row>
    <row r="726" spans="1:9" x14ac:dyDescent="0.15">
      <c r="A726" s="9">
        <v>725</v>
      </c>
      <c r="B726" s="9" t="s">
        <v>9</v>
      </c>
      <c r="C726" s="9">
        <v>1915</v>
      </c>
      <c r="D726" s="10">
        <v>45639</v>
      </c>
      <c r="E726" s="13" t="str">
        <f>+HYPERLINK("http://trademark.i-assist.jp/data/china/image_1915th/80859380.pdf","80859380")</f>
        <v>80859380</v>
      </c>
      <c r="F726" s="9" t="s">
        <v>2056</v>
      </c>
      <c r="G726" s="9" t="s">
        <v>2057</v>
      </c>
      <c r="H726" s="9" t="s">
        <v>2058</v>
      </c>
      <c r="I726" s="10">
        <v>45546</v>
      </c>
    </row>
    <row r="727" spans="1:9" x14ac:dyDescent="0.15">
      <c r="A727" s="9">
        <v>726</v>
      </c>
      <c r="B727" s="9" t="s">
        <v>9</v>
      </c>
      <c r="C727" s="9">
        <v>1915</v>
      </c>
      <c r="D727" s="10">
        <v>45639</v>
      </c>
      <c r="E727" s="13" t="str">
        <f>+HYPERLINK("http://trademark.i-assist.jp/data/china/image_1915th/80859613.pdf","80859613")</f>
        <v>80859613</v>
      </c>
      <c r="F727" s="9" t="s">
        <v>2059</v>
      </c>
      <c r="G727" s="12" t="s">
        <v>2060</v>
      </c>
      <c r="H727" s="9" t="s">
        <v>2061</v>
      </c>
      <c r="I727" s="10">
        <v>45546</v>
      </c>
    </row>
    <row r="728" spans="1:9" x14ac:dyDescent="0.15">
      <c r="A728" s="9">
        <v>727</v>
      </c>
      <c r="B728" s="9" t="s">
        <v>9</v>
      </c>
      <c r="C728" s="9">
        <v>1915</v>
      </c>
      <c r="D728" s="10">
        <v>45639</v>
      </c>
      <c r="E728" s="13" t="str">
        <f>+HYPERLINK("http://trademark.i-assist.jp/data/china/image_1915th/80861631.pdf","80861631")</f>
        <v>80861631</v>
      </c>
      <c r="F728" s="9" t="s">
        <v>2062</v>
      </c>
      <c r="G728" s="12" t="s">
        <v>2063</v>
      </c>
      <c r="H728" s="12" t="s">
        <v>2064</v>
      </c>
      <c r="I728" s="10">
        <v>45546</v>
      </c>
    </row>
    <row r="729" spans="1:9" x14ac:dyDescent="0.15">
      <c r="A729" s="9">
        <v>728</v>
      </c>
      <c r="B729" s="9" t="s">
        <v>9</v>
      </c>
      <c r="C729" s="9">
        <v>1915</v>
      </c>
      <c r="D729" s="10">
        <v>45639</v>
      </c>
      <c r="E729" s="13" t="str">
        <f>+HYPERLINK("http://trademark.i-assist.jp/data/china/image_1915th/80862000.pdf","80862000")</f>
        <v>80862000</v>
      </c>
      <c r="F729" s="12" t="s">
        <v>2065</v>
      </c>
      <c r="G729" s="9" t="s">
        <v>2066</v>
      </c>
      <c r="H729" s="9" t="s">
        <v>2067</v>
      </c>
      <c r="I729" s="10">
        <v>45546</v>
      </c>
    </row>
    <row r="730" spans="1:9" x14ac:dyDescent="0.15">
      <c r="A730" s="9">
        <v>729</v>
      </c>
      <c r="B730" s="9" t="s">
        <v>9</v>
      </c>
      <c r="C730" s="9">
        <v>1915</v>
      </c>
      <c r="D730" s="10">
        <v>45639</v>
      </c>
      <c r="E730" s="13" t="str">
        <f>+HYPERLINK("http://trademark.i-assist.jp/data/china/image_1915th/80862484.pdf","80862484")</f>
        <v>80862484</v>
      </c>
      <c r="F730" s="9" t="s">
        <v>2068</v>
      </c>
      <c r="G730" s="12" t="s">
        <v>2069</v>
      </c>
      <c r="H730" s="9" t="s">
        <v>2070</v>
      </c>
      <c r="I730" s="10">
        <v>45546</v>
      </c>
    </row>
    <row r="731" spans="1:9" x14ac:dyDescent="0.15">
      <c r="A731" s="9">
        <v>730</v>
      </c>
      <c r="B731" s="9" t="s">
        <v>9</v>
      </c>
      <c r="C731" s="9">
        <v>1915</v>
      </c>
      <c r="D731" s="10">
        <v>45639</v>
      </c>
      <c r="E731" s="13" t="str">
        <f>+HYPERLINK("http://trademark.i-assist.jp/data/china/image_1915th/80863131.pdf","80863131")</f>
        <v>80863131</v>
      </c>
      <c r="F731" s="12" t="s">
        <v>2071</v>
      </c>
      <c r="G731" s="9" t="s">
        <v>2072</v>
      </c>
      <c r="H731" s="9" t="s">
        <v>2073</v>
      </c>
      <c r="I731" s="10">
        <v>45546</v>
      </c>
    </row>
    <row r="732" spans="1:9" x14ac:dyDescent="0.15">
      <c r="A732" s="9">
        <v>731</v>
      </c>
      <c r="B732" s="9" t="s">
        <v>9</v>
      </c>
      <c r="C732" s="9">
        <v>1915</v>
      </c>
      <c r="D732" s="10">
        <v>45639</v>
      </c>
      <c r="E732" s="13" t="str">
        <f>+HYPERLINK("http://trademark.i-assist.jp/data/china/image_1915th/80863583.pdf","80863583")</f>
        <v>80863583</v>
      </c>
      <c r="F732" s="9" t="s">
        <v>2074</v>
      </c>
      <c r="G732" s="9" t="s">
        <v>2075</v>
      </c>
      <c r="H732" s="9" t="s">
        <v>2076</v>
      </c>
      <c r="I732" s="10">
        <v>45546</v>
      </c>
    </row>
    <row r="733" spans="1:9" x14ac:dyDescent="0.15">
      <c r="A733" s="9">
        <v>732</v>
      </c>
      <c r="B733" s="9" t="s">
        <v>9</v>
      </c>
      <c r="C733" s="9">
        <v>1915</v>
      </c>
      <c r="D733" s="10">
        <v>45639</v>
      </c>
      <c r="E733" s="13" t="str">
        <f>+HYPERLINK("http://trademark.i-assist.jp/data/china/image_1915th/80863774.pdf","80863774")</f>
        <v>80863774</v>
      </c>
      <c r="F733" s="9" t="s">
        <v>2077</v>
      </c>
      <c r="G733" s="9" t="s">
        <v>2078</v>
      </c>
      <c r="H733" s="9" t="s">
        <v>2079</v>
      </c>
      <c r="I733" s="10">
        <v>45546</v>
      </c>
    </row>
    <row r="734" spans="1:9" x14ac:dyDescent="0.15">
      <c r="A734" s="9">
        <v>733</v>
      </c>
      <c r="B734" s="9" t="s">
        <v>9</v>
      </c>
      <c r="C734" s="9">
        <v>1915</v>
      </c>
      <c r="D734" s="10">
        <v>45639</v>
      </c>
      <c r="E734" s="13" t="str">
        <f>+HYPERLINK("http://trademark.i-assist.jp/data/china/image_1915th/80864241.pdf","80864241")</f>
        <v>80864241</v>
      </c>
      <c r="F734" s="9" t="s">
        <v>2080</v>
      </c>
      <c r="G734" s="9" t="s">
        <v>2081</v>
      </c>
      <c r="H734" s="9" t="s">
        <v>2082</v>
      </c>
      <c r="I734" s="10">
        <v>45546</v>
      </c>
    </row>
    <row r="735" spans="1:9" x14ac:dyDescent="0.15">
      <c r="A735" s="9">
        <v>734</v>
      </c>
      <c r="B735" s="9" t="s">
        <v>9</v>
      </c>
      <c r="C735" s="9">
        <v>1915</v>
      </c>
      <c r="D735" s="10">
        <v>45639</v>
      </c>
      <c r="E735" s="13" t="str">
        <f>+HYPERLINK("http://trademark.i-assist.jp/data/china/image_1915th/80864296.pdf","80864296")</f>
        <v>80864296</v>
      </c>
      <c r="F735" s="12" t="s">
        <v>2083</v>
      </c>
      <c r="G735" s="9" t="s">
        <v>2084</v>
      </c>
      <c r="H735" s="9" t="s">
        <v>2085</v>
      </c>
      <c r="I735" s="10">
        <v>45546</v>
      </c>
    </row>
    <row r="736" spans="1:9" x14ac:dyDescent="0.15">
      <c r="A736" s="9">
        <v>735</v>
      </c>
      <c r="B736" s="9" t="s">
        <v>9</v>
      </c>
      <c r="C736" s="9">
        <v>1915</v>
      </c>
      <c r="D736" s="10">
        <v>45639</v>
      </c>
      <c r="E736" s="13" t="str">
        <f>+HYPERLINK("http://trademark.i-assist.jp/data/china/image_1915th/80864313.pdf","80864313")</f>
        <v>80864313</v>
      </c>
      <c r="F736" s="12" t="s">
        <v>2086</v>
      </c>
      <c r="G736" s="9" t="s">
        <v>2084</v>
      </c>
      <c r="H736" s="12" t="s">
        <v>2087</v>
      </c>
      <c r="I736" s="10">
        <v>45546</v>
      </c>
    </row>
    <row r="737" spans="1:9" x14ac:dyDescent="0.15">
      <c r="A737" s="9">
        <v>736</v>
      </c>
      <c r="B737" s="9" t="s">
        <v>9</v>
      </c>
      <c r="C737" s="9">
        <v>1915</v>
      </c>
      <c r="D737" s="10">
        <v>45639</v>
      </c>
      <c r="E737" s="13" t="str">
        <f>+HYPERLINK("http://trademark.i-assist.jp/data/china/image_1915th/80864547.pdf","80864547")</f>
        <v>80864547</v>
      </c>
      <c r="F737" s="9" t="s">
        <v>2088</v>
      </c>
      <c r="G737" s="12" t="s">
        <v>2089</v>
      </c>
      <c r="H737" s="12" t="s">
        <v>2090</v>
      </c>
      <c r="I737" s="10">
        <v>45546</v>
      </c>
    </row>
    <row r="738" spans="1:9" x14ac:dyDescent="0.15">
      <c r="A738" s="9">
        <v>737</v>
      </c>
      <c r="B738" s="9" t="s">
        <v>9</v>
      </c>
      <c r="C738" s="9">
        <v>1915</v>
      </c>
      <c r="D738" s="10">
        <v>45639</v>
      </c>
      <c r="E738" s="13" t="str">
        <f>+HYPERLINK("http://trademark.i-assist.jp/data/china/image_1915th/80864894.pdf","80864894")</f>
        <v>80864894</v>
      </c>
      <c r="F738" s="9" t="s">
        <v>2091</v>
      </c>
      <c r="G738" s="9" t="s">
        <v>2092</v>
      </c>
      <c r="H738" s="9" t="s">
        <v>2093</v>
      </c>
      <c r="I738" s="10">
        <v>45546</v>
      </c>
    </row>
    <row r="739" spans="1:9" x14ac:dyDescent="0.15">
      <c r="A739" s="9">
        <v>738</v>
      </c>
      <c r="B739" s="9" t="s">
        <v>9</v>
      </c>
      <c r="C739" s="9">
        <v>1915</v>
      </c>
      <c r="D739" s="10">
        <v>45639</v>
      </c>
      <c r="E739" s="13" t="str">
        <f>+HYPERLINK("http://trademark.i-assist.jp/data/china/image_1915th/80864992.pdf","80864992")</f>
        <v>80864992</v>
      </c>
      <c r="F739" s="9" t="s">
        <v>2094</v>
      </c>
      <c r="G739" s="12" t="s">
        <v>2095</v>
      </c>
      <c r="H739" s="9" t="s">
        <v>2096</v>
      </c>
      <c r="I739" s="10">
        <v>45546</v>
      </c>
    </row>
    <row r="740" spans="1:9" x14ac:dyDescent="0.15">
      <c r="A740" s="9">
        <v>739</v>
      </c>
      <c r="B740" s="9" t="s">
        <v>9</v>
      </c>
      <c r="C740" s="9">
        <v>1915</v>
      </c>
      <c r="D740" s="10">
        <v>45639</v>
      </c>
      <c r="E740" s="13" t="str">
        <f>+HYPERLINK("http://trademark.i-assist.jp/data/china/image_1915th/80865305.pdf","80865305")</f>
        <v>80865305</v>
      </c>
      <c r="F740" s="9" t="s">
        <v>2097</v>
      </c>
      <c r="G740" s="9" t="s">
        <v>2098</v>
      </c>
      <c r="H740" s="9" t="s">
        <v>2099</v>
      </c>
      <c r="I740" s="10">
        <v>45546</v>
      </c>
    </row>
    <row r="741" spans="1:9" x14ac:dyDescent="0.15">
      <c r="A741" s="9">
        <v>740</v>
      </c>
      <c r="B741" s="9" t="s">
        <v>9</v>
      </c>
      <c r="C741" s="9">
        <v>1915</v>
      </c>
      <c r="D741" s="10">
        <v>45639</v>
      </c>
      <c r="E741" s="13" t="str">
        <f>+HYPERLINK("http://trademark.i-assist.jp/data/china/image_1915th/80865440.pdf","80865440")</f>
        <v>80865440</v>
      </c>
      <c r="F741" s="9" t="s">
        <v>2100</v>
      </c>
      <c r="G741" s="9" t="s">
        <v>2101</v>
      </c>
      <c r="H741" s="9" t="s">
        <v>2102</v>
      </c>
      <c r="I741" s="10">
        <v>45546</v>
      </c>
    </row>
    <row r="742" spans="1:9" x14ac:dyDescent="0.15">
      <c r="A742" s="9">
        <v>741</v>
      </c>
      <c r="B742" s="9" t="s">
        <v>9</v>
      </c>
      <c r="C742" s="9">
        <v>1915</v>
      </c>
      <c r="D742" s="10">
        <v>45639</v>
      </c>
      <c r="E742" s="13" t="str">
        <f>+HYPERLINK("http://trademark.i-assist.jp/data/china/image_1915th/80865501.pdf","80865501")</f>
        <v>80865501</v>
      </c>
      <c r="F742" s="9" t="s">
        <v>2103</v>
      </c>
      <c r="G742" s="9" t="s">
        <v>2104</v>
      </c>
      <c r="H742" s="9" t="s">
        <v>2105</v>
      </c>
      <c r="I742" s="10">
        <v>45546</v>
      </c>
    </row>
    <row r="743" spans="1:9" x14ac:dyDescent="0.15">
      <c r="A743" s="9">
        <v>742</v>
      </c>
      <c r="B743" s="9" t="s">
        <v>9</v>
      </c>
      <c r="C743" s="9">
        <v>1915</v>
      </c>
      <c r="D743" s="10">
        <v>45639</v>
      </c>
      <c r="E743" s="13" t="str">
        <f>+HYPERLINK("http://trademark.i-assist.jp/data/china/image_1915th/80865870.pdf","80865870")</f>
        <v>80865870</v>
      </c>
      <c r="F743" s="12" t="s">
        <v>2106</v>
      </c>
      <c r="G743" s="12" t="s">
        <v>2107</v>
      </c>
      <c r="H743" s="9" t="s">
        <v>2108</v>
      </c>
      <c r="I743" s="10">
        <v>45546</v>
      </c>
    </row>
    <row r="744" spans="1:9" x14ac:dyDescent="0.15">
      <c r="A744" s="9">
        <v>743</v>
      </c>
      <c r="B744" s="9" t="s">
        <v>9</v>
      </c>
      <c r="C744" s="9">
        <v>1915</v>
      </c>
      <c r="D744" s="10">
        <v>45639</v>
      </c>
      <c r="E744" s="13" t="str">
        <f>+HYPERLINK("http://trademark.i-assist.jp/data/china/image_1915th/80865953.pdf","80865953")</f>
        <v>80865953</v>
      </c>
      <c r="F744" s="9" t="s">
        <v>2109</v>
      </c>
      <c r="G744" s="9" t="s">
        <v>2110</v>
      </c>
      <c r="H744" s="9" t="s">
        <v>2111</v>
      </c>
      <c r="I744" s="10">
        <v>45546</v>
      </c>
    </row>
    <row r="745" spans="1:9" x14ac:dyDescent="0.15">
      <c r="A745" s="9">
        <v>744</v>
      </c>
      <c r="B745" s="9" t="s">
        <v>9</v>
      </c>
      <c r="C745" s="9">
        <v>1915</v>
      </c>
      <c r="D745" s="10">
        <v>45639</v>
      </c>
      <c r="E745" s="13" t="str">
        <f>+HYPERLINK("http://trademark.i-assist.jp/data/china/image_1915th/80866401.pdf","80866401")</f>
        <v>80866401</v>
      </c>
      <c r="F745" s="9" t="s">
        <v>2112</v>
      </c>
      <c r="G745" s="12" t="s">
        <v>2113</v>
      </c>
      <c r="H745" s="9" t="s">
        <v>2114</v>
      </c>
      <c r="I745" s="10">
        <v>45546</v>
      </c>
    </row>
    <row r="746" spans="1:9" x14ac:dyDescent="0.15">
      <c r="A746" s="9">
        <v>745</v>
      </c>
      <c r="B746" s="9" t="s">
        <v>9</v>
      </c>
      <c r="C746" s="9">
        <v>1915</v>
      </c>
      <c r="D746" s="10">
        <v>45639</v>
      </c>
      <c r="E746" s="13" t="str">
        <f>+HYPERLINK("http://trademark.i-assist.jp/data/china/image_1915th/80866443.pdf","80866443")</f>
        <v>80866443</v>
      </c>
      <c r="F746" s="9" t="s">
        <v>2115</v>
      </c>
      <c r="G746" s="12" t="s">
        <v>2116</v>
      </c>
      <c r="H746" s="9" t="s">
        <v>2117</v>
      </c>
      <c r="I746" s="10">
        <v>45546</v>
      </c>
    </row>
    <row r="747" spans="1:9" x14ac:dyDescent="0.15">
      <c r="A747" s="9">
        <v>746</v>
      </c>
      <c r="B747" s="9" t="s">
        <v>9</v>
      </c>
      <c r="C747" s="9">
        <v>1915</v>
      </c>
      <c r="D747" s="10">
        <v>45639</v>
      </c>
      <c r="E747" s="13" t="str">
        <f>+HYPERLINK("http://trademark.i-assist.jp/data/china/image_1915th/80866685.pdf","80866685")</f>
        <v>80866685</v>
      </c>
      <c r="F747" s="9" t="s">
        <v>2118</v>
      </c>
      <c r="G747" s="9" t="s">
        <v>2119</v>
      </c>
      <c r="H747" s="9" t="s">
        <v>2120</v>
      </c>
      <c r="I747" s="10">
        <v>45546</v>
      </c>
    </row>
    <row r="748" spans="1:9" x14ac:dyDescent="0.15">
      <c r="A748" s="9">
        <v>747</v>
      </c>
      <c r="B748" s="9" t="s">
        <v>9</v>
      </c>
      <c r="C748" s="9">
        <v>1915</v>
      </c>
      <c r="D748" s="10">
        <v>45639</v>
      </c>
      <c r="E748" s="13" t="str">
        <f>+HYPERLINK("http://trademark.i-assist.jp/data/china/image_1915th/80867340.pdf","80867340")</f>
        <v>80867340</v>
      </c>
      <c r="F748" s="9" t="s">
        <v>2121</v>
      </c>
      <c r="G748" s="9" t="s">
        <v>2122</v>
      </c>
      <c r="H748" s="9" t="s">
        <v>2123</v>
      </c>
      <c r="I748" s="10">
        <v>45546</v>
      </c>
    </row>
    <row r="749" spans="1:9" x14ac:dyDescent="0.15">
      <c r="A749" s="9">
        <v>748</v>
      </c>
      <c r="B749" s="9" t="s">
        <v>9</v>
      </c>
      <c r="C749" s="9">
        <v>1915</v>
      </c>
      <c r="D749" s="10">
        <v>45639</v>
      </c>
      <c r="E749" s="13" t="str">
        <f>+HYPERLINK("http://trademark.i-assist.jp/data/china/image_1915th/80867666.pdf","80867666")</f>
        <v>80867666</v>
      </c>
      <c r="F749" s="12" t="s">
        <v>2124</v>
      </c>
      <c r="G749" s="9" t="s">
        <v>2125</v>
      </c>
      <c r="H749" s="9" t="s">
        <v>2126</v>
      </c>
      <c r="I749" s="10">
        <v>45546</v>
      </c>
    </row>
    <row r="750" spans="1:9" x14ac:dyDescent="0.15">
      <c r="A750" s="9">
        <v>749</v>
      </c>
      <c r="B750" s="9" t="s">
        <v>9</v>
      </c>
      <c r="C750" s="9">
        <v>1915</v>
      </c>
      <c r="D750" s="10">
        <v>45639</v>
      </c>
      <c r="E750" s="13" t="str">
        <f>+HYPERLINK("http://trademark.i-assist.jp/data/china/image_1915th/80867693.pdf","80867693")</f>
        <v>80867693</v>
      </c>
      <c r="F750" s="12" t="s">
        <v>2127</v>
      </c>
      <c r="G750" s="9" t="s">
        <v>2128</v>
      </c>
      <c r="H750" s="9" t="s">
        <v>2129</v>
      </c>
      <c r="I750" s="10">
        <v>45546</v>
      </c>
    </row>
    <row r="751" spans="1:9" x14ac:dyDescent="0.15">
      <c r="A751" s="9">
        <v>750</v>
      </c>
      <c r="B751" s="9" t="s">
        <v>9</v>
      </c>
      <c r="C751" s="9">
        <v>1915</v>
      </c>
      <c r="D751" s="10">
        <v>45639</v>
      </c>
      <c r="E751" s="13" t="str">
        <f>+HYPERLINK("http://trademark.i-assist.jp/data/china/image_1915th/80868069.pdf","80868069")</f>
        <v>80868069</v>
      </c>
      <c r="F751" s="9" t="s">
        <v>2130</v>
      </c>
      <c r="G751" s="9" t="s">
        <v>2122</v>
      </c>
      <c r="H751" s="9" t="s">
        <v>2131</v>
      </c>
      <c r="I751" s="10">
        <v>45546</v>
      </c>
    </row>
    <row r="752" spans="1:9" x14ac:dyDescent="0.15">
      <c r="A752" s="9">
        <v>751</v>
      </c>
      <c r="B752" s="9" t="s">
        <v>9</v>
      </c>
      <c r="C752" s="9">
        <v>1915</v>
      </c>
      <c r="D752" s="10">
        <v>45639</v>
      </c>
      <c r="E752" s="13" t="str">
        <f>+HYPERLINK("http://trademark.i-assist.jp/data/china/image_1915th/80868252.pdf","80868252")</f>
        <v>80868252</v>
      </c>
      <c r="F752" s="9" t="s">
        <v>2132</v>
      </c>
      <c r="G752" s="9" t="s">
        <v>2133</v>
      </c>
      <c r="H752" s="9" t="s">
        <v>2134</v>
      </c>
      <c r="I752" s="10">
        <v>45546</v>
      </c>
    </row>
    <row r="753" spans="1:9" x14ac:dyDescent="0.15">
      <c r="A753" s="9">
        <v>752</v>
      </c>
      <c r="B753" s="9" t="s">
        <v>9</v>
      </c>
      <c r="C753" s="9">
        <v>1915</v>
      </c>
      <c r="D753" s="10">
        <v>45639</v>
      </c>
      <c r="E753" s="13" t="str">
        <f>+HYPERLINK("http://trademark.i-assist.jp/data/china/image_1915th/80868506.pdf","80868506")</f>
        <v>80868506</v>
      </c>
      <c r="F753" s="9" t="s">
        <v>2135</v>
      </c>
      <c r="G753" s="9" t="s">
        <v>2136</v>
      </c>
      <c r="H753" s="9" t="s">
        <v>2137</v>
      </c>
      <c r="I753" s="10">
        <v>45546</v>
      </c>
    </row>
    <row r="754" spans="1:9" x14ac:dyDescent="0.15">
      <c r="A754" s="9">
        <v>753</v>
      </c>
      <c r="B754" s="9" t="s">
        <v>9</v>
      </c>
      <c r="C754" s="9">
        <v>1915</v>
      </c>
      <c r="D754" s="10">
        <v>45639</v>
      </c>
      <c r="E754" s="13" t="str">
        <f>+HYPERLINK("http://trademark.i-assist.jp/data/china/image_1915th/80868697.pdf","80868697")</f>
        <v>80868697</v>
      </c>
      <c r="F754" s="9" t="s">
        <v>2138</v>
      </c>
      <c r="G754" s="9" t="s">
        <v>2139</v>
      </c>
      <c r="H754" s="9" t="s">
        <v>2140</v>
      </c>
      <c r="I754" s="10">
        <v>45546</v>
      </c>
    </row>
    <row r="755" spans="1:9" x14ac:dyDescent="0.15">
      <c r="A755" s="9">
        <v>754</v>
      </c>
      <c r="B755" s="9" t="s">
        <v>9</v>
      </c>
      <c r="C755" s="9">
        <v>1915</v>
      </c>
      <c r="D755" s="10">
        <v>45639</v>
      </c>
      <c r="E755" s="13" t="str">
        <f>+HYPERLINK("http://trademark.i-assist.jp/data/china/image_1915th/80868896.pdf","80868896")</f>
        <v>80868896</v>
      </c>
      <c r="F755" s="9" t="s">
        <v>2141</v>
      </c>
      <c r="G755" s="9" t="s">
        <v>2142</v>
      </c>
      <c r="H755" s="9" t="s">
        <v>2143</v>
      </c>
      <c r="I755" s="10">
        <v>45546</v>
      </c>
    </row>
    <row r="756" spans="1:9" x14ac:dyDescent="0.15">
      <c r="A756" s="9">
        <v>755</v>
      </c>
      <c r="B756" s="9" t="s">
        <v>9</v>
      </c>
      <c r="C756" s="9">
        <v>1915</v>
      </c>
      <c r="D756" s="10">
        <v>45639</v>
      </c>
      <c r="E756" s="13" t="str">
        <f>+HYPERLINK("http://trademark.i-assist.jp/data/china/image_1915th/80869142.pdf","80869142")</f>
        <v>80869142</v>
      </c>
      <c r="F756" s="9" t="s">
        <v>2144</v>
      </c>
      <c r="G756" s="9" t="s">
        <v>2145</v>
      </c>
      <c r="H756" s="9" t="s">
        <v>2146</v>
      </c>
      <c r="I756" s="10">
        <v>45546</v>
      </c>
    </row>
    <row r="757" spans="1:9" x14ac:dyDescent="0.15">
      <c r="A757" s="9">
        <v>756</v>
      </c>
      <c r="B757" s="9" t="s">
        <v>9</v>
      </c>
      <c r="C757" s="9">
        <v>1915</v>
      </c>
      <c r="D757" s="10">
        <v>45639</v>
      </c>
      <c r="E757" s="13" t="str">
        <f>+HYPERLINK("http://trademark.i-assist.jp/data/china/image_1915th/80869366.pdf","80869366")</f>
        <v>80869366</v>
      </c>
      <c r="F757" s="9" t="s">
        <v>2147</v>
      </c>
      <c r="G757" s="12" t="s">
        <v>2113</v>
      </c>
      <c r="H757" s="9" t="s">
        <v>2148</v>
      </c>
      <c r="I757" s="10">
        <v>45546</v>
      </c>
    </row>
    <row r="758" spans="1:9" x14ac:dyDescent="0.15">
      <c r="A758" s="9">
        <v>757</v>
      </c>
      <c r="B758" s="9" t="s">
        <v>9</v>
      </c>
      <c r="C758" s="9">
        <v>1915</v>
      </c>
      <c r="D758" s="10">
        <v>45639</v>
      </c>
      <c r="E758" s="13" t="str">
        <f>+HYPERLINK("http://trademark.i-assist.jp/data/china/image_1915th/80869725.pdf","80869725")</f>
        <v>80869725</v>
      </c>
      <c r="F758" s="12" t="s">
        <v>2149</v>
      </c>
      <c r="G758" s="9" t="s">
        <v>2122</v>
      </c>
      <c r="H758" s="9" t="s">
        <v>2150</v>
      </c>
      <c r="I758" s="10">
        <v>45546</v>
      </c>
    </row>
    <row r="759" spans="1:9" x14ac:dyDescent="0.15">
      <c r="A759" s="9">
        <v>758</v>
      </c>
      <c r="B759" s="9" t="s">
        <v>9</v>
      </c>
      <c r="C759" s="9">
        <v>1915</v>
      </c>
      <c r="D759" s="10">
        <v>45639</v>
      </c>
      <c r="E759" s="13" t="str">
        <f>+HYPERLINK("http://trademark.i-assist.jp/data/china/image_1915th/80869752.pdf","80869752")</f>
        <v>80869752</v>
      </c>
      <c r="F759" s="9" t="s">
        <v>2151</v>
      </c>
      <c r="G759" s="9" t="s">
        <v>2122</v>
      </c>
      <c r="H759" s="9" t="s">
        <v>2152</v>
      </c>
      <c r="I759" s="10">
        <v>45546</v>
      </c>
    </row>
    <row r="760" spans="1:9" x14ac:dyDescent="0.15">
      <c r="A760" s="9">
        <v>759</v>
      </c>
      <c r="B760" s="9" t="s">
        <v>9</v>
      </c>
      <c r="C760" s="9">
        <v>1915</v>
      </c>
      <c r="D760" s="10">
        <v>45639</v>
      </c>
      <c r="E760" s="13" t="str">
        <f>+HYPERLINK("http://trademark.i-assist.jp/data/china/image_1915th/80869804.pdf","80869804")</f>
        <v>80869804</v>
      </c>
      <c r="F760" s="9" t="s">
        <v>2153</v>
      </c>
      <c r="G760" s="12" t="s">
        <v>2069</v>
      </c>
      <c r="H760" s="9" t="s">
        <v>2154</v>
      </c>
      <c r="I760" s="10">
        <v>45546</v>
      </c>
    </row>
    <row r="761" spans="1:9" x14ac:dyDescent="0.15">
      <c r="A761" s="9">
        <v>760</v>
      </c>
      <c r="B761" s="9" t="s">
        <v>9</v>
      </c>
      <c r="C761" s="9">
        <v>1915</v>
      </c>
      <c r="D761" s="10">
        <v>45639</v>
      </c>
      <c r="E761" s="13" t="str">
        <f>+HYPERLINK("http://trademark.i-assist.jp/data/china/image_1915th/80870068.pdf","80870068")</f>
        <v>80870068</v>
      </c>
      <c r="F761" s="9" t="s">
        <v>2155</v>
      </c>
      <c r="G761" s="9" t="s">
        <v>2156</v>
      </c>
      <c r="H761" s="9" t="s">
        <v>2157</v>
      </c>
      <c r="I761" s="10">
        <v>45546</v>
      </c>
    </row>
    <row r="762" spans="1:9" x14ac:dyDescent="0.15">
      <c r="A762" s="9">
        <v>761</v>
      </c>
      <c r="B762" s="9" t="s">
        <v>9</v>
      </c>
      <c r="C762" s="9">
        <v>1915</v>
      </c>
      <c r="D762" s="10">
        <v>45639</v>
      </c>
      <c r="E762" s="13" t="str">
        <f>+HYPERLINK("http://trademark.i-assist.jp/data/china/image_1915th/80870307.pdf","80870307")</f>
        <v>80870307</v>
      </c>
      <c r="F762" s="9" t="s">
        <v>2158</v>
      </c>
      <c r="G762" s="9" t="s">
        <v>2159</v>
      </c>
      <c r="H762" s="9" t="s">
        <v>2160</v>
      </c>
      <c r="I762" s="10">
        <v>45546</v>
      </c>
    </row>
    <row r="763" spans="1:9" x14ac:dyDescent="0.15">
      <c r="A763" s="9">
        <v>762</v>
      </c>
      <c r="B763" s="9" t="s">
        <v>9</v>
      </c>
      <c r="C763" s="9">
        <v>1915</v>
      </c>
      <c r="D763" s="10">
        <v>45639</v>
      </c>
      <c r="E763" s="13" t="str">
        <f>+HYPERLINK("http://trademark.i-assist.jp/data/china/image_1915th/80870570.pdf","80870570")</f>
        <v>80870570</v>
      </c>
      <c r="F763" s="9" t="s">
        <v>2161</v>
      </c>
      <c r="G763" s="9" t="s">
        <v>2162</v>
      </c>
      <c r="H763" s="9" t="s">
        <v>2163</v>
      </c>
      <c r="I763" s="10">
        <v>45546</v>
      </c>
    </row>
    <row r="764" spans="1:9" x14ac:dyDescent="0.15">
      <c r="A764" s="9">
        <v>763</v>
      </c>
      <c r="B764" s="9" t="s">
        <v>9</v>
      </c>
      <c r="C764" s="9">
        <v>1915</v>
      </c>
      <c r="D764" s="10">
        <v>45639</v>
      </c>
      <c r="E764" s="13" t="str">
        <f>+HYPERLINK("http://trademark.i-assist.jp/data/china/image_1915th/80871577.pdf","80871577")</f>
        <v>80871577</v>
      </c>
      <c r="F764" s="9" t="s">
        <v>2164</v>
      </c>
      <c r="G764" s="9" t="s">
        <v>2165</v>
      </c>
      <c r="H764" s="9" t="s">
        <v>2166</v>
      </c>
      <c r="I764" s="10">
        <v>45546</v>
      </c>
    </row>
    <row r="765" spans="1:9" x14ac:dyDescent="0.15">
      <c r="A765" s="9">
        <v>764</v>
      </c>
      <c r="B765" s="9" t="s">
        <v>9</v>
      </c>
      <c r="C765" s="9">
        <v>1915</v>
      </c>
      <c r="D765" s="10">
        <v>45639</v>
      </c>
      <c r="E765" s="13" t="str">
        <f>+HYPERLINK("http://trademark.i-assist.jp/data/china/image_1915th/80872243.pdf","80872243")</f>
        <v>80872243</v>
      </c>
      <c r="F765" s="9" t="s">
        <v>2167</v>
      </c>
      <c r="G765" s="9" t="s">
        <v>2168</v>
      </c>
      <c r="H765" s="9" t="s">
        <v>2169</v>
      </c>
      <c r="I765" s="10">
        <v>45546</v>
      </c>
    </row>
    <row r="766" spans="1:9" x14ac:dyDescent="0.15">
      <c r="A766" s="9">
        <v>765</v>
      </c>
      <c r="B766" s="9" t="s">
        <v>9</v>
      </c>
      <c r="C766" s="9">
        <v>1915</v>
      </c>
      <c r="D766" s="10">
        <v>45639</v>
      </c>
      <c r="E766" s="13" t="str">
        <f>+HYPERLINK("http://trademark.i-assist.jp/data/china/image_1915th/80873152.pdf","80873152")</f>
        <v>80873152</v>
      </c>
      <c r="F766" s="9" t="s">
        <v>2170</v>
      </c>
      <c r="G766" s="9" t="s">
        <v>2171</v>
      </c>
      <c r="H766" s="9" t="s">
        <v>2172</v>
      </c>
      <c r="I766" s="10">
        <v>45546</v>
      </c>
    </row>
    <row r="767" spans="1:9" x14ac:dyDescent="0.15">
      <c r="A767" s="9">
        <v>766</v>
      </c>
      <c r="B767" s="9" t="s">
        <v>9</v>
      </c>
      <c r="C767" s="9">
        <v>1915</v>
      </c>
      <c r="D767" s="10">
        <v>45639</v>
      </c>
      <c r="E767" s="13" t="str">
        <f>+HYPERLINK("http://trademark.i-assist.jp/data/china/image_1915th/80873218.pdf","80873218")</f>
        <v>80873218</v>
      </c>
      <c r="F767" s="12" t="s">
        <v>2173</v>
      </c>
      <c r="G767" s="12" t="s">
        <v>2174</v>
      </c>
      <c r="H767" s="12" t="s">
        <v>2175</v>
      </c>
      <c r="I767" s="10">
        <v>45546</v>
      </c>
    </row>
    <row r="768" spans="1:9" x14ac:dyDescent="0.15">
      <c r="A768" s="9">
        <v>767</v>
      </c>
      <c r="B768" s="9" t="s">
        <v>9</v>
      </c>
      <c r="C768" s="9">
        <v>1915</v>
      </c>
      <c r="D768" s="10">
        <v>45639</v>
      </c>
      <c r="E768" s="13" t="str">
        <f>+HYPERLINK("http://trademark.i-assist.jp/data/china/image_1915th/80873410.pdf","80873410")</f>
        <v>80873410</v>
      </c>
      <c r="F768" s="9" t="s">
        <v>2176</v>
      </c>
      <c r="G768" s="9" t="s">
        <v>2177</v>
      </c>
      <c r="H768" s="9" t="s">
        <v>2178</v>
      </c>
      <c r="I768" s="10">
        <v>45546</v>
      </c>
    </row>
    <row r="769" spans="1:9" x14ac:dyDescent="0.15">
      <c r="A769" s="9">
        <v>768</v>
      </c>
      <c r="B769" s="9" t="s">
        <v>9</v>
      </c>
      <c r="C769" s="9">
        <v>1915</v>
      </c>
      <c r="D769" s="10">
        <v>45639</v>
      </c>
      <c r="E769" s="13" t="str">
        <f>+HYPERLINK("http://trademark.i-assist.jp/data/china/image_1915th/80874294.pdf","80874294")</f>
        <v>80874294</v>
      </c>
      <c r="F769" s="9" t="s">
        <v>2179</v>
      </c>
      <c r="G769" s="9" t="s">
        <v>2104</v>
      </c>
      <c r="H769" s="9" t="s">
        <v>2180</v>
      </c>
      <c r="I769" s="10">
        <v>45546</v>
      </c>
    </row>
    <row r="770" spans="1:9" x14ac:dyDescent="0.15">
      <c r="A770" s="9">
        <v>769</v>
      </c>
      <c r="B770" s="9" t="s">
        <v>9</v>
      </c>
      <c r="C770" s="9">
        <v>1915</v>
      </c>
      <c r="D770" s="10">
        <v>45639</v>
      </c>
      <c r="E770" s="13" t="str">
        <f>+HYPERLINK("http://trademark.i-assist.jp/data/china/image_1915th/80874499.pdf","80874499")</f>
        <v>80874499</v>
      </c>
      <c r="F770" s="9" t="s">
        <v>2181</v>
      </c>
      <c r="G770" s="9" t="s">
        <v>2182</v>
      </c>
      <c r="H770" s="9" t="s">
        <v>2183</v>
      </c>
      <c r="I770" s="10">
        <v>45546</v>
      </c>
    </row>
    <row r="771" spans="1:9" x14ac:dyDescent="0.15">
      <c r="A771" s="9">
        <v>770</v>
      </c>
      <c r="B771" s="9" t="s">
        <v>9</v>
      </c>
      <c r="C771" s="9">
        <v>1915</v>
      </c>
      <c r="D771" s="10">
        <v>45639</v>
      </c>
      <c r="E771" s="13" t="str">
        <f>+HYPERLINK("http://trademark.i-assist.jp/data/china/image_1915th/80874737.pdf","80874737")</f>
        <v>80874737</v>
      </c>
      <c r="F771" s="9" t="s">
        <v>2184</v>
      </c>
      <c r="G771" s="12" t="s">
        <v>2185</v>
      </c>
      <c r="H771" s="9" t="s">
        <v>2186</v>
      </c>
      <c r="I771" s="10">
        <v>45546</v>
      </c>
    </row>
    <row r="772" spans="1:9" x14ac:dyDescent="0.15">
      <c r="A772" s="9">
        <v>771</v>
      </c>
      <c r="B772" s="9" t="s">
        <v>9</v>
      </c>
      <c r="C772" s="9">
        <v>1915</v>
      </c>
      <c r="D772" s="10">
        <v>45639</v>
      </c>
      <c r="E772" s="13" t="str">
        <f>+HYPERLINK("http://trademark.i-assist.jp/data/china/image_1915th/80874830.pdf","80874830")</f>
        <v>80874830</v>
      </c>
      <c r="F772" s="9" t="s">
        <v>2187</v>
      </c>
      <c r="G772" s="12" t="s">
        <v>2069</v>
      </c>
      <c r="H772" s="9" t="s">
        <v>2188</v>
      </c>
      <c r="I772" s="10">
        <v>45546</v>
      </c>
    </row>
    <row r="773" spans="1:9" x14ac:dyDescent="0.15">
      <c r="A773" s="9">
        <v>772</v>
      </c>
      <c r="B773" s="9" t="s">
        <v>9</v>
      </c>
      <c r="C773" s="9">
        <v>1915</v>
      </c>
      <c r="D773" s="10">
        <v>45639</v>
      </c>
      <c r="E773" s="13" t="str">
        <f>+HYPERLINK("http://trademark.i-assist.jp/data/china/image_1915th/80874968.pdf","80874968")</f>
        <v>80874968</v>
      </c>
      <c r="F773" s="9" t="s">
        <v>2189</v>
      </c>
      <c r="G773" s="9" t="s">
        <v>2190</v>
      </c>
      <c r="H773" s="9" t="s">
        <v>2191</v>
      </c>
      <c r="I773" s="10">
        <v>45546</v>
      </c>
    </row>
    <row r="774" spans="1:9" x14ac:dyDescent="0.15">
      <c r="A774" s="9">
        <v>773</v>
      </c>
      <c r="B774" s="9" t="s">
        <v>9</v>
      </c>
      <c r="C774" s="9">
        <v>1915</v>
      </c>
      <c r="D774" s="10">
        <v>45639</v>
      </c>
      <c r="E774" s="13" t="str">
        <f>+HYPERLINK("http://trademark.i-assist.jp/data/china/image_1915th/80875130.pdf","80875130")</f>
        <v>80875130</v>
      </c>
      <c r="F774" s="9" t="s">
        <v>2192</v>
      </c>
      <c r="G774" s="9" t="s">
        <v>2193</v>
      </c>
      <c r="H774" s="9" t="s">
        <v>2194</v>
      </c>
      <c r="I774" s="10">
        <v>45546</v>
      </c>
    </row>
    <row r="775" spans="1:9" x14ac:dyDescent="0.15">
      <c r="A775" s="9">
        <v>774</v>
      </c>
      <c r="B775" s="9" t="s">
        <v>9</v>
      </c>
      <c r="C775" s="9">
        <v>1915</v>
      </c>
      <c r="D775" s="10">
        <v>45639</v>
      </c>
      <c r="E775" s="13" t="str">
        <f>+HYPERLINK("http://trademark.i-assist.jp/data/china/image_1915th/80875160.pdf","80875160")</f>
        <v>80875160</v>
      </c>
      <c r="F775" s="9" t="s">
        <v>2195</v>
      </c>
      <c r="G775" s="9" t="s">
        <v>2196</v>
      </c>
      <c r="H775" s="9" t="s">
        <v>2197</v>
      </c>
      <c r="I775" s="10">
        <v>45546</v>
      </c>
    </row>
    <row r="776" spans="1:9" x14ac:dyDescent="0.15">
      <c r="A776" s="9">
        <v>775</v>
      </c>
      <c r="B776" s="9" t="s">
        <v>9</v>
      </c>
      <c r="C776" s="9">
        <v>1915</v>
      </c>
      <c r="D776" s="10">
        <v>45639</v>
      </c>
      <c r="E776" s="13" t="str">
        <f>+HYPERLINK("http://trademark.i-assist.jp/data/china/image_1915th/80875558.pdf","80875558")</f>
        <v>80875558</v>
      </c>
      <c r="F776" s="12" t="s">
        <v>2198</v>
      </c>
      <c r="G776" s="12" t="s">
        <v>2199</v>
      </c>
      <c r="H776" s="9" t="s">
        <v>2200</v>
      </c>
      <c r="I776" s="10">
        <v>45546</v>
      </c>
    </row>
    <row r="777" spans="1:9" x14ac:dyDescent="0.15">
      <c r="A777" s="9">
        <v>776</v>
      </c>
      <c r="B777" s="9" t="s">
        <v>9</v>
      </c>
      <c r="C777" s="9">
        <v>1915</v>
      </c>
      <c r="D777" s="10">
        <v>45639</v>
      </c>
      <c r="E777" s="13" t="str">
        <f>+HYPERLINK("http://trademark.i-assist.jp/data/china/image_1915th/80875577.pdf","80875577")</f>
        <v>80875577</v>
      </c>
      <c r="F777" s="9" t="s">
        <v>2201</v>
      </c>
      <c r="G777" s="12" t="s">
        <v>2069</v>
      </c>
      <c r="H777" s="9" t="s">
        <v>2202</v>
      </c>
      <c r="I777" s="10">
        <v>45546</v>
      </c>
    </row>
    <row r="778" spans="1:9" x14ac:dyDescent="0.15">
      <c r="A778" s="9">
        <v>777</v>
      </c>
      <c r="B778" s="9" t="s">
        <v>9</v>
      </c>
      <c r="C778" s="9">
        <v>1915</v>
      </c>
      <c r="D778" s="10">
        <v>45639</v>
      </c>
      <c r="E778" s="13" t="str">
        <f>+HYPERLINK("http://trademark.i-assist.jp/data/china/image_1915th/80876273.pdf","80876273")</f>
        <v>80876273</v>
      </c>
      <c r="F778" s="9" t="s">
        <v>2203</v>
      </c>
      <c r="G778" s="12" t="s">
        <v>2204</v>
      </c>
      <c r="H778" s="9" t="s">
        <v>2205</v>
      </c>
      <c r="I778" s="10">
        <v>45546</v>
      </c>
    </row>
    <row r="779" spans="1:9" x14ac:dyDescent="0.15">
      <c r="A779" s="9">
        <v>778</v>
      </c>
      <c r="B779" s="9" t="s">
        <v>9</v>
      </c>
      <c r="C779" s="9">
        <v>1915</v>
      </c>
      <c r="D779" s="10">
        <v>45639</v>
      </c>
      <c r="E779" s="13" t="str">
        <f>+HYPERLINK("http://trademark.i-assist.jp/data/china/image_1915th/80876939.pdf","80876939")</f>
        <v>80876939</v>
      </c>
      <c r="F779" s="9" t="s">
        <v>2206</v>
      </c>
      <c r="G779" s="12" t="s">
        <v>2207</v>
      </c>
      <c r="H779" s="9" t="s">
        <v>2208</v>
      </c>
      <c r="I779" s="10">
        <v>45547</v>
      </c>
    </row>
    <row r="780" spans="1:9" x14ac:dyDescent="0.15">
      <c r="A780" s="9">
        <v>779</v>
      </c>
      <c r="B780" s="9" t="s">
        <v>9</v>
      </c>
      <c r="C780" s="9">
        <v>1915</v>
      </c>
      <c r="D780" s="10">
        <v>45639</v>
      </c>
      <c r="E780" s="13" t="str">
        <f>+HYPERLINK("http://trademark.i-assist.jp/data/china/image_1915th/80877769.pdf","80877769")</f>
        <v>80877769</v>
      </c>
      <c r="F780" s="9" t="s">
        <v>2209</v>
      </c>
      <c r="G780" s="9" t="s">
        <v>2210</v>
      </c>
      <c r="H780" s="9" t="s">
        <v>2211</v>
      </c>
      <c r="I780" s="10">
        <v>45547</v>
      </c>
    </row>
    <row r="781" spans="1:9" x14ac:dyDescent="0.15">
      <c r="A781" s="9">
        <v>780</v>
      </c>
      <c r="B781" s="9" t="s">
        <v>9</v>
      </c>
      <c r="C781" s="9">
        <v>1915</v>
      </c>
      <c r="D781" s="10">
        <v>45639</v>
      </c>
      <c r="E781" s="13" t="str">
        <f>+HYPERLINK("http://trademark.i-assist.jp/data/china/image_1915th/80878875.pdf","80878875")</f>
        <v>80878875</v>
      </c>
      <c r="F781" s="12" t="s">
        <v>15</v>
      </c>
      <c r="G781" s="9" t="s">
        <v>2212</v>
      </c>
      <c r="H781" s="9" t="s">
        <v>2213</v>
      </c>
      <c r="I781" s="10">
        <v>45547</v>
      </c>
    </row>
    <row r="782" spans="1:9" x14ac:dyDescent="0.15">
      <c r="A782" s="9">
        <v>781</v>
      </c>
      <c r="B782" s="9" t="s">
        <v>9</v>
      </c>
      <c r="C782" s="9">
        <v>1915</v>
      </c>
      <c r="D782" s="10">
        <v>45639</v>
      </c>
      <c r="E782" s="13" t="str">
        <f>+HYPERLINK("http://trademark.i-assist.jp/data/china/image_1915th/80879289.pdf","80879289")</f>
        <v>80879289</v>
      </c>
      <c r="F782" s="12" t="s">
        <v>2214</v>
      </c>
      <c r="G782" s="12" t="s">
        <v>2215</v>
      </c>
      <c r="H782" s="9" t="s">
        <v>2216</v>
      </c>
      <c r="I782" s="10">
        <v>45547</v>
      </c>
    </row>
    <row r="783" spans="1:9" x14ac:dyDescent="0.15">
      <c r="A783" s="9">
        <v>782</v>
      </c>
      <c r="B783" s="9" t="s">
        <v>9</v>
      </c>
      <c r="C783" s="9">
        <v>1915</v>
      </c>
      <c r="D783" s="10">
        <v>45639</v>
      </c>
      <c r="E783" s="13" t="str">
        <f>+HYPERLINK("http://trademark.i-assist.jp/data/china/image_1915th/80879675.pdf","80879675")</f>
        <v>80879675</v>
      </c>
      <c r="F783" s="12" t="s">
        <v>2217</v>
      </c>
      <c r="G783" s="9" t="s">
        <v>2218</v>
      </c>
      <c r="H783" s="9" t="s">
        <v>2219</v>
      </c>
      <c r="I783" s="10">
        <v>45547</v>
      </c>
    </row>
    <row r="784" spans="1:9" x14ac:dyDescent="0.15">
      <c r="A784" s="9">
        <v>783</v>
      </c>
      <c r="B784" s="9" t="s">
        <v>9</v>
      </c>
      <c r="C784" s="9">
        <v>1915</v>
      </c>
      <c r="D784" s="10">
        <v>45639</v>
      </c>
      <c r="E784" s="13" t="str">
        <f>+HYPERLINK("http://trademark.i-assist.jp/data/china/image_1915th/80879898.pdf","80879898")</f>
        <v>80879898</v>
      </c>
      <c r="F784" s="12" t="s">
        <v>2220</v>
      </c>
      <c r="G784" s="9" t="s">
        <v>2221</v>
      </c>
      <c r="H784" s="9" t="s">
        <v>2222</v>
      </c>
      <c r="I784" s="10">
        <v>45547</v>
      </c>
    </row>
    <row r="785" spans="1:9" x14ac:dyDescent="0.15">
      <c r="A785" s="9">
        <v>784</v>
      </c>
      <c r="B785" s="9" t="s">
        <v>9</v>
      </c>
      <c r="C785" s="9">
        <v>1915</v>
      </c>
      <c r="D785" s="10">
        <v>45639</v>
      </c>
      <c r="E785" s="13" t="str">
        <f>+HYPERLINK("http://trademark.i-assist.jp/data/china/image_1915th/80880234.pdf","80880234")</f>
        <v>80880234</v>
      </c>
      <c r="F785" s="9" t="s">
        <v>2223</v>
      </c>
      <c r="G785" s="9" t="s">
        <v>2224</v>
      </c>
      <c r="H785" s="9" t="s">
        <v>2225</v>
      </c>
      <c r="I785" s="10">
        <v>45547</v>
      </c>
    </row>
    <row r="786" spans="1:9" x14ac:dyDescent="0.15">
      <c r="A786" s="9">
        <v>785</v>
      </c>
      <c r="B786" s="9" t="s">
        <v>9</v>
      </c>
      <c r="C786" s="9">
        <v>1915</v>
      </c>
      <c r="D786" s="10">
        <v>45639</v>
      </c>
      <c r="E786" s="13" t="str">
        <f>+HYPERLINK("http://trademark.i-assist.jp/data/china/image_1915th/80880700.pdf","80880700")</f>
        <v>80880700</v>
      </c>
      <c r="F786" s="12" t="s">
        <v>2226</v>
      </c>
      <c r="G786" s="9" t="s">
        <v>2227</v>
      </c>
      <c r="H786" s="9" t="s">
        <v>2228</v>
      </c>
      <c r="I786" s="10">
        <v>45547</v>
      </c>
    </row>
    <row r="787" spans="1:9" x14ac:dyDescent="0.15">
      <c r="A787" s="9">
        <v>786</v>
      </c>
      <c r="B787" s="9" t="s">
        <v>9</v>
      </c>
      <c r="C787" s="9">
        <v>1915</v>
      </c>
      <c r="D787" s="10">
        <v>45639</v>
      </c>
      <c r="E787" s="13" t="str">
        <f>+HYPERLINK("http://trademark.i-assist.jp/data/china/image_1915th/80880809.pdf","80880809")</f>
        <v>80880809</v>
      </c>
      <c r="F787" s="9" t="s">
        <v>2229</v>
      </c>
      <c r="G787" s="9" t="s">
        <v>2230</v>
      </c>
      <c r="H787" s="9" t="s">
        <v>2231</v>
      </c>
      <c r="I787" s="10">
        <v>45547</v>
      </c>
    </row>
    <row r="788" spans="1:9" x14ac:dyDescent="0.15">
      <c r="A788" s="9">
        <v>787</v>
      </c>
      <c r="B788" s="9" t="s">
        <v>9</v>
      </c>
      <c r="C788" s="9">
        <v>1915</v>
      </c>
      <c r="D788" s="10">
        <v>45639</v>
      </c>
      <c r="E788" s="13" t="str">
        <f>+HYPERLINK("http://trademark.i-assist.jp/data/china/image_1915th/80881497.pdf","80881497")</f>
        <v>80881497</v>
      </c>
      <c r="F788" s="9" t="s">
        <v>2232</v>
      </c>
      <c r="G788" s="9" t="s">
        <v>2233</v>
      </c>
      <c r="H788" s="9" t="s">
        <v>2234</v>
      </c>
      <c r="I788" s="10">
        <v>45547</v>
      </c>
    </row>
    <row r="789" spans="1:9" x14ac:dyDescent="0.15">
      <c r="A789" s="9">
        <v>788</v>
      </c>
      <c r="B789" s="9" t="s">
        <v>9</v>
      </c>
      <c r="C789" s="9">
        <v>1915</v>
      </c>
      <c r="D789" s="10">
        <v>45639</v>
      </c>
      <c r="E789" s="13" t="str">
        <f>+HYPERLINK("http://trademark.i-assist.jp/data/china/image_1915th/80881947.pdf","80881947")</f>
        <v>80881947</v>
      </c>
      <c r="F789" s="12" t="s">
        <v>2235</v>
      </c>
      <c r="G789" s="12" t="s">
        <v>2236</v>
      </c>
      <c r="H789" s="12" t="s">
        <v>2237</v>
      </c>
      <c r="I789" s="10">
        <v>45547</v>
      </c>
    </row>
    <row r="790" spans="1:9" x14ac:dyDescent="0.15">
      <c r="A790" s="9">
        <v>789</v>
      </c>
      <c r="B790" s="9" t="s">
        <v>9</v>
      </c>
      <c r="C790" s="9">
        <v>1915</v>
      </c>
      <c r="D790" s="10">
        <v>45639</v>
      </c>
      <c r="E790" s="13" t="str">
        <f>+HYPERLINK("http://trademark.i-assist.jp/data/china/image_1915th/80881988.pdf","80881988")</f>
        <v>80881988</v>
      </c>
      <c r="F790" s="12" t="s">
        <v>2238</v>
      </c>
      <c r="G790" s="9" t="s">
        <v>2084</v>
      </c>
      <c r="H790" s="12" t="s">
        <v>2239</v>
      </c>
      <c r="I790" s="10">
        <v>45547</v>
      </c>
    </row>
    <row r="791" spans="1:9" x14ac:dyDescent="0.15">
      <c r="A791" s="9">
        <v>790</v>
      </c>
      <c r="B791" s="9" t="s">
        <v>9</v>
      </c>
      <c r="C791" s="9">
        <v>1915</v>
      </c>
      <c r="D791" s="10">
        <v>45639</v>
      </c>
      <c r="E791" s="13" t="str">
        <f>+HYPERLINK("http://trademark.i-assist.jp/data/china/image_1915th/80882866.pdf","80882866")</f>
        <v>80882866</v>
      </c>
      <c r="F791" s="9" t="s">
        <v>2240</v>
      </c>
      <c r="G791" s="9" t="s">
        <v>2241</v>
      </c>
      <c r="H791" s="9" t="s">
        <v>2242</v>
      </c>
      <c r="I791" s="10">
        <v>45547</v>
      </c>
    </row>
    <row r="792" spans="1:9" x14ac:dyDescent="0.15">
      <c r="A792" s="9">
        <v>791</v>
      </c>
      <c r="B792" s="9" t="s">
        <v>9</v>
      </c>
      <c r="C792" s="9">
        <v>1915</v>
      </c>
      <c r="D792" s="10">
        <v>45639</v>
      </c>
      <c r="E792" s="13" t="str">
        <f>+HYPERLINK("http://trademark.i-assist.jp/data/china/image_1915th/80884463.pdf","80884463")</f>
        <v>80884463</v>
      </c>
      <c r="F792" s="9" t="s">
        <v>2243</v>
      </c>
      <c r="G792" s="9" t="s">
        <v>2244</v>
      </c>
      <c r="H792" s="9" t="s">
        <v>2245</v>
      </c>
      <c r="I792" s="10">
        <v>45547</v>
      </c>
    </row>
    <row r="793" spans="1:9" x14ac:dyDescent="0.15">
      <c r="A793" s="9">
        <v>792</v>
      </c>
      <c r="B793" s="9" t="s">
        <v>9</v>
      </c>
      <c r="C793" s="9">
        <v>1915</v>
      </c>
      <c r="D793" s="10">
        <v>45639</v>
      </c>
      <c r="E793" s="13" t="str">
        <f>+HYPERLINK("http://trademark.i-assist.jp/data/china/image_1915th/80885261.pdf","80885261")</f>
        <v>80885261</v>
      </c>
      <c r="F793" s="9" t="s">
        <v>2246</v>
      </c>
      <c r="G793" s="9" t="s">
        <v>2247</v>
      </c>
      <c r="H793" s="9" t="s">
        <v>2248</v>
      </c>
      <c r="I793" s="10">
        <v>45547</v>
      </c>
    </row>
    <row r="794" spans="1:9" x14ac:dyDescent="0.15">
      <c r="A794" s="9">
        <v>793</v>
      </c>
      <c r="B794" s="9" t="s">
        <v>9</v>
      </c>
      <c r="C794" s="9">
        <v>1915</v>
      </c>
      <c r="D794" s="10">
        <v>45639</v>
      </c>
      <c r="E794" s="13" t="str">
        <f>+HYPERLINK("http://trademark.i-assist.jp/data/china/image_1915th/80885289.pdf","80885289")</f>
        <v>80885289</v>
      </c>
      <c r="F794" s="9" t="s">
        <v>2249</v>
      </c>
      <c r="G794" s="9" t="s">
        <v>2250</v>
      </c>
      <c r="H794" s="9" t="s">
        <v>2251</v>
      </c>
      <c r="I794" s="10">
        <v>45547</v>
      </c>
    </row>
    <row r="795" spans="1:9" x14ac:dyDescent="0.15">
      <c r="A795" s="9">
        <v>794</v>
      </c>
      <c r="B795" s="9" t="s">
        <v>9</v>
      </c>
      <c r="C795" s="9">
        <v>1915</v>
      </c>
      <c r="D795" s="10">
        <v>45639</v>
      </c>
      <c r="E795" s="13" t="str">
        <f>+HYPERLINK("http://trademark.i-assist.jp/data/china/image_1915th/80885512.pdf","80885512")</f>
        <v>80885512</v>
      </c>
      <c r="F795" s="12" t="s">
        <v>15</v>
      </c>
      <c r="G795" s="12" t="s">
        <v>2252</v>
      </c>
      <c r="H795" s="9" t="s">
        <v>2253</v>
      </c>
      <c r="I795" s="10">
        <v>45547</v>
      </c>
    </row>
    <row r="796" spans="1:9" x14ac:dyDescent="0.15">
      <c r="A796" s="9">
        <v>795</v>
      </c>
      <c r="B796" s="9" t="s">
        <v>9</v>
      </c>
      <c r="C796" s="9">
        <v>1915</v>
      </c>
      <c r="D796" s="10">
        <v>45639</v>
      </c>
      <c r="E796" s="13" t="str">
        <f>+HYPERLINK("http://trademark.i-assist.jp/data/china/image_1915th/80885650.pdf","80885650")</f>
        <v>80885650</v>
      </c>
      <c r="F796" s="9" t="s">
        <v>2254</v>
      </c>
      <c r="G796" s="9" t="s">
        <v>2255</v>
      </c>
      <c r="H796" s="9" t="s">
        <v>2256</v>
      </c>
      <c r="I796" s="10">
        <v>45547</v>
      </c>
    </row>
    <row r="797" spans="1:9" x14ac:dyDescent="0.15">
      <c r="A797" s="9">
        <v>796</v>
      </c>
      <c r="B797" s="9" t="s">
        <v>9</v>
      </c>
      <c r="C797" s="9">
        <v>1915</v>
      </c>
      <c r="D797" s="10">
        <v>45639</v>
      </c>
      <c r="E797" s="13" t="str">
        <f>+HYPERLINK("http://trademark.i-assist.jp/data/china/image_1915th/80885928.pdf","80885928")</f>
        <v>80885928</v>
      </c>
      <c r="F797" s="9" t="s">
        <v>2257</v>
      </c>
      <c r="G797" s="9" t="s">
        <v>72</v>
      </c>
      <c r="H797" s="9" t="s">
        <v>2258</v>
      </c>
      <c r="I797" s="10">
        <v>45547</v>
      </c>
    </row>
    <row r="798" spans="1:9" x14ac:dyDescent="0.15">
      <c r="A798" s="9">
        <v>797</v>
      </c>
      <c r="B798" s="9" t="s">
        <v>9</v>
      </c>
      <c r="C798" s="9">
        <v>1915</v>
      </c>
      <c r="D798" s="10">
        <v>45639</v>
      </c>
      <c r="E798" s="13" t="str">
        <f>+HYPERLINK("http://trademark.i-assist.jp/data/china/image_1915th/80886278.pdf","80886278")</f>
        <v>80886278</v>
      </c>
      <c r="F798" s="12" t="s">
        <v>2259</v>
      </c>
      <c r="G798" s="9" t="s">
        <v>2260</v>
      </c>
      <c r="H798" s="9" t="s">
        <v>2261</v>
      </c>
      <c r="I798" s="10">
        <v>45547</v>
      </c>
    </row>
    <row r="799" spans="1:9" x14ac:dyDescent="0.15">
      <c r="A799" s="9">
        <v>798</v>
      </c>
      <c r="B799" s="9" t="s">
        <v>9</v>
      </c>
      <c r="C799" s="9">
        <v>1915</v>
      </c>
      <c r="D799" s="10">
        <v>45639</v>
      </c>
      <c r="E799" s="13" t="str">
        <f>+HYPERLINK("http://trademark.i-assist.jp/data/china/image_1915th/80887620.pdf","80887620")</f>
        <v>80887620</v>
      </c>
      <c r="F799" s="9" t="s">
        <v>2262</v>
      </c>
      <c r="G799" s="9" t="s">
        <v>2263</v>
      </c>
      <c r="H799" s="9" t="s">
        <v>2264</v>
      </c>
      <c r="I799" s="10">
        <v>45548</v>
      </c>
    </row>
    <row r="800" spans="1:9" x14ac:dyDescent="0.15">
      <c r="A800" s="9">
        <v>799</v>
      </c>
      <c r="B800" s="9" t="s">
        <v>9</v>
      </c>
      <c r="C800" s="9">
        <v>1915</v>
      </c>
      <c r="D800" s="10">
        <v>45639</v>
      </c>
      <c r="E800" s="13" t="str">
        <f>+HYPERLINK("http://trademark.i-assist.jp/data/china/image_1915th/80887662.pdf","80887662")</f>
        <v>80887662</v>
      </c>
      <c r="F800" s="12" t="s">
        <v>15</v>
      </c>
      <c r="G800" s="9" t="s">
        <v>2265</v>
      </c>
      <c r="H800" s="9" t="s">
        <v>2266</v>
      </c>
      <c r="I800" s="10">
        <v>45548</v>
      </c>
    </row>
    <row r="801" spans="1:9" x14ac:dyDescent="0.15">
      <c r="A801" s="9">
        <v>800</v>
      </c>
      <c r="B801" s="9" t="s">
        <v>9</v>
      </c>
      <c r="C801" s="9">
        <v>1915</v>
      </c>
      <c r="D801" s="10">
        <v>45639</v>
      </c>
      <c r="E801" s="13" t="str">
        <f>+HYPERLINK("http://trademark.i-assist.jp/data/china/image_1915th/80888084.pdf","80888084")</f>
        <v>80888084</v>
      </c>
      <c r="F801" s="9" t="s">
        <v>2267</v>
      </c>
      <c r="G801" s="9" t="s">
        <v>2268</v>
      </c>
      <c r="H801" s="9" t="s">
        <v>2269</v>
      </c>
      <c r="I801" s="10">
        <v>45548</v>
      </c>
    </row>
    <row r="802" spans="1:9" x14ac:dyDescent="0.15">
      <c r="A802" s="9">
        <v>801</v>
      </c>
      <c r="B802" s="9" t="s">
        <v>9</v>
      </c>
      <c r="C802" s="9">
        <v>1915</v>
      </c>
      <c r="D802" s="10">
        <v>45639</v>
      </c>
      <c r="E802" s="13" t="str">
        <f>+HYPERLINK("http://trademark.i-assist.jp/data/china/image_1915th/80888110.pdf","80888110")</f>
        <v>80888110</v>
      </c>
      <c r="F802" s="9" t="s">
        <v>2270</v>
      </c>
      <c r="G802" s="12" t="s">
        <v>2271</v>
      </c>
      <c r="H802" s="9" t="s">
        <v>2272</v>
      </c>
      <c r="I802" s="10">
        <v>45549</v>
      </c>
    </row>
    <row r="803" spans="1:9" x14ac:dyDescent="0.15">
      <c r="A803" s="9">
        <v>802</v>
      </c>
      <c r="B803" s="9" t="s">
        <v>9</v>
      </c>
      <c r="C803" s="9">
        <v>1915</v>
      </c>
      <c r="D803" s="10">
        <v>45639</v>
      </c>
      <c r="E803" s="13" t="str">
        <f>+HYPERLINK("http://trademark.i-assist.jp/data/china/image_1915th/80888507.pdf","80888507")</f>
        <v>80888507</v>
      </c>
      <c r="F803" s="9" t="s">
        <v>2273</v>
      </c>
      <c r="G803" s="9" t="s">
        <v>984</v>
      </c>
      <c r="H803" s="9" t="s">
        <v>2274</v>
      </c>
      <c r="I803" s="10">
        <v>45548</v>
      </c>
    </row>
    <row r="804" spans="1:9" x14ac:dyDescent="0.15">
      <c r="A804" s="9">
        <v>803</v>
      </c>
      <c r="B804" s="9" t="s">
        <v>9</v>
      </c>
      <c r="C804" s="9">
        <v>1915</v>
      </c>
      <c r="D804" s="10">
        <v>45639</v>
      </c>
      <c r="E804" s="13" t="str">
        <f>+HYPERLINK("http://trademark.i-assist.jp/data/china/image_1915th/80888604.pdf","80888604")</f>
        <v>80888604</v>
      </c>
      <c r="F804" s="9" t="s">
        <v>2275</v>
      </c>
      <c r="G804" s="12" t="s">
        <v>2276</v>
      </c>
      <c r="H804" s="9" t="s">
        <v>2277</v>
      </c>
      <c r="I804" s="10">
        <v>45548</v>
      </c>
    </row>
    <row r="805" spans="1:9" x14ac:dyDescent="0.15">
      <c r="A805" s="9">
        <v>804</v>
      </c>
      <c r="B805" s="9" t="s">
        <v>9</v>
      </c>
      <c r="C805" s="9">
        <v>1915</v>
      </c>
      <c r="D805" s="10">
        <v>45639</v>
      </c>
      <c r="E805" s="13" t="str">
        <f>+HYPERLINK("http://trademark.i-assist.jp/data/china/image_1915th/80888909.pdf","80888909")</f>
        <v>80888909</v>
      </c>
      <c r="F805" s="9" t="s">
        <v>2278</v>
      </c>
      <c r="G805" s="9" t="s">
        <v>2279</v>
      </c>
      <c r="H805" s="9" t="s">
        <v>2280</v>
      </c>
      <c r="I805" s="10">
        <v>45549</v>
      </c>
    </row>
    <row r="806" spans="1:9" x14ac:dyDescent="0.15">
      <c r="A806" s="9">
        <v>805</v>
      </c>
      <c r="B806" s="9" t="s">
        <v>9</v>
      </c>
      <c r="C806" s="9">
        <v>1915</v>
      </c>
      <c r="D806" s="10">
        <v>45639</v>
      </c>
      <c r="E806" s="13" t="str">
        <f>+HYPERLINK("http://trademark.i-assist.jp/data/china/image_1915th/80889179.pdf","80889179")</f>
        <v>80889179</v>
      </c>
      <c r="F806" s="9" t="s">
        <v>2281</v>
      </c>
      <c r="G806" s="12" t="s">
        <v>2282</v>
      </c>
      <c r="H806" s="9" t="s">
        <v>2283</v>
      </c>
      <c r="I806" s="10">
        <v>45548</v>
      </c>
    </row>
    <row r="807" spans="1:9" x14ac:dyDescent="0.15">
      <c r="A807" s="9">
        <v>806</v>
      </c>
      <c r="B807" s="9" t="s">
        <v>9</v>
      </c>
      <c r="C807" s="9">
        <v>1915</v>
      </c>
      <c r="D807" s="10">
        <v>45639</v>
      </c>
      <c r="E807" s="13" t="str">
        <f>+HYPERLINK("http://trademark.i-assist.jp/data/china/image_1915th/80889452.pdf","80889452")</f>
        <v>80889452</v>
      </c>
      <c r="F807" s="9" t="s">
        <v>2284</v>
      </c>
      <c r="G807" s="9" t="s">
        <v>2285</v>
      </c>
      <c r="H807" s="9" t="s">
        <v>2286</v>
      </c>
      <c r="I807" s="10">
        <v>45548</v>
      </c>
    </row>
    <row r="808" spans="1:9" x14ac:dyDescent="0.15">
      <c r="A808" s="9">
        <v>807</v>
      </c>
      <c r="B808" s="9" t="s">
        <v>9</v>
      </c>
      <c r="C808" s="9">
        <v>1915</v>
      </c>
      <c r="D808" s="10">
        <v>45639</v>
      </c>
      <c r="E808" s="13" t="str">
        <f>+HYPERLINK("http://trademark.i-assist.jp/data/china/image_1915th/80889514.pdf","80889514")</f>
        <v>80889514</v>
      </c>
      <c r="F808" s="9" t="s">
        <v>2287</v>
      </c>
      <c r="G808" s="12" t="s">
        <v>2288</v>
      </c>
      <c r="H808" s="9" t="s">
        <v>2289</v>
      </c>
      <c r="I808" s="10">
        <v>45549</v>
      </c>
    </row>
    <row r="809" spans="1:9" x14ac:dyDescent="0.15">
      <c r="A809" s="9">
        <v>808</v>
      </c>
      <c r="B809" s="9" t="s">
        <v>9</v>
      </c>
      <c r="C809" s="9">
        <v>1915</v>
      </c>
      <c r="D809" s="10">
        <v>45639</v>
      </c>
      <c r="E809" s="13" t="str">
        <f>+HYPERLINK("http://trademark.i-assist.jp/data/china/image_1915th/80889945.pdf","80889945")</f>
        <v>80889945</v>
      </c>
      <c r="F809" s="9" t="s">
        <v>2290</v>
      </c>
      <c r="G809" s="12" t="s">
        <v>2291</v>
      </c>
      <c r="H809" s="9" t="s">
        <v>2292</v>
      </c>
      <c r="I809" s="10">
        <v>45547</v>
      </c>
    </row>
    <row r="810" spans="1:9" x14ac:dyDescent="0.15">
      <c r="A810" s="9">
        <v>809</v>
      </c>
      <c r="B810" s="9" t="s">
        <v>9</v>
      </c>
      <c r="C810" s="9">
        <v>1915</v>
      </c>
      <c r="D810" s="10">
        <v>45639</v>
      </c>
      <c r="E810" s="13" t="str">
        <f>+HYPERLINK("http://trademark.i-assist.jp/data/china/image_1915th/80890054.pdf","80890054")</f>
        <v>80890054</v>
      </c>
      <c r="F810" s="12" t="s">
        <v>2293</v>
      </c>
      <c r="G810" s="9" t="s">
        <v>2250</v>
      </c>
      <c r="H810" s="9" t="s">
        <v>2294</v>
      </c>
      <c r="I810" s="10">
        <v>45547</v>
      </c>
    </row>
    <row r="811" spans="1:9" x14ac:dyDescent="0.15">
      <c r="A811" s="9">
        <v>810</v>
      </c>
      <c r="B811" s="9" t="s">
        <v>9</v>
      </c>
      <c r="C811" s="9">
        <v>1915</v>
      </c>
      <c r="D811" s="10">
        <v>45639</v>
      </c>
      <c r="E811" s="13" t="str">
        <f>+HYPERLINK("http://trademark.i-assist.jp/data/china/image_1915th/80890142.pdf","80890142")</f>
        <v>80890142</v>
      </c>
      <c r="F811" s="9" t="s">
        <v>2295</v>
      </c>
      <c r="G811" s="9" t="s">
        <v>2296</v>
      </c>
      <c r="H811" s="9" t="s">
        <v>2297</v>
      </c>
      <c r="I811" s="10">
        <v>45547</v>
      </c>
    </row>
    <row r="812" spans="1:9" x14ac:dyDescent="0.15">
      <c r="A812" s="9">
        <v>811</v>
      </c>
      <c r="B812" s="9" t="s">
        <v>9</v>
      </c>
      <c r="C812" s="9">
        <v>1915</v>
      </c>
      <c r="D812" s="10">
        <v>45639</v>
      </c>
      <c r="E812" s="13" t="str">
        <f>+HYPERLINK("http://trademark.i-assist.jp/data/china/image_1915th/80890143.pdf","80890143")</f>
        <v>80890143</v>
      </c>
      <c r="F812" s="9" t="s">
        <v>2298</v>
      </c>
      <c r="G812" s="9" t="s">
        <v>2299</v>
      </c>
      <c r="H812" s="9" t="s">
        <v>2300</v>
      </c>
      <c r="I812" s="10">
        <v>45547</v>
      </c>
    </row>
    <row r="813" spans="1:9" x14ac:dyDescent="0.15">
      <c r="A813" s="9">
        <v>812</v>
      </c>
      <c r="B813" s="9" t="s">
        <v>9</v>
      </c>
      <c r="C813" s="9">
        <v>1915</v>
      </c>
      <c r="D813" s="10">
        <v>45639</v>
      </c>
      <c r="E813" s="13" t="str">
        <f>+HYPERLINK("http://trademark.i-assist.jp/data/china/image_1915th/80890890.pdf","80890890")</f>
        <v>80890890</v>
      </c>
      <c r="F813" s="12" t="s">
        <v>2301</v>
      </c>
      <c r="G813" s="9" t="s">
        <v>2302</v>
      </c>
      <c r="H813" s="9" t="s">
        <v>2303</v>
      </c>
      <c r="I813" s="10">
        <v>45547</v>
      </c>
    </row>
    <row r="814" spans="1:9" x14ac:dyDescent="0.15">
      <c r="A814" s="9">
        <v>813</v>
      </c>
      <c r="B814" s="9" t="s">
        <v>9</v>
      </c>
      <c r="C814" s="9">
        <v>1915</v>
      </c>
      <c r="D814" s="10">
        <v>45639</v>
      </c>
      <c r="E814" s="13" t="str">
        <f>+HYPERLINK("http://trademark.i-assist.jp/data/china/image_1915th/80890918.pdf","80890918")</f>
        <v>80890918</v>
      </c>
      <c r="F814" s="9" t="s">
        <v>2304</v>
      </c>
      <c r="G814" s="12" t="s">
        <v>2305</v>
      </c>
      <c r="H814" s="9" t="s">
        <v>2306</v>
      </c>
      <c r="I814" s="10">
        <v>45547</v>
      </c>
    </row>
    <row r="815" spans="1:9" x14ac:dyDescent="0.15">
      <c r="A815" s="9">
        <v>814</v>
      </c>
      <c r="B815" s="9" t="s">
        <v>9</v>
      </c>
      <c r="C815" s="9">
        <v>1915</v>
      </c>
      <c r="D815" s="10">
        <v>45639</v>
      </c>
      <c r="E815" s="13" t="str">
        <f>+HYPERLINK("http://trademark.i-assist.jp/data/china/image_1915th/80891334.pdf","80891334")</f>
        <v>80891334</v>
      </c>
      <c r="F815" s="12" t="s">
        <v>2307</v>
      </c>
      <c r="G815" s="9" t="s">
        <v>2308</v>
      </c>
      <c r="H815" s="9" t="s">
        <v>2309</v>
      </c>
      <c r="I815" s="10">
        <v>45547</v>
      </c>
    </row>
    <row r="816" spans="1:9" x14ac:dyDescent="0.15">
      <c r="A816" s="9">
        <v>815</v>
      </c>
      <c r="B816" s="9" t="s">
        <v>9</v>
      </c>
      <c r="C816" s="9">
        <v>1915</v>
      </c>
      <c r="D816" s="10">
        <v>45639</v>
      </c>
      <c r="E816" s="13" t="str">
        <f>+HYPERLINK("http://trademark.i-assist.jp/data/china/image_1915th/80891907.pdf","80891907")</f>
        <v>80891907</v>
      </c>
      <c r="F816" s="9" t="s">
        <v>2310</v>
      </c>
      <c r="G816" s="9" t="s">
        <v>2311</v>
      </c>
      <c r="H816" s="9" t="s">
        <v>2312</v>
      </c>
      <c r="I816" s="10">
        <v>45547</v>
      </c>
    </row>
    <row r="817" spans="1:9" x14ac:dyDescent="0.15">
      <c r="A817" s="9">
        <v>816</v>
      </c>
      <c r="B817" s="9" t="s">
        <v>9</v>
      </c>
      <c r="C817" s="9">
        <v>1915</v>
      </c>
      <c r="D817" s="10">
        <v>45639</v>
      </c>
      <c r="E817" s="13" t="str">
        <f>+HYPERLINK("http://trademark.i-assist.jp/data/china/image_1915th/80893169.pdf","80893169")</f>
        <v>80893169</v>
      </c>
      <c r="F817" s="12" t="s">
        <v>2313</v>
      </c>
      <c r="G817" s="9" t="s">
        <v>2210</v>
      </c>
      <c r="H817" s="12" t="s">
        <v>2314</v>
      </c>
      <c r="I817" s="10">
        <v>45547</v>
      </c>
    </row>
    <row r="818" spans="1:9" x14ac:dyDescent="0.15">
      <c r="A818" s="9">
        <v>817</v>
      </c>
      <c r="B818" s="9" t="s">
        <v>9</v>
      </c>
      <c r="C818" s="9">
        <v>1915</v>
      </c>
      <c r="D818" s="10">
        <v>45639</v>
      </c>
      <c r="E818" s="13" t="str">
        <f>+HYPERLINK("http://trademark.i-assist.jp/data/china/image_1915th/80893250.pdf","80893250")</f>
        <v>80893250</v>
      </c>
      <c r="F818" s="9" t="s">
        <v>2315</v>
      </c>
      <c r="G818" s="9" t="s">
        <v>2316</v>
      </c>
      <c r="H818" s="9" t="s">
        <v>2317</v>
      </c>
      <c r="I818" s="10">
        <v>45547</v>
      </c>
    </row>
    <row r="819" spans="1:9" x14ac:dyDescent="0.15">
      <c r="A819" s="9">
        <v>818</v>
      </c>
      <c r="B819" s="9" t="s">
        <v>9</v>
      </c>
      <c r="C819" s="9">
        <v>1915</v>
      </c>
      <c r="D819" s="10">
        <v>45639</v>
      </c>
      <c r="E819" s="13" t="str">
        <f>+HYPERLINK("http://trademark.i-assist.jp/data/china/image_1915th/80893502.pdf","80893502")</f>
        <v>80893502</v>
      </c>
      <c r="F819" s="9" t="s">
        <v>2318</v>
      </c>
      <c r="G819" s="9" t="s">
        <v>2319</v>
      </c>
      <c r="H819" s="9" t="s">
        <v>2320</v>
      </c>
      <c r="I819" s="10">
        <v>45547</v>
      </c>
    </row>
    <row r="820" spans="1:9" x14ac:dyDescent="0.15">
      <c r="A820" s="9">
        <v>819</v>
      </c>
      <c r="B820" s="9" t="s">
        <v>9</v>
      </c>
      <c r="C820" s="9">
        <v>1915</v>
      </c>
      <c r="D820" s="10">
        <v>45639</v>
      </c>
      <c r="E820" s="13" t="str">
        <f>+HYPERLINK("http://trademark.i-assist.jp/data/china/image_1915th/80893558.pdf","80893558")</f>
        <v>80893558</v>
      </c>
      <c r="F820" s="9" t="s">
        <v>2321</v>
      </c>
      <c r="G820" s="9" t="s">
        <v>2218</v>
      </c>
      <c r="H820" s="9" t="s">
        <v>2322</v>
      </c>
      <c r="I820" s="10">
        <v>45547</v>
      </c>
    </row>
    <row r="821" spans="1:9" x14ac:dyDescent="0.15">
      <c r="A821" s="9">
        <v>820</v>
      </c>
      <c r="B821" s="9" t="s">
        <v>9</v>
      </c>
      <c r="C821" s="9">
        <v>1915</v>
      </c>
      <c r="D821" s="10">
        <v>45639</v>
      </c>
      <c r="E821" s="13" t="str">
        <f>+HYPERLINK("http://trademark.i-assist.jp/data/china/image_1915th/80893617.pdf","80893617")</f>
        <v>80893617</v>
      </c>
      <c r="F821" s="12" t="s">
        <v>2323</v>
      </c>
      <c r="G821" s="9" t="s">
        <v>2324</v>
      </c>
      <c r="H821" s="9" t="s">
        <v>2325</v>
      </c>
      <c r="I821" s="10">
        <v>45547</v>
      </c>
    </row>
    <row r="822" spans="1:9" x14ac:dyDescent="0.15">
      <c r="A822" s="9">
        <v>821</v>
      </c>
      <c r="B822" s="9" t="s">
        <v>9</v>
      </c>
      <c r="C822" s="9">
        <v>1915</v>
      </c>
      <c r="D822" s="10">
        <v>45639</v>
      </c>
      <c r="E822" s="13" t="str">
        <f>+HYPERLINK("http://trademark.i-assist.jp/data/china/image_1915th/80893662.pdf","80893662")</f>
        <v>80893662</v>
      </c>
      <c r="F822" s="12" t="s">
        <v>2326</v>
      </c>
      <c r="G822" s="9" t="s">
        <v>2327</v>
      </c>
      <c r="H822" s="9" t="s">
        <v>2328</v>
      </c>
      <c r="I822" s="10">
        <v>45547</v>
      </c>
    </row>
    <row r="823" spans="1:9" x14ac:dyDescent="0.15">
      <c r="A823" s="9">
        <v>822</v>
      </c>
      <c r="B823" s="9" t="s">
        <v>9</v>
      </c>
      <c r="C823" s="9">
        <v>1915</v>
      </c>
      <c r="D823" s="10">
        <v>45639</v>
      </c>
      <c r="E823" s="13" t="str">
        <f>+HYPERLINK("http://trademark.i-assist.jp/data/china/image_1915th/80894387.pdf","80894387")</f>
        <v>80894387</v>
      </c>
      <c r="F823" s="12" t="s">
        <v>2329</v>
      </c>
      <c r="G823" s="9" t="s">
        <v>2330</v>
      </c>
      <c r="H823" s="9" t="s">
        <v>2331</v>
      </c>
      <c r="I823" s="10">
        <v>45547</v>
      </c>
    </row>
    <row r="824" spans="1:9" x14ac:dyDescent="0.15">
      <c r="A824" s="9">
        <v>823</v>
      </c>
      <c r="B824" s="9" t="s">
        <v>9</v>
      </c>
      <c r="C824" s="9">
        <v>1915</v>
      </c>
      <c r="D824" s="10">
        <v>45639</v>
      </c>
      <c r="E824" s="13" t="str">
        <f>+HYPERLINK("http://trademark.i-assist.jp/data/china/image_1915th/80894426.pdf","80894426")</f>
        <v>80894426</v>
      </c>
      <c r="F824" s="9" t="s">
        <v>2332</v>
      </c>
      <c r="G824" s="9" t="s">
        <v>2333</v>
      </c>
      <c r="H824" s="9" t="s">
        <v>2334</v>
      </c>
      <c r="I824" s="10">
        <v>45547</v>
      </c>
    </row>
    <row r="825" spans="1:9" x14ac:dyDescent="0.15">
      <c r="A825" s="9">
        <v>824</v>
      </c>
      <c r="B825" s="9" t="s">
        <v>9</v>
      </c>
      <c r="C825" s="9">
        <v>1915</v>
      </c>
      <c r="D825" s="10">
        <v>45639</v>
      </c>
      <c r="E825" s="13" t="str">
        <f>+HYPERLINK("http://trademark.i-assist.jp/data/china/image_1915th/80895083.pdf","80895083")</f>
        <v>80895083</v>
      </c>
      <c r="F825" s="9" t="s">
        <v>2335</v>
      </c>
      <c r="G825" s="9" t="s">
        <v>2336</v>
      </c>
      <c r="H825" s="9" t="s">
        <v>2337</v>
      </c>
      <c r="I825" s="10">
        <v>45547</v>
      </c>
    </row>
    <row r="826" spans="1:9" x14ac:dyDescent="0.15">
      <c r="A826" s="9">
        <v>825</v>
      </c>
      <c r="B826" s="9" t="s">
        <v>9</v>
      </c>
      <c r="C826" s="9">
        <v>1915</v>
      </c>
      <c r="D826" s="10">
        <v>45639</v>
      </c>
      <c r="E826" s="13" t="str">
        <f>+HYPERLINK("http://trademark.i-assist.jp/data/china/image_1915th/80895270.pdf","80895270")</f>
        <v>80895270</v>
      </c>
      <c r="F826" s="12" t="s">
        <v>2338</v>
      </c>
      <c r="G826" s="12" t="s">
        <v>2339</v>
      </c>
      <c r="H826" s="9" t="s">
        <v>2340</v>
      </c>
      <c r="I826" s="10">
        <v>45547</v>
      </c>
    </row>
    <row r="827" spans="1:9" x14ac:dyDescent="0.15">
      <c r="A827" s="9">
        <v>826</v>
      </c>
      <c r="B827" s="9" t="s">
        <v>9</v>
      </c>
      <c r="C827" s="9">
        <v>1915</v>
      </c>
      <c r="D827" s="10">
        <v>45639</v>
      </c>
      <c r="E827" s="13" t="str">
        <f>+HYPERLINK("http://trademark.i-assist.jp/data/china/image_1915th/80895299.pdf","80895299")</f>
        <v>80895299</v>
      </c>
      <c r="F827" s="9" t="s">
        <v>2341</v>
      </c>
      <c r="G827" s="9" t="s">
        <v>2342</v>
      </c>
      <c r="H827" s="9" t="s">
        <v>2343</v>
      </c>
      <c r="I827" s="10">
        <v>45547</v>
      </c>
    </row>
    <row r="828" spans="1:9" x14ac:dyDescent="0.15">
      <c r="A828" s="9">
        <v>827</v>
      </c>
      <c r="B828" s="9" t="s">
        <v>9</v>
      </c>
      <c r="C828" s="9">
        <v>1915</v>
      </c>
      <c r="D828" s="10">
        <v>45639</v>
      </c>
      <c r="E828" s="13" t="str">
        <f>+HYPERLINK("http://trademark.i-assist.jp/data/china/image_1915th/80895425.pdf","80895425")</f>
        <v>80895425</v>
      </c>
      <c r="F828" s="12" t="s">
        <v>2344</v>
      </c>
      <c r="G828" s="12" t="s">
        <v>2345</v>
      </c>
      <c r="H828" s="12" t="s">
        <v>2346</v>
      </c>
      <c r="I828" s="10">
        <v>45547</v>
      </c>
    </row>
    <row r="829" spans="1:9" x14ac:dyDescent="0.15">
      <c r="A829" s="9">
        <v>828</v>
      </c>
      <c r="B829" s="9" t="s">
        <v>9</v>
      </c>
      <c r="C829" s="9">
        <v>1915</v>
      </c>
      <c r="D829" s="10">
        <v>45639</v>
      </c>
      <c r="E829" s="13" t="str">
        <f>+HYPERLINK("http://trademark.i-assist.jp/data/china/image_1915th/80895528.pdf","80895528")</f>
        <v>80895528</v>
      </c>
      <c r="F829" s="9" t="s">
        <v>2347</v>
      </c>
      <c r="G829" s="9" t="s">
        <v>2348</v>
      </c>
      <c r="H829" s="9" t="s">
        <v>2349</v>
      </c>
      <c r="I829" s="10">
        <v>45547</v>
      </c>
    </row>
    <row r="830" spans="1:9" x14ac:dyDescent="0.15">
      <c r="A830" s="9">
        <v>829</v>
      </c>
      <c r="B830" s="9" t="s">
        <v>9</v>
      </c>
      <c r="C830" s="9">
        <v>1915</v>
      </c>
      <c r="D830" s="10">
        <v>45639</v>
      </c>
      <c r="E830" s="13" t="str">
        <f>+HYPERLINK("http://trademark.i-assist.jp/data/china/image_1915th/80895903.pdf","80895903")</f>
        <v>80895903</v>
      </c>
      <c r="F830" s="9" t="s">
        <v>2350</v>
      </c>
      <c r="G830" s="9" t="s">
        <v>2351</v>
      </c>
      <c r="H830" s="9" t="s">
        <v>2352</v>
      </c>
      <c r="I830" s="10">
        <v>45547</v>
      </c>
    </row>
    <row r="831" spans="1:9" x14ac:dyDescent="0.15">
      <c r="A831" s="9">
        <v>830</v>
      </c>
      <c r="B831" s="9" t="s">
        <v>9</v>
      </c>
      <c r="C831" s="9">
        <v>1915</v>
      </c>
      <c r="D831" s="10">
        <v>45639</v>
      </c>
      <c r="E831" s="13" t="str">
        <f>+HYPERLINK("http://trademark.i-assist.jp/data/china/image_1915th/80896197.pdf","80896197")</f>
        <v>80896197</v>
      </c>
      <c r="F831" s="12" t="s">
        <v>2353</v>
      </c>
      <c r="G831" s="9" t="s">
        <v>2084</v>
      </c>
      <c r="H831" s="9" t="s">
        <v>2354</v>
      </c>
      <c r="I831" s="10">
        <v>45547</v>
      </c>
    </row>
    <row r="832" spans="1:9" x14ac:dyDescent="0.15">
      <c r="A832" s="9">
        <v>831</v>
      </c>
      <c r="B832" s="9" t="s">
        <v>9</v>
      </c>
      <c r="C832" s="9">
        <v>1915</v>
      </c>
      <c r="D832" s="10">
        <v>45639</v>
      </c>
      <c r="E832" s="13" t="str">
        <f>+HYPERLINK("http://trademark.i-assist.jp/data/china/image_1915th/80896564.pdf","80896564")</f>
        <v>80896564</v>
      </c>
      <c r="F832" s="9" t="s">
        <v>2355</v>
      </c>
      <c r="G832" s="12" t="s">
        <v>2356</v>
      </c>
      <c r="H832" s="9" t="s">
        <v>2357</v>
      </c>
      <c r="I832" s="10">
        <v>45547</v>
      </c>
    </row>
    <row r="833" spans="1:9" x14ac:dyDescent="0.15">
      <c r="A833" s="9">
        <v>832</v>
      </c>
      <c r="B833" s="9" t="s">
        <v>9</v>
      </c>
      <c r="C833" s="9">
        <v>1915</v>
      </c>
      <c r="D833" s="10">
        <v>45639</v>
      </c>
      <c r="E833" s="13" t="str">
        <f>+HYPERLINK("http://trademark.i-assist.jp/data/china/image_1915th/80896766.pdf","80896766")</f>
        <v>80896766</v>
      </c>
      <c r="F833" s="9" t="s">
        <v>2358</v>
      </c>
      <c r="G833" s="9" t="s">
        <v>2359</v>
      </c>
      <c r="H833" s="9" t="s">
        <v>2360</v>
      </c>
      <c r="I833" s="10">
        <v>45547</v>
      </c>
    </row>
    <row r="834" spans="1:9" x14ac:dyDescent="0.15">
      <c r="A834" s="9">
        <v>833</v>
      </c>
      <c r="B834" s="9" t="s">
        <v>9</v>
      </c>
      <c r="C834" s="9">
        <v>1915</v>
      </c>
      <c r="D834" s="10">
        <v>45639</v>
      </c>
      <c r="E834" s="13" t="str">
        <f>+HYPERLINK("http://trademark.i-assist.jp/data/china/image_1915th/80897229.pdf","80897229")</f>
        <v>80897229</v>
      </c>
      <c r="F834" s="9" t="s">
        <v>2361</v>
      </c>
      <c r="G834" s="9" t="s">
        <v>2362</v>
      </c>
      <c r="H834" s="9" t="s">
        <v>2363</v>
      </c>
      <c r="I834" s="10">
        <v>45547</v>
      </c>
    </row>
    <row r="835" spans="1:9" x14ac:dyDescent="0.15">
      <c r="A835" s="9">
        <v>834</v>
      </c>
      <c r="B835" s="9" t="s">
        <v>9</v>
      </c>
      <c r="C835" s="9">
        <v>1915</v>
      </c>
      <c r="D835" s="10">
        <v>45639</v>
      </c>
      <c r="E835" s="13" t="str">
        <f>+HYPERLINK("http://trademark.i-assist.jp/data/china/image_1915th/80897621.pdf","80897621")</f>
        <v>80897621</v>
      </c>
      <c r="F835" s="9" t="s">
        <v>2364</v>
      </c>
      <c r="G835" s="9" t="s">
        <v>2365</v>
      </c>
      <c r="H835" s="12" t="s">
        <v>2366</v>
      </c>
      <c r="I835" s="10">
        <v>45547</v>
      </c>
    </row>
    <row r="836" spans="1:9" x14ac:dyDescent="0.15">
      <c r="A836" s="9">
        <v>835</v>
      </c>
      <c r="B836" s="9" t="s">
        <v>9</v>
      </c>
      <c r="C836" s="9">
        <v>1915</v>
      </c>
      <c r="D836" s="10">
        <v>45639</v>
      </c>
      <c r="E836" s="13" t="str">
        <f>+HYPERLINK("http://trademark.i-assist.jp/data/china/image_1915th/80897974.pdf","80897974")</f>
        <v>80897974</v>
      </c>
      <c r="F836" s="12" t="s">
        <v>2367</v>
      </c>
      <c r="G836" s="9" t="s">
        <v>2368</v>
      </c>
      <c r="H836" s="9" t="s">
        <v>2369</v>
      </c>
      <c r="I836" s="10">
        <v>45547</v>
      </c>
    </row>
    <row r="837" spans="1:9" x14ac:dyDescent="0.15">
      <c r="A837" s="9">
        <v>836</v>
      </c>
      <c r="B837" s="9" t="s">
        <v>9</v>
      </c>
      <c r="C837" s="9">
        <v>1915</v>
      </c>
      <c r="D837" s="10">
        <v>45639</v>
      </c>
      <c r="E837" s="13" t="str">
        <f>+HYPERLINK("http://trademark.i-assist.jp/data/china/image_1915th/80898253.pdf","80898253")</f>
        <v>80898253</v>
      </c>
      <c r="F837" s="9" t="s">
        <v>2370</v>
      </c>
      <c r="G837" s="9" t="s">
        <v>2311</v>
      </c>
      <c r="H837" s="9" t="s">
        <v>2371</v>
      </c>
      <c r="I837" s="10">
        <v>45547</v>
      </c>
    </row>
    <row r="838" spans="1:9" x14ac:dyDescent="0.15">
      <c r="A838" s="9">
        <v>837</v>
      </c>
      <c r="B838" s="9" t="s">
        <v>9</v>
      </c>
      <c r="C838" s="9">
        <v>1915</v>
      </c>
      <c r="D838" s="10">
        <v>45639</v>
      </c>
      <c r="E838" s="13" t="str">
        <f>+HYPERLINK("http://trademark.i-assist.jp/data/china/image_1915th/80898339.pdf","80898339")</f>
        <v>80898339</v>
      </c>
      <c r="F838" s="9" t="s">
        <v>2372</v>
      </c>
      <c r="G838" s="9" t="s">
        <v>2373</v>
      </c>
      <c r="H838" s="9" t="s">
        <v>2374</v>
      </c>
      <c r="I838" s="10">
        <v>45547</v>
      </c>
    </row>
    <row r="839" spans="1:9" x14ac:dyDescent="0.15">
      <c r="A839" s="9">
        <v>838</v>
      </c>
      <c r="B839" s="9" t="s">
        <v>9</v>
      </c>
      <c r="C839" s="9">
        <v>1915</v>
      </c>
      <c r="D839" s="10">
        <v>45639</v>
      </c>
      <c r="E839" s="13" t="str">
        <f>+HYPERLINK("http://trademark.i-assist.jp/data/china/image_1915th/80899088.pdf","80899088")</f>
        <v>80899088</v>
      </c>
      <c r="F839" s="9" t="s">
        <v>2375</v>
      </c>
      <c r="G839" s="9" t="s">
        <v>2376</v>
      </c>
      <c r="H839" s="9" t="s">
        <v>2377</v>
      </c>
      <c r="I839" s="10">
        <v>45547</v>
      </c>
    </row>
    <row r="840" spans="1:9" x14ac:dyDescent="0.15">
      <c r="A840" s="9">
        <v>839</v>
      </c>
      <c r="B840" s="9" t="s">
        <v>9</v>
      </c>
      <c r="C840" s="9">
        <v>1915</v>
      </c>
      <c r="D840" s="10">
        <v>45639</v>
      </c>
      <c r="E840" s="13" t="str">
        <f>+HYPERLINK("http://trademark.i-assist.jp/data/china/image_1915th/80899529.pdf","80899529")</f>
        <v>80899529</v>
      </c>
      <c r="F840" s="9" t="s">
        <v>2378</v>
      </c>
      <c r="G840" s="9" t="s">
        <v>2324</v>
      </c>
      <c r="H840" s="9" t="s">
        <v>2379</v>
      </c>
      <c r="I840" s="10">
        <v>45547</v>
      </c>
    </row>
    <row r="841" spans="1:9" x14ac:dyDescent="0.15">
      <c r="A841" s="9">
        <v>840</v>
      </c>
      <c r="B841" s="9" t="s">
        <v>9</v>
      </c>
      <c r="C841" s="9">
        <v>1915</v>
      </c>
      <c r="D841" s="10">
        <v>45639</v>
      </c>
      <c r="E841" s="13" t="str">
        <f>+HYPERLINK("http://trademark.i-assist.jp/data/china/image_1915th/80899858.pdf","80899858")</f>
        <v>80899858</v>
      </c>
      <c r="F841" s="12" t="s">
        <v>2380</v>
      </c>
      <c r="G841" s="9" t="s">
        <v>2084</v>
      </c>
      <c r="H841" s="12" t="s">
        <v>2381</v>
      </c>
      <c r="I841" s="10">
        <v>45547</v>
      </c>
    </row>
    <row r="842" spans="1:9" x14ac:dyDescent="0.15">
      <c r="A842" s="9">
        <v>841</v>
      </c>
      <c r="B842" s="9" t="s">
        <v>9</v>
      </c>
      <c r="C842" s="9">
        <v>1915</v>
      </c>
      <c r="D842" s="10">
        <v>45639</v>
      </c>
      <c r="E842" s="13" t="str">
        <f>+HYPERLINK("http://trademark.i-assist.jp/data/china/image_1915th/80900085.pdf","80900085")</f>
        <v>80900085</v>
      </c>
      <c r="F842" s="9" t="s">
        <v>2382</v>
      </c>
      <c r="G842" s="9" t="s">
        <v>2383</v>
      </c>
      <c r="H842" s="9" t="s">
        <v>2384</v>
      </c>
      <c r="I842" s="10">
        <v>45547</v>
      </c>
    </row>
    <row r="843" spans="1:9" x14ac:dyDescent="0.15">
      <c r="A843" s="9">
        <v>842</v>
      </c>
      <c r="B843" s="9" t="s">
        <v>9</v>
      </c>
      <c r="C843" s="9">
        <v>1915</v>
      </c>
      <c r="D843" s="10">
        <v>45639</v>
      </c>
      <c r="E843" s="13" t="str">
        <f>+HYPERLINK("http://trademark.i-assist.jp/data/china/image_1915th/80900268.pdf","80900268")</f>
        <v>80900268</v>
      </c>
      <c r="F843" s="12" t="s">
        <v>2385</v>
      </c>
      <c r="G843" s="9" t="s">
        <v>2386</v>
      </c>
      <c r="H843" s="9" t="s">
        <v>2387</v>
      </c>
      <c r="I843" s="10">
        <v>45547</v>
      </c>
    </row>
    <row r="844" spans="1:9" x14ac:dyDescent="0.15">
      <c r="A844" s="9">
        <v>843</v>
      </c>
      <c r="B844" s="9" t="s">
        <v>9</v>
      </c>
      <c r="C844" s="9">
        <v>1915</v>
      </c>
      <c r="D844" s="10">
        <v>45639</v>
      </c>
      <c r="E844" s="13" t="str">
        <f>+HYPERLINK("http://trademark.i-assist.jp/data/china/image_1915th/80900368.pdf","80900368")</f>
        <v>80900368</v>
      </c>
      <c r="F844" s="9" t="s">
        <v>2388</v>
      </c>
      <c r="G844" s="9" t="s">
        <v>2389</v>
      </c>
      <c r="H844" s="9" t="s">
        <v>2390</v>
      </c>
      <c r="I844" s="10">
        <v>45547</v>
      </c>
    </row>
    <row r="845" spans="1:9" x14ac:dyDescent="0.15">
      <c r="A845" s="9">
        <v>844</v>
      </c>
      <c r="B845" s="9" t="s">
        <v>9</v>
      </c>
      <c r="C845" s="9">
        <v>1915</v>
      </c>
      <c r="D845" s="10">
        <v>45639</v>
      </c>
      <c r="E845" s="13" t="str">
        <f>+HYPERLINK("http://trademark.i-assist.jp/data/china/image_1915th/80900710.pdf","80900710")</f>
        <v>80900710</v>
      </c>
      <c r="F845" s="9" t="s">
        <v>2391</v>
      </c>
      <c r="G845" s="9" t="s">
        <v>2392</v>
      </c>
      <c r="H845" s="9" t="s">
        <v>2393</v>
      </c>
      <c r="I845" s="10">
        <v>45548</v>
      </c>
    </row>
    <row r="846" spans="1:9" x14ac:dyDescent="0.15">
      <c r="A846" s="9">
        <v>845</v>
      </c>
      <c r="B846" s="9" t="s">
        <v>9</v>
      </c>
      <c r="C846" s="9">
        <v>1915</v>
      </c>
      <c r="D846" s="10">
        <v>45639</v>
      </c>
      <c r="E846" s="13" t="str">
        <f>+HYPERLINK("http://trademark.i-assist.jp/data/china/image_1915th/80900769.pdf","80900769")</f>
        <v>80900769</v>
      </c>
      <c r="F846" s="12" t="s">
        <v>15</v>
      </c>
      <c r="G846" s="9" t="s">
        <v>2394</v>
      </c>
      <c r="H846" s="9" t="s">
        <v>2395</v>
      </c>
      <c r="I846" s="10">
        <v>45548</v>
      </c>
    </row>
    <row r="847" spans="1:9" x14ac:dyDescent="0.15">
      <c r="A847" s="9">
        <v>846</v>
      </c>
      <c r="B847" s="9" t="s">
        <v>9</v>
      </c>
      <c r="C847" s="9">
        <v>1915</v>
      </c>
      <c r="D847" s="10">
        <v>45639</v>
      </c>
      <c r="E847" s="13" t="str">
        <f>+HYPERLINK("http://trademark.i-assist.jp/data/china/image_1915th/80900876.pdf","80900876")</f>
        <v>80900876</v>
      </c>
      <c r="F847" s="12" t="s">
        <v>15</v>
      </c>
      <c r="G847" s="9" t="s">
        <v>2396</v>
      </c>
      <c r="H847" s="12" t="s">
        <v>2397</v>
      </c>
      <c r="I847" s="10">
        <v>45548</v>
      </c>
    </row>
    <row r="848" spans="1:9" x14ac:dyDescent="0.15">
      <c r="A848" s="9">
        <v>847</v>
      </c>
      <c r="B848" s="9" t="s">
        <v>9</v>
      </c>
      <c r="C848" s="9">
        <v>1915</v>
      </c>
      <c r="D848" s="10">
        <v>45639</v>
      </c>
      <c r="E848" s="13" t="str">
        <f>+HYPERLINK("http://trademark.i-assist.jp/data/china/image_1915th/80901074.pdf","80901074")</f>
        <v>80901074</v>
      </c>
      <c r="F848" s="9" t="s">
        <v>2398</v>
      </c>
      <c r="G848" s="9" t="s">
        <v>2399</v>
      </c>
      <c r="H848" s="9" t="s">
        <v>2400</v>
      </c>
      <c r="I848" s="10">
        <v>45548</v>
      </c>
    </row>
    <row r="849" spans="1:9" x14ac:dyDescent="0.15">
      <c r="A849" s="9">
        <v>848</v>
      </c>
      <c r="B849" s="9" t="s">
        <v>9</v>
      </c>
      <c r="C849" s="9">
        <v>1915</v>
      </c>
      <c r="D849" s="10">
        <v>45639</v>
      </c>
      <c r="E849" s="13" t="str">
        <f>+HYPERLINK("http://trademark.i-assist.jp/data/china/image_1915th/80901085.pdf","80901085")</f>
        <v>80901085</v>
      </c>
      <c r="F849" s="9" t="s">
        <v>2401</v>
      </c>
      <c r="G849" s="9" t="s">
        <v>2399</v>
      </c>
      <c r="H849" s="9" t="s">
        <v>2402</v>
      </c>
      <c r="I849" s="10">
        <v>45548</v>
      </c>
    </row>
    <row r="850" spans="1:9" x14ac:dyDescent="0.15">
      <c r="A850" s="9">
        <v>849</v>
      </c>
      <c r="B850" s="9" t="s">
        <v>9</v>
      </c>
      <c r="C850" s="9">
        <v>1915</v>
      </c>
      <c r="D850" s="10">
        <v>45639</v>
      </c>
      <c r="E850" s="13" t="str">
        <f>+HYPERLINK("http://trademark.i-assist.jp/data/china/image_1915th/80901530.pdf","80901530")</f>
        <v>80901530</v>
      </c>
      <c r="F850" s="9" t="s">
        <v>2403</v>
      </c>
      <c r="G850" s="9" t="s">
        <v>2404</v>
      </c>
      <c r="H850" s="9" t="s">
        <v>2405</v>
      </c>
      <c r="I850" s="10">
        <v>45548</v>
      </c>
    </row>
    <row r="851" spans="1:9" x14ac:dyDescent="0.15">
      <c r="A851" s="9">
        <v>850</v>
      </c>
      <c r="B851" s="9" t="s">
        <v>9</v>
      </c>
      <c r="C851" s="9">
        <v>1915</v>
      </c>
      <c r="D851" s="10">
        <v>45639</v>
      </c>
      <c r="E851" s="13" t="str">
        <f>+HYPERLINK("http://trademark.i-assist.jp/data/china/image_1915th/80901831.pdf","80901831")</f>
        <v>80901831</v>
      </c>
      <c r="F851" s="9" t="s">
        <v>2406</v>
      </c>
      <c r="G851" s="9" t="s">
        <v>2407</v>
      </c>
      <c r="H851" s="9" t="s">
        <v>2408</v>
      </c>
      <c r="I851" s="10">
        <v>45547</v>
      </c>
    </row>
    <row r="852" spans="1:9" x14ac:dyDescent="0.15">
      <c r="A852" s="9">
        <v>851</v>
      </c>
      <c r="B852" s="9" t="s">
        <v>9</v>
      </c>
      <c r="C852" s="9">
        <v>1915</v>
      </c>
      <c r="D852" s="10">
        <v>45639</v>
      </c>
      <c r="E852" s="13" t="str">
        <f>+HYPERLINK("http://trademark.i-assist.jp/data/china/image_1915th/80902628.pdf","80902628")</f>
        <v>80902628</v>
      </c>
      <c r="F852" s="9" t="s">
        <v>2409</v>
      </c>
      <c r="G852" s="9" t="s">
        <v>2410</v>
      </c>
      <c r="H852" s="9" t="s">
        <v>2411</v>
      </c>
      <c r="I852" s="10">
        <v>45547</v>
      </c>
    </row>
    <row r="853" spans="1:9" x14ac:dyDescent="0.15">
      <c r="A853" s="9">
        <v>852</v>
      </c>
      <c r="B853" s="9" t="s">
        <v>9</v>
      </c>
      <c r="C853" s="9">
        <v>1915</v>
      </c>
      <c r="D853" s="10">
        <v>45639</v>
      </c>
      <c r="E853" s="13" t="str">
        <f>+HYPERLINK("http://trademark.i-assist.jp/data/china/image_1915th/80902958.pdf","80902958")</f>
        <v>80902958</v>
      </c>
      <c r="F853" s="9" t="s">
        <v>2412</v>
      </c>
      <c r="G853" s="12" t="s">
        <v>2413</v>
      </c>
      <c r="H853" s="9" t="s">
        <v>2414</v>
      </c>
      <c r="I853" s="10">
        <v>45547</v>
      </c>
    </row>
    <row r="854" spans="1:9" x14ac:dyDescent="0.15">
      <c r="A854" s="9">
        <v>853</v>
      </c>
      <c r="B854" s="9" t="s">
        <v>9</v>
      </c>
      <c r="C854" s="9">
        <v>1915</v>
      </c>
      <c r="D854" s="10">
        <v>45639</v>
      </c>
      <c r="E854" s="13" t="str">
        <f>+HYPERLINK("http://trademark.i-assist.jp/data/china/image_1915th/80903376.pdf","80903376")</f>
        <v>80903376</v>
      </c>
      <c r="F854" s="9" t="s">
        <v>2415</v>
      </c>
      <c r="G854" s="9" t="s">
        <v>2416</v>
      </c>
      <c r="H854" s="9" t="s">
        <v>2417</v>
      </c>
      <c r="I854" s="10">
        <v>45548</v>
      </c>
    </row>
    <row r="855" spans="1:9" x14ac:dyDescent="0.15">
      <c r="A855" s="9">
        <v>854</v>
      </c>
      <c r="B855" s="9" t="s">
        <v>9</v>
      </c>
      <c r="C855" s="9">
        <v>1915</v>
      </c>
      <c r="D855" s="10">
        <v>45639</v>
      </c>
      <c r="E855" s="13" t="str">
        <f>+HYPERLINK("http://trademark.i-assist.jp/data/china/image_1915th/80904069.pdf","80904069")</f>
        <v>80904069</v>
      </c>
      <c r="F855" s="9" t="s">
        <v>2418</v>
      </c>
      <c r="G855" s="9" t="s">
        <v>2419</v>
      </c>
      <c r="H855" s="9" t="s">
        <v>2420</v>
      </c>
      <c r="I855" s="10">
        <v>45548</v>
      </c>
    </row>
    <row r="856" spans="1:9" x14ac:dyDescent="0.15">
      <c r="A856" s="9">
        <v>855</v>
      </c>
      <c r="B856" s="9" t="s">
        <v>9</v>
      </c>
      <c r="C856" s="9">
        <v>1915</v>
      </c>
      <c r="D856" s="10">
        <v>45639</v>
      </c>
      <c r="E856" s="13" t="str">
        <f>+HYPERLINK("http://trademark.i-assist.jp/data/china/image_1915th/80904589.pdf","80904589")</f>
        <v>80904589</v>
      </c>
      <c r="F856" s="12" t="s">
        <v>15</v>
      </c>
      <c r="G856" s="12" t="s">
        <v>2421</v>
      </c>
      <c r="H856" s="9" t="s">
        <v>2422</v>
      </c>
      <c r="I856" s="10">
        <v>45548</v>
      </c>
    </row>
    <row r="857" spans="1:9" x14ac:dyDescent="0.15">
      <c r="A857" s="9">
        <v>856</v>
      </c>
      <c r="B857" s="9" t="s">
        <v>9</v>
      </c>
      <c r="C857" s="9">
        <v>1915</v>
      </c>
      <c r="D857" s="10">
        <v>45639</v>
      </c>
      <c r="E857" s="13" t="str">
        <f>+HYPERLINK("http://trademark.i-assist.jp/data/china/image_1915th/80904936.pdf","80904936")</f>
        <v>80904936</v>
      </c>
      <c r="F857" s="9" t="s">
        <v>2423</v>
      </c>
      <c r="G857" s="9" t="s">
        <v>2424</v>
      </c>
      <c r="H857" s="9" t="s">
        <v>2425</v>
      </c>
      <c r="I857" s="10">
        <v>45548</v>
      </c>
    </row>
    <row r="858" spans="1:9" x14ac:dyDescent="0.15">
      <c r="A858" s="9">
        <v>857</v>
      </c>
      <c r="B858" s="9" t="s">
        <v>9</v>
      </c>
      <c r="C858" s="9">
        <v>1915</v>
      </c>
      <c r="D858" s="10">
        <v>45639</v>
      </c>
      <c r="E858" s="13" t="str">
        <f>+HYPERLINK("http://trademark.i-assist.jp/data/china/image_1915th/80904943.pdf","80904943")</f>
        <v>80904943</v>
      </c>
      <c r="F858" s="9" t="s">
        <v>2426</v>
      </c>
      <c r="G858" s="9" t="s">
        <v>2424</v>
      </c>
      <c r="H858" s="9" t="s">
        <v>2427</v>
      </c>
      <c r="I858" s="10">
        <v>45548</v>
      </c>
    </row>
    <row r="859" spans="1:9" x14ac:dyDescent="0.15">
      <c r="A859" s="9">
        <v>858</v>
      </c>
      <c r="B859" s="9" t="s">
        <v>9</v>
      </c>
      <c r="C859" s="9">
        <v>1915</v>
      </c>
      <c r="D859" s="10">
        <v>45639</v>
      </c>
      <c r="E859" s="13" t="str">
        <f>+HYPERLINK("http://trademark.i-assist.jp/data/china/image_1915th/80905072.pdf","80905072")</f>
        <v>80905072</v>
      </c>
      <c r="F859" s="9" t="s">
        <v>2428</v>
      </c>
      <c r="G859" s="9" t="s">
        <v>2429</v>
      </c>
      <c r="H859" s="9" t="s">
        <v>2430</v>
      </c>
      <c r="I859" s="10">
        <v>45548</v>
      </c>
    </row>
    <row r="860" spans="1:9" x14ac:dyDescent="0.15">
      <c r="A860" s="9">
        <v>859</v>
      </c>
      <c r="B860" s="9" t="s">
        <v>9</v>
      </c>
      <c r="C860" s="9">
        <v>1915</v>
      </c>
      <c r="D860" s="10">
        <v>45639</v>
      </c>
      <c r="E860" s="13" t="str">
        <f>+HYPERLINK("http://trademark.i-assist.jp/data/china/image_1915th/80905153.pdf","80905153")</f>
        <v>80905153</v>
      </c>
      <c r="F860" s="9" t="s">
        <v>2431</v>
      </c>
      <c r="G860" s="9" t="s">
        <v>2432</v>
      </c>
      <c r="H860" s="12" t="s">
        <v>2433</v>
      </c>
      <c r="I860" s="10">
        <v>45548</v>
      </c>
    </row>
    <row r="861" spans="1:9" x14ac:dyDescent="0.15">
      <c r="A861" s="9">
        <v>860</v>
      </c>
      <c r="B861" s="9" t="s">
        <v>9</v>
      </c>
      <c r="C861" s="9">
        <v>1915</v>
      </c>
      <c r="D861" s="10">
        <v>45639</v>
      </c>
      <c r="E861" s="13" t="str">
        <f>+HYPERLINK("http://trademark.i-assist.jp/data/china/image_1915th/80905483.pdf","80905483")</f>
        <v>80905483</v>
      </c>
      <c r="F861" s="9" t="s">
        <v>2434</v>
      </c>
      <c r="G861" s="12" t="s">
        <v>2435</v>
      </c>
      <c r="H861" s="9" t="s">
        <v>2436</v>
      </c>
      <c r="I861" s="10">
        <v>45548</v>
      </c>
    </row>
    <row r="862" spans="1:9" x14ac:dyDescent="0.15">
      <c r="A862" s="9">
        <v>861</v>
      </c>
      <c r="B862" s="9" t="s">
        <v>9</v>
      </c>
      <c r="C862" s="9">
        <v>1915</v>
      </c>
      <c r="D862" s="10">
        <v>45639</v>
      </c>
      <c r="E862" s="13" t="str">
        <f>+HYPERLINK("http://trademark.i-assist.jp/data/china/image_1915th/80905608.pdf","80905608")</f>
        <v>80905608</v>
      </c>
      <c r="F862" s="12" t="s">
        <v>2437</v>
      </c>
      <c r="G862" s="9" t="s">
        <v>2438</v>
      </c>
      <c r="H862" s="9" t="s">
        <v>2439</v>
      </c>
      <c r="I862" s="10">
        <v>45548</v>
      </c>
    </row>
    <row r="863" spans="1:9" x14ac:dyDescent="0.15">
      <c r="A863" s="9">
        <v>862</v>
      </c>
      <c r="B863" s="9" t="s">
        <v>9</v>
      </c>
      <c r="C863" s="9">
        <v>1915</v>
      </c>
      <c r="D863" s="10">
        <v>45639</v>
      </c>
      <c r="E863" s="13" t="str">
        <f>+HYPERLINK("http://trademark.i-assist.jp/data/china/image_1915th/80906046.pdf","80906046")</f>
        <v>80906046</v>
      </c>
      <c r="F863" s="9" t="s">
        <v>2440</v>
      </c>
      <c r="G863" s="12" t="s">
        <v>2441</v>
      </c>
      <c r="H863" s="9" t="s">
        <v>2442</v>
      </c>
      <c r="I863" s="10">
        <v>45548</v>
      </c>
    </row>
    <row r="864" spans="1:9" x14ac:dyDescent="0.15">
      <c r="A864" s="9">
        <v>863</v>
      </c>
      <c r="B864" s="9" t="s">
        <v>9</v>
      </c>
      <c r="C864" s="9">
        <v>1915</v>
      </c>
      <c r="D864" s="10">
        <v>45639</v>
      </c>
      <c r="E864" s="13" t="str">
        <f>+HYPERLINK("http://trademark.i-assist.jp/data/china/image_1915th/80906246.pdf","80906246")</f>
        <v>80906246</v>
      </c>
      <c r="F864" s="12" t="s">
        <v>2443</v>
      </c>
      <c r="G864" s="9" t="s">
        <v>2444</v>
      </c>
      <c r="H864" s="12" t="s">
        <v>2445</v>
      </c>
      <c r="I864" s="10">
        <v>45548</v>
      </c>
    </row>
    <row r="865" spans="1:9" x14ac:dyDescent="0.15">
      <c r="A865" s="9">
        <v>864</v>
      </c>
      <c r="B865" s="9" t="s">
        <v>9</v>
      </c>
      <c r="C865" s="9">
        <v>1915</v>
      </c>
      <c r="D865" s="10">
        <v>45639</v>
      </c>
      <c r="E865" s="13" t="str">
        <f>+HYPERLINK("http://trademark.i-assist.jp/data/china/image_1915th/80906610.pdf","80906610")</f>
        <v>80906610</v>
      </c>
      <c r="F865" s="9" t="s">
        <v>2446</v>
      </c>
      <c r="G865" s="9" t="s">
        <v>2447</v>
      </c>
      <c r="H865" s="9" t="s">
        <v>2448</v>
      </c>
      <c r="I865" s="10">
        <v>45548</v>
      </c>
    </row>
    <row r="866" spans="1:9" x14ac:dyDescent="0.15">
      <c r="A866" s="9">
        <v>865</v>
      </c>
      <c r="B866" s="9" t="s">
        <v>9</v>
      </c>
      <c r="C866" s="9">
        <v>1915</v>
      </c>
      <c r="D866" s="10">
        <v>45639</v>
      </c>
      <c r="E866" s="13" t="str">
        <f>+HYPERLINK("http://trademark.i-assist.jp/data/china/image_1915th/80906750.pdf","80906750")</f>
        <v>80906750</v>
      </c>
      <c r="F866" s="9" t="s">
        <v>2449</v>
      </c>
      <c r="G866" s="12" t="s">
        <v>2450</v>
      </c>
      <c r="H866" s="9" t="s">
        <v>2451</v>
      </c>
      <c r="I866" s="10">
        <v>45548</v>
      </c>
    </row>
    <row r="867" spans="1:9" x14ac:dyDescent="0.15">
      <c r="A867" s="9">
        <v>866</v>
      </c>
      <c r="B867" s="9" t="s">
        <v>9</v>
      </c>
      <c r="C867" s="9">
        <v>1915</v>
      </c>
      <c r="D867" s="10">
        <v>45639</v>
      </c>
      <c r="E867" s="13" t="str">
        <f>+HYPERLINK("http://trademark.i-assist.jp/data/china/image_1915th/80907003.pdf","80907003")</f>
        <v>80907003</v>
      </c>
      <c r="F867" s="9" t="s">
        <v>2452</v>
      </c>
      <c r="G867" s="9" t="s">
        <v>2453</v>
      </c>
      <c r="H867" s="9" t="s">
        <v>2454</v>
      </c>
      <c r="I867" s="10">
        <v>45548</v>
      </c>
    </row>
    <row r="868" spans="1:9" x14ac:dyDescent="0.15">
      <c r="A868" s="9">
        <v>867</v>
      </c>
      <c r="B868" s="9" t="s">
        <v>9</v>
      </c>
      <c r="C868" s="9">
        <v>1915</v>
      </c>
      <c r="D868" s="10">
        <v>45639</v>
      </c>
      <c r="E868" s="13" t="str">
        <f>+HYPERLINK("http://trademark.i-assist.jp/data/china/image_1915th/80907356.pdf","80907356")</f>
        <v>80907356</v>
      </c>
      <c r="F868" s="9" t="s">
        <v>2455</v>
      </c>
      <c r="G868" s="9" t="s">
        <v>2456</v>
      </c>
      <c r="H868" s="9" t="s">
        <v>2457</v>
      </c>
      <c r="I868" s="10">
        <v>45548</v>
      </c>
    </row>
    <row r="869" spans="1:9" x14ac:dyDescent="0.15">
      <c r="A869" s="9">
        <v>868</v>
      </c>
      <c r="B869" s="9" t="s">
        <v>9</v>
      </c>
      <c r="C869" s="9">
        <v>1915</v>
      </c>
      <c r="D869" s="10">
        <v>45639</v>
      </c>
      <c r="E869" s="13" t="str">
        <f>+HYPERLINK("http://trademark.i-assist.jp/data/china/image_1915th/80907564.pdf","80907564")</f>
        <v>80907564</v>
      </c>
      <c r="F869" s="9" t="s">
        <v>2458</v>
      </c>
      <c r="G869" s="9" t="s">
        <v>2459</v>
      </c>
      <c r="H869" s="9" t="s">
        <v>2460</v>
      </c>
      <c r="I869" s="10">
        <v>45548</v>
      </c>
    </row>
    <row r="870" spans="1:9" x14ac:dyDescent="0.15">
      <c r="A870" s="9">
        <v>869</v>
      </c>
      <c r="B870" s="9" t="s">
        <v>9</v>
      </c>
      <c r="C870" s="9">
        <v>1915</v>
      </c>
      <c r="D870" s="10">
        <v>45639</v>
      </c>
      <c r="E870" s="13" t="str">
        <f>+HYPERLINK("http://trademark.i-assist.jp/data/china/image_1915th/80907942.pdf","80907942")</f>
        <v>80907942</v>
      </c>
      <c r="F870" s="9" t="s">
        <v>2461</v>
      </c>
      <c r="G870" s="9" t="s">
        <v>2462</v>
      </c>
      <c r="H870" s="9" t="s">
        <v>2463</v>
      </c>
      <c r="I870" s="10">
        <v>45548</v>
      </c>
    </row>
    <row r="871" spans="1:9" x14ac:dyDescent="0.15">
      <c r="A871" s="9">
        <v>870</v>
      </c>
      <c r="B871" s="9" t="s">
        <v>9</v>
      </c>
      <c r="C871" s="9">
        <v>1915</v>
      </c>
      <c r="D871" s="10">
        <v>45639</v>
      </c>
      <c r="E871" s="13" t="str">
        <f>+HYPERLINK("http://trademark.i-assist.jp/data/china/image_1915th/80908470.pdf","80908470")</f>
        <v>80908470</v>
      </c>
      <c r="F871" s="9" t="s">
        <v>2464</v>
      </c>
      <c r="G871" s="12" t="s">
        <v>2465</v>
      </c>
      <c r="H871" s="9" t="s">
        <v>2466</v>
      </c>
      <c r="I871" s="10">
        <v>45548</v>
      </c>
    </row>
    <row r="872" spans="1:9" x14ac:dyDescent="0.15">
      <c r="A872" s="9">
        <v>871</v>
      </c>
      <c r="B872" s="9" t="s">
        <v>9</v>
      </c>
      <c r="C872" s="9">
        <v>1915</v>
      </c>
      <c r="D872" s="10">
        <v>45639</v>
      </c>
      <c r="E872" s="13" t="str">
        <f>+HYPERLINK("http://trademark.i-assist.jp/data/china/image_1915th/80909117.pdf","80909117")</f>
        <v>80909117</v>
      </c>
      <c r="F872" s="9" t="s">
        <v>2467</v>
      </c>
      <c r="G872" s="9" t="s">
        <v>2468</v>
      </c>
      <c r="H872" s="9" t="s">
        <v>2469</v>
      </c>
      <c r="I872" s="10">
        <v>45548</v>
      </c>
    </row>
    <row r="873" spans="1:9" x14ac:dyDescent="0.15">
      <c r="A873" s="9">
        <v>872</v>
      </c>
      <c r="B873" s="9" t="s">
        <v>9</v>
      </c>
      <c r="C873" s="9">
        <v>1915</v>
      </c>
      <c r="D873" s="10">
        <v>45639</v>
      </c>
      <c r="E873" s="13" t="str">
        <f>+HYPERLINK("http://trademark.i-assist.jp/data/china/image_1915th/80910297.pdf","80910297")</f>
        <v>80910297</v>
      </c>
      <c r="F873" s="9" t="s">
        <v>2470</v>
      </c>
      <c r="G873" s="9" t="s">
        <v>2471</v>
      </c>
      <c r="H873" s="9" t="s">
        <v>2472</v>
      </c>
      <c r="I873" s="10">
        <v>45548</v>
      </c>
    </row>
    <row r="874" spans="1:9" x14ac:dyDescent="0.15">
      <c r="A874" s="9">
        <v>873</v>
      </c>
      <c r="B874" s="9" t="s">
        <v>9</v>
      </c>
      <c r="C874" s="9">
        <v>1915</v>
      </c>
      <c r="D874" s="10">
        <v>45639</v>
      </c>
      <c r="E874" s="13" t="str">
        <f>+HYPERLINK("http://trademark.i-assist.jp/data/china/image_1915th/80910638.pdf","80910638")</f>
        <v>80910638</v>
      </c>
      <c r="F874" s="9" t="s">
        <v>2473</v>
      </c>
      <c r="G874" s="9" t="s">
        <v>2468</v>
      </c>
      <c r="H874" s="9" t="s">
        <v>2474</v>
      </c>
      <c r="I874" s="10">
        <v>45548</v>
      </c>
    </row>
    <row r="875" spans="1:9" x14ac:dyDescent="0.15">
      <c r="A875" s="9">
        <v>874</v>
      </c>
      <c r="B875" s="9" t="s">
        <v>9</v>
      </c>
      <c r="C875" s="9">
        <v>1915</v>
      </c>
      <c r="D875" s="10">
        <v>45639</v>
      </c>
      <c r="E875" s="13" t="str">
        <f>+HYPERLINK("http://trademark.i-assist.jp/data/china/image_1915th/80911252.pdf","80911252")</f>
        <v>80911252</v>
      </c>
      <c r="F875" s="12" t="s">
        <v>15</v>
      </c>
      <c r="G875" s="9" t="s">
        <v>2475</v>
      </c>
      <c r="H875" s="9" t="s">
        <v>2476</v>
      </c>
      <c r="I875" s="10">
        <v>45548</v>
      </c>
    </row>
    <row r="876" spans="1:9" x14ac:dyDescent="0.15">
      <c r="A876" s="9">
        <v>875</v>
      </c>
      <c r="B876" s="9" t="s">
        <v>9</v>
      </c>
      <c r="C876" s="9">
        <v>1915</v>
      </c>
      <c r="D876" s="10">
        <v>45639</v>
      </c>
      <c r="E876" s="13" t="str">
        <f>+HYPERLINK("http://trademark.i-assist.jp/data/china/image_1915th/80911683.pdf","80911683")</f>
        <v>80911683</v>
      </c>
      <c r="F876" s="12" t="s">
        <v>2477</v>
      </c>
      <c r="G876" s="9" t="s">
        <v>2478</v>
      </c>
      <c r="H876" s="9" t="s">
        <v>2479</v>
      </c>
      <c r="I876" s="10">
        <v>45548</v>
      </c>
    </row>
    <row r="877" spans="1:9" x14ac:dyDescent="0.15">
      <c r="A877" s="9">
        <v>876</v>
      </c>
      <c r="B877" s="9" t="s">
        <v>9</v>
      </c>
      <c r="C877" s="9">
        <v>1915</v>
      </c>
      <c r="D877" s="10">
        <v>45639</v>
      </c>
      <c r="E877" s="13" t="str">
        <f>+HYPERLINK("http://trademark.i-assist.jp/data/china/image_1915th/80912131.pdf","80912131")</f>
        <v>80912131</v>
      </c>
      <c r="F877" s="9" t="s">
        <v>2480</v>
      </c>
      <c r="G877" s="12" t="s">
        <v>2481</v>
      </c>
      <c r="H877" s="9" t="s">
        <v>2482</v>
      </c>
      <c r="I877" s="10">
        <v>45548</v>
      </c>
    </row>
    <row r="878" spans="1:9" x14ac:dyDescent="0.15">
      <c r="A878" s="9">
        <v>877</v>
      </c>
      <c r="B878" s="9" t="s">
        <v>9</v>
      </c>
      <c r="C878" s="9">
        <v>1915</v>
      </c>
      <c r="D878" s="10">
        <v>45639</v>
      </c>
      <c r="E878" s="13" t="str">
        <f>+HYPERLINK("http://trademark.i-assist.jp/data/china/image_1915th/80912783.pdf","80912783")</f>
        <v>80912783</v>
      </c>
      <c r="F878" s="9" t="s">
        <v>2483</v>
      </c>
      <c r="G878" s="12" t="s">
        <v>2484</v>
      </c>
      <c r="H878" s="9" t="s">
        <v>2485</v>
      </c>
      <c r="I878" s="10">
        <v>45547</v>
      </c>
    </row>
    <row r="879" spans="1:9" x14ac:dyDescent="0.15">
      <c r="A879" s="9">
        <v>878</v>
      </c>
      <c r="B879" s="9" t="s">
        <v>9</v>
      </c>
      <c r="C879" s="9">
        <v>1915</v>
      </c>
      <c r="D879" s="10">
        <v>45639</v>
      </c>
      <c r="E879" s="13" t="str">
        <f>+HYPERLINK("http://trademark.i-assist.jp/data/china/image_1915th/80913417.pdf","80913417")</f>
        <v>80913417</v>
      </c>
      <c r="F879" s="9" t="s">
        <v>2486</v>
      </c>
      <c r="G879" s="12" t="s">
        <v>2487</v>
      </c>
      <c r="H879" s="9" t="s">
        <v>2488</v>
      </c>
      <c r="I879" s="10">
        <v>45548</v>
      </c>
    </row>
    <row r="880" spans="1:9" x14ac:dyDescent="0.15">
      <c r="A880" s="9">
        <v>879</v>
      </c>
      <c r="B880" s="9" t="s">
        <v>9</v>
      </c>
      <c r="C880" s="9">
        <v>1915</v>
      </c>
      <c r="D880" s="10">
        <v>45639</v>
      </c>
      <c r="E880" s="13" t="str">
        <f>+HYPERLINK("http://trademark.i-assist.jp/data/china/image_1915th/80913709.pdf","80913709")</f>
        <v>80913709</v>
      </c>
      <c r="F880" s="9" t="s">
        <v>2489</v>
      </c>
      <c r="G880" s="12" t="s">
        <v>2490</v>
      </c>
      <c r="H880" s="9" t="s">
        <v>2491</v>
      </c>
      <c r="I880" s="10">
        <v>45547</v>
      </c>
    </row>
    <row r="881" spans="1:9" x14ac:dyDescent="0.15">
      <c r="A881" s="9">
        <v>880</v>
      </c>
      <c r="B881" s="9" t="s">
        <v>9</v>
      </c>
      <c r="C881" s="9">
        <v>1915</v>
      </c>
      <c r="D881" s="10">
        <v>45639</v>
      </c>
      <c r="E881" s="13" t="str">
        <f>+HYPERLINK("http://trademark.i-assist.jp/data/china/image_1915th/80914068.pdf","80914068")</f>
        <v>80914068</v>
      </c>
      <c r="F881" s="12" t="s">
        <v>2492</v>
      </c>
      <c r="G881" s="9" t="s">
        <v>2210</v>
      </c>
      <c r="H881" s="9" t="s">
        <v>2493</v>
      </c>
      <c r="I881" s="10">
        <v>45547</v>
      </c>
    </row>
    <row r="882" spans="1:9" x14ac:dyDescent="0.15">
      <c r="A882" s="9">
        <v>881</v>
      </c>
      <c r="B882" s="9" t="s">
        <v>9</v>
      </c>
      <c r="C882" s="9">
        <v>1915</v>
      </c>
      <c r="D882" s="10">
        <v>45639</v>
      </c>
      <c r="E882" s="13" t="str">
        <f>+HYPERLINK("http://trademark.i-assist.jp/data/china/image_1915th/80914251.pdf","80914251")</f>
        <v>80914251</v>
      </c>
      <c r="F882" s="12" t="s">
        <v>2494</v>
      </c>
      <c r="G882" s="12" t="s">
        <v>2495</v>
      </c>
      <c r="H882" s="9" t="s">
        <v>2496</v>
      </c>
      <c r="I882" s="10">
        <v>45547</v>
      </c>
    </row>
    <row r="883" spans="1:9" x14ac:dyDescent="0.15">
      <c r="A883" s="9">
        <v>882</v>
      </c>
      <c r="B883" s="9" t="s">
        <v>9</v>
      </c>
      <c r="C883" s="9">
        <v>1915</v>
      </c>
      <c r="D883" s="10">
        <v>45639</v>
      </c>
      <c r="E883" s="13" t="str">
        <f>+HYPERLINK("http://trademark.i-assist.jp/data/china/image_1915th/80914287.pdf","80914287")</f>
        <v>80914287</v>
      </c>
      <c r="F883" s="12" t="s">
        <v>2497</v>
      </c>
      <c r="G883" s="9" t="s">
        <v>2498</v>
      </c>
      <c r="H883" s="9" t="s">
        <v>2499</v>
      </c>
      <c r="I883" s="10">
        <v>45547</v>
      </c>
    </row>
    <row r="884" spans="1:9" x14ac:dyDescent="0.15">
      <c r="A884" s="9">
        <v>883</v>
      </c>
      <c r="B884" s="9" t="s">
        <v>9</v>
      </c>
      <c r="C884" s="9">
        <v>1915</v>
      </c>
      <c r="D884" s="10">
        <v>45639</v>
      </c>
      <c r="E884" s="13" t="str">
        <f>+HYPERLINK("http://trademark.i-assist.jp/data/china/image_1915th/80914360.pdf","80914360")</f>
        <v>80914360</v>
      </c>
      <c r="F884" s="12" t="s">
        <v>2500</v>
      </c>
      <c r="G884" s="9" t="s">
        <v>2218</v>
      </c>
      <c r="H884" s="9" t="s">
        <v>2501</v>
      </c>
      <c r="I884" s="10">
        <v>45547</v>
      </c>
    </row>
    <row r="885" spans="1:9" x14ac:dyDescent="0.15">
      <c r="A885" s="9">
        <v>884</v>
      </c>
      <c r="B885" s="9" t="s">
        <v>9</v>
      </c>
      <c r="C885" s="9">
        <v>1915</v>
      </c>
      <c r="D885" s="10">
        <v>45639</v>
      </c>
      <c r="E885" s="13" t="str">
        <f>+HYPERLINK("http://trademark.i-assist.jp/data/china/image_1915th/80914531.pdf","80914531")</f>
        <v>80914531</v>
      </c>
      <c r="F885" s="9" t="s">
        <v>2502</v>
      </c>
      <c r="G885" s="9" t="s">
        <v>2250</v>
      </c>
      <c r="H885" s="9" t="s">
        <v>2503</v>
      </c>
      <c r="I885" s="10">
        <v>45547</v>
      </c>
    </row>
    <row r="886" spans="1:9" x14ac:dyDescent="0.15">
      <c r="A886" s="9">
        <v>885</v>
      </c>
      <c r="B886" s="9" t="s">
        <v>9</v>
      </c>
      <c r="C886" s="9">
        <v>1915</v>
      </c>
      <c r="D886" s="10">
        <v>45639</v>
      </c>
      <c r="E886" s="13" t="str">
        <f>+HYPERLINK("http://trademark.i-assist.jp/data/china/image_1915th/80914712.pdf","80914712")</f>
        <v>80914712</v>
      </c>
      <c r="F886" s="9" t="s">
        <v>2504</v>
      </c>
      <c r="G886" s="9" t="s">
        <v>2505</v>
      </c>
      <c r="H886" s="9" t="s">
        <v>2506</v>
      </c>
      <c r="I886" s="10">
        <v>45547</v>
      </c>
    </row>
    <row r="887" spans="1:9" x14ac:dyDescent="0.15">
      <c r="A887" s="9">
        <v>886</v>
      </c>
      <c r="B887" s="9" t="s">
        <v>9</v>
      </c>
      <c r="C887" s="9">
        <v>1915</v>
      </c>
      <c r="D887" s="10">
        <v>45639</v>
      </c>
      <c r="E887" s="13" t="str">
        <f>+HYPERLINK("http://trademark.i-assist.jp/data/china/image_1915th/80914863.pdf","80914863")</f>
        <v>80914863</v>
      </c>
      <c r="F887" s="12" t="s">
        <v>2507</v>
      </c>
      <c r="G887" s="9" t="s">
        <v>2508</v>
      </c>
      <c r="H887" s="9" t="s">
        <v>2509</v>
      </c>
      <c r="I887" s="10">
        <v>45547</v>
      </c>
    </row>
    <row r="888" spans="1:9" x14ac:dyDescent="0.15">
      <c r="A888" s="9">
        <v>887</v>
      </c>
      <c r="B888" s="9" t="s">
        <v>9</v>
      </c>
      <c r="C888" s="9">
        <v>1915</v>
      </c>
      <c r="D888" s="10">
        <v>45639</v>
      </c>
      <c r="E888" s="13" t="str">
        <f>+HYPERLINK("http://trademark.i-assist.jp/data/china/image_1915th/80916015.pdf","80916015")</f>
        <v>80916015</v>
      </c>
      <c r="F888" s="12" t="s">
        <v>2510</v>
      </c>
      <c r="G888" s="9" t="s">
        <v>2511</v>
      </c>
      <c r="H888" s="9" t="s">
        <v>2512</v>
      </c>
      <c r="I888" s="10">
        <v>45548</v>
      </c>
    </row>
    <row r="889" spans="1:9" x14ac:dyDescent="0.15">
      <c r="A889" s="9">
        <v>888</v>
      </c>
      <c r="B889" s="9" t="s">
        <v>9</v>
      </c>
      <c r="C889" s="9">
        <v>1915</v>
      </c>
      <c r="D889" s="10">
        <v>45639</v>
      </c>
      <c r="E889" s="13" t="str">
        <f>+HYPERLINK("http://trademark.i-assist.jp/data/china/image_1915th/80916993.pdf","80916993")</f>
        <v>80916993</v>
      </c>
      <c r="F889" s="9" t="s">
        <v>2513</v>
      </c>
      <c r="G889" s="9" t="s">
        <v>2514</v>
      </c>
      <c r="H889" s="9" t="s">
        <v>2515</v>
      </c>
      <c r="I889" s="10">
        <v>45548</v>
      </c>
    </row>
    <row r="890" spans="1:9" x14ac:dyDescent="0.15">
      <c r="A890" s="9">
        <v>889</v>
      </c>
      <c r="B890" s="9" t="s">
        <v>9</v>
      </c>
      <c r="C890" s="9">
        <v>1915</v>
      </c>
      <c r="D890" s="10">
        <v>45639</v>
      </c>
      <c r="E890" s="13" t="str">
        <f>+HYPERLINK("http://trademark.i-assist.jp/data/china/image_1915th/80917108.pdf","80917108")</f>
        <v>80917108</v>
      </c>
      <c r="F890" s="9" t="s">
        <v>2516</v>
      </c>
      <c r="G890" s="9" t="s">
        <v>2517</v>
      </c>
      <c r="H890" s="9" t="s">
        <v>2518</v>
      </c>
      <c r="I890" s="10">
        <v>45548</v>
      </c>
    </row>
    <row r="891" spans="1:9" x14ac:dyDescent="0.15">
      <c r="A891" s="9">
        <v>890</v>
      </c>
      <c r="B891" s="9" t="s">
        <v>9</v>
      </c>
      <c r="C891" s="9">
        <v>1915</v>
      </c>
      <c r="D891" s="10">
        <v>45639</v>
      </c>
      <c r="E891" s="13" t="str">
        <f>+HYPERLINK("http://trademark.i-assist.jp/data/china/image_1915th/80917339.pdf","80917339")</f>
        <v>80917339</v>
      </c>
      <c r="F891" s="9" t="s">
        <v>2519</v>
      </c>
      <c r="G891" s="9" t="s">
        <v>2520</v>
      </c>
      <c r="H891" s="9" t="s">
        <v>2521</v>
      </c>
      <c r="I891" s="10">
        <v>45548</v>
      </c>
    </row>
    <row r="892" spans="1:9" x14ac:dyDescent="0.15">
      <c r="A892" s="9">
        <v>891</v>
      </c>
      <c r="B892" s="9" t="s">
        <v>9</v>
      </c>
      <c r="C892" s="9">
        <v>1915</v>
      </c>
      <c r="D892" s="10">
        <v>45639</v>
      </c>
      <c r="E892" s="13" t="str">
        <f>+HYPERLINK("http://trademark.i-assist.jp/data/china/image_1915th/80917670.pdf","80917670")</f>
        <v>80917670</v>
      </c>
      <c r="F892" s="9" t="s">
        <v>2522</v>
      </c>
      <c r="G892" s="12" t="s">
        <v>2523</v>
      </c>
      <c r="H892" s="9" t="s">
        <v>2524</v>
      </c>
      <c r="I892" s="10">
        <v>45548</v>
      </c>
    </row>
    <row r="893" spans="1:9" x14ac:dyDescent="0.15">
      <c r="A893" s="9">
        <v>892</v>
      </c>
      <c r="B893" s="9" t="s">
        <v>9</v>
      </c>
      <c r="C893" s="9">
        <v>1915</v>
      </c>
      <c r="D893" s="10">
        <v>45639</v>
      </c>
      <c r="E893" s="13" t="str">
        <f>+HYPERLINK("http://trademark.i-assist.jp/data/china/image_1915th/80917833.pdf","80917833")</f>
        <v>80917833</v>
      </c>
      <c r="F893" s="9" t="s">
        <v>2525</v>
      </c>
      <c r="G893" s="9" t="s">
        <v>2459</v>
      </c>
      <c r="H893" s="9" t="s">
        <v>2526</v>
      </c>
      <c r="I893" s="10">
        <v>45548</v>
      </c>
    </row>
    <row r="894" spans="1:9" x14ac:dyDescent="0.15">
      <c r="A894" s="9">
        <v>893</v>
      </c>
      <c r="B894" s="9" t="s">
        <v>9</v>
      </c>
      <c r="C894" s="9">
        <v>1915</v>
      </c>
      <c r="D894" s="10">
        <v>45639</v>
      </c>
      <c r="E894" s="13" t="str">
        <f>+HYPERLINK("http://trademark.i-assist.jp/data/china/image_1915th/80918249.pdf","80918249")</f>
        <v>80918249</v>
      </c>
      <c r="F894" s="9" t="s">
        <v>2527</v>
      </c>
      <c r="G894" s="9" t="s">
        <v>2424</v>
      </c>
      <c r="H894" s="9" t="s">
        <v>2528</v>
      </c>
      <c r="I894" s="10">
        <v>45548</v>
      </c>
    </row>
    <row r="895" spans="1:9" x14ac:dyDescent="0.15">
      <c r="A895" s="9">
        <v>894</v>
      </c>
      <c r="B895" s="9" t="s">
        <v>9</v>
      </c>
      <c r="C895" s="9">
        <v>1915</v>
      </c>
      <c r="D895" s="10">
        <v>45639</v>
      </c>
      <c r="E895" s="13" t="str">
        <f>+HYPERLINK("http://trademark.i-assist.jp/data/china/image_1915th/80918520.pdf","80918520")</f>
        <v>80918520</v>
      </c>
      <c r="F895" s="9" t="s">
        <v>2529</v>
      </c>
      <c r="G895" s="12" t="s">
        <v>2530</v>
      </c>
      <c r="H895" s="9" t="s">
        <v>2531</v>
      </c>
      <c r="I895" s="10">
        <v>45548</v>
      </c>
    </row>
    <row r="896" spans="1:9" x14ac:dyDescent="0.15">
      <c r="A896" s="9">
        <v>895</v>
      </c>
      <c r="B896" s="9" t="s">
        <v>9</v>
      </c>
      <c r="C896" s="9">
        <v>1915</v>
      </c>
      <c r="D896" s="10">
        <v>45639</v>
      </c>
      <c r="E896" s="13" t="str">
        <f>+HYPERLINK("http://trademark.i-assist.jp/data/china/image_1915th/80919308.pdf","80919308")</f>
        <v>80919308</v>
      </c>
      <c r="F896" s="9" t="s">
        <v>2532</v>
      </c>
      <c r="G896" s="12" t="s">
        <v>85</v>
      </c>
      <c r="H896" s="9" t="s">
        <v>2533</v>
      </c>
      <c r="I896" s="10">
        <v>45548</v>
      </c>
    </row>
    <row r="897" spans="1:9" x14ac:dyDescent="0.15">
      <c r="A897" s="9">
        <v>896</v>
      </c>
      <c r="B897" s="9" t="s">
        <v>9</v>
      </c>
      <c r="C897" s="9">
        <v>1915</v>
      </c>
      <c r="D897" s="10">
        <v>45639</v>
      </c>
      <c r="E897" s="13" t="str">
        <f>+HYPERLINK("http://trademark.i-assist.jp/data/china/image_1915th/80919481.pdf","80919481")</f>
        <v>80919481</v>
      </c>
      <c r="F897" s="9" t="s">
        <v>2534</v>
      </c>
      <c r="G897" s="9" t="s">
        <v>2535</v>
      </c>
      <c r="H897" s="9" t="s">
        <v>2536</v>
      </c>
      <c r="I897" s="10">
        <v>45548</v>
      </c>
    </row>
    <row r="898" spans="1:9" x14ac:dyDescent="0.15">
      <c r="A898" s="9">
        <v>897</v>
      </c>
      <c r="B898" s="9" t="s">
        <v>9</v>
      </c>
      <c r="C898" s="9">
        <v>1915</v>
      </c>
      <c r="D898" s="10">
        <v>45639</v>
      </c>
      <c r="E898" s="13" t="str">
        <f>+HYPERLINK("http://trademark.i-assist.jp/data/china/image_1915th/80919923.pdf","80919923")</f>
        <v>80919923</v>
      </c>
      <c r="F898" s="9" t="s">
        <v>2537</v>
      </c>
      <c r="G898" s="9" t="s">
        <v>2538</v>
      </c>
      <c r="H898" s="9" t="s">
        <v>2539</v>
      </c>
      <c r="I898" s="10">
        <v>45548</v>
      </c>
    </row>
    <row r="899" spans="1:9" x14ac:dyDescent="0.15">
      <c r="A899" s="9">
        <v>898</v>
      </c>
      <c r="B899" s="9" t="s">
        <v>9</v>
      </c>
      <c r="C899" s="9">
        <v>1915</v>
      </c>
      <c r="D899" s="10">
        <v>45639</v>
      </c>
      <c r="E899" s="13" t="str">
        <f>+HYPERLINK("http://trademark.i-assist.jp/data/china/image_1915th/80920899.pdf","80920899")</f>
        <v>80920899</v>
      </c>
      <c r="F899" s="9" t="s">
        <v>2540</v>
      </c>
      <c r="G899" s="12" t="s">
        <v>890</v>
      </c>
      <c r="H899" s="9" t="s">
        <v>2541</v>
      </c>
      <c r="I899" s="10">
        <v>45548</v>
      </c>
    </row>
    <row r="900" spans="1:9" x14ac:dyDescent="0.15">
      <c r="A900" s="9">
        <v>899</v>
      </c>
      <c r="B900" s="9" t="s">
        <v>9</v>
      </c>
      <c r="C900" s="9">
        <v>1915</v>
      </c>
      <c r="D900" s="10">
        <v>45639</v>
      </c>
      <c r="E900" s="13" t="str">
        <f>+HYPERLINK("http://trademark.i-assist.jp/data/china/image_1915th/80921133.pdf","80921133")</f>
        <v>80921133</v>
      </c>
      <c r="F900" s="12" t="s">
        <v>2542</v>
      </c>
      <c r="G900" s="9" t="s">
        <v>2543</v>
      </c>
      <c r="H900" s="9" t="s">
        <v>2544</v>
      </c>
      <c r="I900" s="10">
        <v>45548</v>
      </c>
    </row>
    <row r="901" spans="1:9" x14ac:dyDescent="0.15">
      <c r="A901" s="9">
        <v>900</v>
      </c>
      <c r="B901" s="9" t="s">
        <v>9</v>
      </c>
      <c r="C901" s="9">
        <v>1915</v>
      </c>
      <c r="D901" s="10">
        <v>45639</v>
      </c>
      <c r="E901" s="13" t="str">
        <f>+HYPERLINK("http://trademark.i-assist.jp/data/china/image_1915th/80922608.pdf","80922608")</f>
        <v>80922608</v>
      </c>
      <c r="F901" s="9" t="s">
        <v>2545</v>
      </c>
      <c r="G901" s="12" t="s">
        <v>2546</v>
      </c>
      <c r="H901" s="9" t="s">
        <v>2547</v>
      </c>
      <c r="I901" s="10">
        <v>45548</v>
      </c>
    </row>
    <row r="902" spans="1:9" x14ac:dyDescent="0.15">
      <c r="A902" s="9">
        <v>901</v>
      </c>
      <c r="B902" s="9" t="s">
        <v>9</v>
      </c>
      <c r="C902" s="9">
        <v>1915</v>
      </c>
      <c r="D902" s="10">
        <v>45639</v>
      </c>
      <c r="E902" s="13" t="str">
        <f>+HYPERLINK("http://trademark.i-assist.jp/data/china/image_1915th/80922822.pdf","80922822")</f>
        <v>80922822</v>
      </c>
      <c r="F902" s="12" t="s">
        <v>2548</v>
      </c>
      <c r="G902" s="12" t="s">
        <v>2549</v>
      </c>
      <c r="H902" s="9" t="s">
        <v>2550</v>
      </c>
      <c r="I902" s="10">
        <v>45548</v>
      </c>
    </row>
    <row r="903" spans="1:9" x14ac:dyDescent="0.15">
      <c r="A903" s="9">
        <v>902</v>
      </c>
      <c r="B903" s="9" t="s">
        <v>9</v>
      </c>
      <c r="C903" s="9">
        <v>1915</v>
      </c>
      <c r="D903" s="10">
        <v>45639</v>
      </c>
      <c r="E903" s="13" t="str">
        <f>+HYPERLINK("http://trademark.i-assist.jp/data/china/image_1915th/80923183.pdf","80923183")</f>
        <v>80923183</v>
      </c>
      <c r="F903" s="9" t="s">
        <v>2551</v>
      </c>
      <c r="G903" s="9" t="s">
        <v>2552</v>
      </c>
      <c r="H903" s="9" t="s">
        <v>2553</v>
      </c>
      <c r="I903" s="10">
        <v>45548</v>
      </c>
    </row>
    <row r="904" spans="1:9" x14ac:dyDescent="0.15">
      <c r="A904" s="9">
        <v>903</v>
      </c>
      <c r="B904" s="9" t="s">
        <v>9</v>
      </c>
      <c r="C904" s="9">
        <v>1915</v>
      </c>
      <c r="D904" s="10">
        <v>45639</v>
      </c>
      <c r="E904" s="13" t="str">
        <f>+HYPERLINK("http://trademark.i-assist.jp/data/china/image_1915th/80923608.pdf","80923608")</f>
        <v>80923608</v>
      </c>
      <c r="F904" s="9" t="s">
        <v>2554</v>
      </c>
      <c r="G904" s="12" t="s">
        <v>2523</v>
      </c>
      <c r="H904" s="9" t="s">
        <v>2555</v>
      </c>
      <c r="I904" s="10">
        <v>45548</v>
      </c>
    </row>
    <row r="905" spans="1:9" x14ac:dyDescent="0.15">
      <c r="A905" s="9">
        <v>904</v>
      </c>
      <c r="B905" s="9" t="s">
        <v>9</v>
      </c>
      <c r="C905" s="9">
        <v>1915</v>
      </c>
      <c r="D905" s="10">
        <v>45639</v>
      </c>
      <c r="E905" s="13" t="str">
        <f>+HYPERLINK("http://trademark.i-assist.jp/data/china/image_1915th/80924479.pdf","80924479")</f>
        <v>80924479</v>
      </c>
      <c r="F905" s="9" t="s">
        <v>2556</v>
      </c>
      <c r="G905" s="9" t="s">
        <v>2557</v>
      </c>
      <c r="H905" s="9" t="s">
        <v>2558</v>
      </c>
      <c r="I905" s="10">
        <v>45548</v>
      </c>
    </row>
    <row r="906" spans="1:9" x14ac:dyDescent="0.15">
      <c r="A906" s="9">
        <v>905</v>
      </c>
      <c r="B906" s="9" t="s">
        <v>9</v>
      </c>
      <c r="C906" s="9">
        <v>1915</v>
      </c>
      <c r="D906" s="10">
        <v>45639</v>
      </c>
      <c r="E906" s="13" t="str">
        <f>+HYPERLINK("http://trademark.i-assist.jp/data/china/image_1915th/80924586.pdf","80924586")</f>
        <v>80924586</v>
      </c>
      <c r="F906" s="12" t="s">
        <v>2559</v>
      </c>
      <c r="G906" s="9" t="s">
        <v>2478</v>
      </c>
      <c r="H906" s="9" t="s">
        <v>2560</v>
      </c>
      <c r="I906" s="10">
        <v>45548</v>
      </c>
    </row>
    <row r="907" spans="1:9" x14ac:dyDescent="0.15">
      <c r="A907" s="9">
        <v>906</v>
      </c>
      <c r="B907" s="9" t="s">
        <v>9</v>
      </c>
      <c r="C907" s="9">
        <v>1915</v>
      </c>
      <c r="D907" s="10">
        <v>45639</v>
      </c>
      <c r="E907" s="13" t="str">
        <f>+HYPERLINK("http://trademark.i-assist.jp/data/china/image_1915th/80924599.pdf","80924599")</f>
        <v>80924599</v>
      </c>
      <c r="F907" s="9" t="s">
        <v>2561</v>
      </c>
      <c r="G907" s="9" t="s">
        <v>2562</v>
      </c>
      <c r="H907" s="9" t="s">
        <v>2563</v>
      </c>
      <c r="I907" s="10">
        <v>45548</v>
      </c>
    </row>
    <row r="908" spans="1:9" x14ac:dyDescent="0.15">
      <c r="A908" s="9">
        <v>907</v>
      </c>
      <c r="B908" s="9" t="s">
        <v>9</v>
      </c>
      <c r="C908" s="9">
        <v>1915</v>
      </c>
      <c r="D908" s="10">
        <v>45639</v>
      </c>
      <c r="E908" s="13" t="str">
        <f>+HYPERLINK("http://trademark.i-assist.jp/data/china/image_1915th/80924633.pdf","80924633")</f>
        <v>80924633</v>
      </c>
      <c r="F908" s="9" t="s">
        <v>2564</v>
      </c>
      <c r="G908" s="9" t="s">
        <v>2543</v>
      </c>
      <c r="H908" s="9" t="s">
        <v>2565</v>
      </c>
      <c r="I908" s="10">
        <v>45548</v>
      </c>
    </row>
    <row r="909" spans="1:9" x14ac:dyDescent="0.15">
      <c r="A909" s="9">
        <v>908</v>
      </c>
      <c r="B909" s="9" t="s">
        <v>9</v>
      </c>
      <c r="C909" s="9">
        <v>1915</v>
      </c>
      <c r="D909" s="10">
        <v>45639</v>
      </c>
      <c r="E909" s="13" t="str">
        <f>+HYPERLINK("http://trademark.i-assist.jp/data/china/image_1915th/80924827.pdf","80924827")</f>
        <v>80924827</v>
      </c>
      <c r="F909" s="9" t="s">
        <v>2566</v>
      </c>
      <c r="G909" s="9" t="s">
        <v>2567</v>
      </c>
      <c r="H909" s="9" t="s">
        <v>2568</v>
      </c>
      <c r="I909" s="10">
        <v>45547</v>
      </c>
    </row>
    <row r="910" spans="1:9" x14ac:dyDescent="0.15">
      <c r="A910" s="9">
        <v>909</v>
      </c>
      <c r="B910" s="9" t="s">
        <v>9</v>
      </c>
      <c r="C910" s="9">
        <v>1915</v>
      </c>
      <c r="D910" s="10">
        <v>45639</v>
      </c>
      <c r="E910" s="13" t="str">
        <f>+HYPERLINK("http://trademark.i-assist.jp/data/china/image_1915th/80925157.pdf","80925157")</f>
        <v>80925157</v>
      </c>
      <c r="F910" s="9" t="s">
        <v>2569</v>
      </c>
      <c r="G910" s="11" t="s">
        <v>2570</v>
      </c>
      <c r="H910" s="9" t="s">
        <v>2571</v>
      </c>
      <c r="I910" s="10">
        <v>45547</v>
      </c>
    </row>
    <row r="911" spans="1:9" x14ac:dyDescent="0.15">
      <c r="A911" s="9">
        <v>910</v>
      </c>
      <c r="B911" s="9" t="s">
        <v>9</v>
      </c>
      <c r="C911" s="9">
        <v>1915</v>
      </c>
      <c r="D911" s="10">
        <v>45639</v>
      </c>
      <c r="E911" s="13" t="str">
        <f>+HYPERLINK("http://trademark.i-assist.jp/data/china/image_1915th/80925400.pdf","80925400")</f>
        <v>80925400</v>
      </c>
      <c r="F911" s="9" t="s">
        <v>2572</v>
      </c>
      <c r="G911" s="12" t="s">
        <v>2215</v>
      </c>
      <c r="H911" s="9" t="s">
        <v>2573</v>
      </c>
      <c r="I911" s="10">
        <v>45547</v>
      </c>
    </row>
    <row r="912" spans="1:9" x14ac:dyDescent="0.15">
      <c r="A912" s="9">
        <v>911</v>
      </c>
      <c r="B912" s="9" t="s">
        <v>9</v>
      </c>
      <c r="C912" s="9">
        <v>1915</v>
      </c>
      <c r="D912" s="10">
        <v>45639</v>
      </c>
      <c r="E912" s="13" t="str">
        <f>+HYPERLINK("http://trademark.i-assist.jp/data/china/image_1915th/80925764.pdf","80925764")</f>
        <v>80925764</v>
      </c>
      <c r="F912" s="9" t="s">
        <v>2574</v>
      </c>
      <c r="G912" s="9" t="s">
        <v>2210</v>
      </c>
      <c r="H912" s="9" t="s">
        <v>2575</v>
      </c>
      <c r="I912" s="10">
        <v>45547</v>
      </c>
    </row>
    <row r="913" spans="1:9" x14ac:dyDescent="0.15">
      <c r="A913" s="9">
        <v>912</v>
      </c>
      <c r="B913" s="9" t="s">
        <v>9</v>
      </c>
      <c r="C913" s="9">
        <v>1915</v>
      </c>
      <c r="D913" s="10">
        <v>45639</v>
      </c>
      <c r="E913" s="13" t="str">
        <f>+HYPERLINK("http://trademark.i-assist.jp/data/china/image_1915th/80926096.pdf","80926096")</f>
        <v>80926096</v>
      </c>
      <c r="F913" s="9" t="s">
        <v>2576</v>
      </c>
      <c r="G913" s="9" t="s">
        <v>2577</v>
      </c>
      <c r="H913" s="9" t="s">
        <v>2578</v>
      </c>
      <c r="I913" s="10">
        <v>45548</v>
      </c>
    </row>
    <row r="914" spans="1:9" x14ac:dyDescent="0.15">
      <c r="A914" s="9">
        <v>913</v>
      </c>
      <c r="B914" s="9" t="s">
        <v>9</v>
      </c>
      <c r="C914" s="9">
        <v>1915</v>
      </c>
      <c r="D914" s="10">
        <v>45639</v>
      </c>
      <c r="E914" s="13" t="str">
        <f>+HYPERLINK("http://trademark.i-assist.jp/data/china/image_1915th/80926103.pdf","80926103")</f>
        <v>80926103</v>
      </c>
      <c r="F914" s="9" t="s">
        <v>2579</v>
      </c>
      <c r="G914" s="9" t="s">
        <v>2424</v>
      </c>
      <c r="H914" s="9" t="s">
        <v>2580</v>
      </c>
      <c r="I914" s="10">
        <v>45548</v>
      </c>
    </row>
    <row r="915" spans="1:9" x14ac:dyDescent="0.15">
      <c r="A915" s="9">
        <v>914</v>
      </c>
      <c r="B915" s="9" t="s">
        <v>9</v>
      </c>
      <c r="C915" s="9">
        <v>1915</v>
      </c>
      <c r="D915" s="10">
        <v>45639</v>
      </c>
      <c r="E915" s="13" t="str">
        <f>+HYPERLINK("http://trademark.i-assist.jp/data/china/image_1915th/80926203.pdf","80926203")</f>
        <v>80926203</v>
      </c>
      <c r="F915" s="12" t="s">
        <v>2581</v>
      </c>
      <c r="G915" s="12" t="s">
        <v>2582</v>
      </c>
      <c r="H915" s="9" t="s">
        <v>2583</v>
      </c>
      <c r="I915" s="10">
        <v>45548</v>
      </c>
    </row>
    <row r="916" spans="1:9" x14ac:dyDescent="0.15">
      <c r="A916" s="9">
        <v>915</v>
      </c>
      <c r="B916" s="9" t="s">
        <v>9</v>
      </c>
      <c r="C916" s="9">
        <v>1915</v>
      </c>
      <c r="D916" s="10">
        <v>45639</v>
      </c>
      <c r="E916" s="13" t="str">
        <f>+HYPERLINK("http://trademark.i-assist.jp/data/china/image_1915th/80926275.pdf","80926275")</f>
        <v>80926275</v>
      </c>
      <c r="F916" s="12" t="s">
        <v>2584</v>
      </c>
      <c r="G916" s="12" t="s">
        <v>2585</v>
      </c>
      <c r="H916" s="9" t="s">
        <v>2586</v>
      </c>
      <c r="I916" s="10">
        <v>45547</v>
      </c>
    </row>
    <row r="917" spans="1:9" x14ac:dyDescent="0.15">
      <c r="A917" s="9">
        <v>916</v>
      </c>
      <c r="B917" s="9" t="s">
        <v>9</v>
      </c>
      <c r="C917" s="9">
        <v>1915</v>
      </c>
      <c r="D917" s="10">
        <v>45639</v>
      </c>
      <c r="E917" s="13" t="str">
        <f>+HYPERLINK("http://trademark.i-assist.jp/data/china/image_1915th/80926652.pdf","80926652")</f>
        <v>80926652</v>
      </c>
      <c r="F917" s="12" t="s">
        <v>2587</v>
      </c>
      <c r="G917" s="9" t="s">
        <v>2588</v>
      </c>
      <c r="H917" s="9" t="s">
        <v>2589</v>
      </c>
      <c r="I917" s="10">
        <v>45547</v>
      </c>
    </row>
    <row r="918" spans="1:9" x14ac:dyDescent="0.15">
      <c r="A918" s="9">
        <v>917</v>
      </c>
      <c r="B918" s="9" t="s">
        <v>9</v>
      </c>
      <c r="C918" s="9">
        <v>1915</v>
      </c>
      <c r="D918" s="10">
        <v>45639</v>
      </c>
      <c r="E918" s="13" t="str">
        <f>+HYPERLINK("http://trademark.i-assist.jp/data/china/image_1915th/80927029.pdf","80927029")</f>
        <v>80927029</v>
      </c>
      <c r="F918" s="9" t="s">
        <v>2590</v>
      </c>
      <c r="G918" s="9" t="s">
        <v>2591</v>
      </c>
      <c r="H918" s="9" t="s">
        <v>2592</v>
      </c>
      <c r="I918" s="10">
        <v>45549</v>
      </c>
    </row>
    <row r="919" spans="1:9" x14ac:dyDescent="0.15">
      <c r="A919" s="9">
        <v>918</v>
      </c>
      <c r="B919" s="9" t="s">
        <v>9</v>
      </c>
      <c r="C919" s="9">
        <v>1915</v>
      </c>
      <c r="D919" s="10">
        <v>45639</v>
      </c>
      <c r="E919" s="13" t="str">
        <f>+HYPERLINK("http://trademark.i-assist.jp/data/china/image_1915th/80927114.pdf","80927114")</f>
        <v>80927114</v>
      </c>
      <c r="F919" s="9" t="s">
        <v>2593</v>
      </c>
      <c r="G919" s="9" t="s">
        <v>2591</v>
      </c>
      <c r="H919" s="9" t="s">
        <v>2594</v>
      </c>
      <c r="I919" s="10">
        <v>45549</v>
      </c>
    </row>
    <row r="920" spans="1:9" x14ac:dyDescent="0.15">
      <c r="A920" s="9">
        <v>919</v>
      </c>
      <c r="B920" s="9" t="s">
        <v>9</v>
      </c>
      <c r="C920" s="9">
        <v>1915</v>
      </c>
      <c r="D920" s="10">
        <v>45639</v>
      </c>
      <c r="E920" s="13" t="str">
        <f>+HYPERLINK("http://trademark.i-assist.jp/data/china/image_1915th/80927300.pdf","80927300")</f>
        <v>80927300</v>
      </c>
      <c r="F920" s="9" t="s">
        <v>2595</v>
      </c>
      <c r="G920" s="9" t="s">
        <v>2596</v>
      </c>
      <c r="H920" s="9" t="s">
        <v>2597</v>
      </c>
      <c r="I920" s="10">
        <v>45549</v>
      </c>
    </row>
    <row r="921" spans="1:9" x14ac:dyDescent="0.15">
      <c r="A921" s="9">
        <v>920</v>
      </c>
      <c r="B921" s="9" t="s">
        <v>9</v>
      </c>
      <c r="C921" s="9">
        <v>1915</v>
      </c>
      <c r="D921" s="10">
        <v>45639</v>
      </c>
      <c r="E921" s="13" t="str">
        <f>+HYPERLINK("http://trademark.i-assist.jp/data/china/image_1915th/80927485.pdf","80927485")</f>
        <v>80927485</v>
      </c>
      <c r="F921" s="9" t="s">
        <v>2598</v>
      </c>
      <c r="G921" s="9" t="s">
        <v>2599</v>
      </c>
      <c r="H921" s="9" t="s">
        <v>2600</v>
      </c>
      <c r="I921" s="10">
        <v>45549</v>
      </c>
    </row>
    <row r="922" spans="1:9" x14ac:dyDescent="0.15">
      <c r="A922" s="9">
        <v>921</v>
      </c>
      <c r="B922" s="9" t="s">
        <v>9</v>
      </c>
      <c r="C922" s="9">
        <v>1915</v>
      </c>
      <c r="D922" s="10">
        <v>45639</v>
      </c>
      <c r="E922" s="13" t="str">
        <f>+HYPERLINK("http://trademark.i-assist.jp/data/china/image_1915th/80927832.pdf","80927832")</f>
        <v>80927832</v>
      </c>
      <c r="F922" s="9" t="s">
        <v>2601</v>
      </c>
      <c r="G922" s="9" t="s">
        <v>2602</v>
      </c>
      <c r="H922" s="9" t="s">
        <v>2603</v>
      </c>
      <c r="I922" s="10">
        <v>45549</v>
      </c>
    </row>
    <row r="923" spans="1:9" x14ac:dyDescent="0.15">
      <c r="A923" s="9">
        <v>922</v>
      </c>
      <c r="B923" s="9" t="s">
        <v>9</v>
      </c>
      <c r="C923" s="9">
        <v>1915</v>
      </c>
      <c r="D923" s="10">
        <v>45639</v>
      </c>
      <c r="E923" s="13" t="str">
        <f>+HYPERLINK("http://trademark.i-assist.jp/data/china/image_1915th/80927867.pdf","80927867")</f>
        <v>80927867</v>
      </c>
      <c r="F923" s="9" t="s">
        <v>2604</v>
      </c>
      <c r="G923" s="9" t="s">
        <v>2605</v>
      </c>
      <c r="H923" s="9" t="s">
        <v>2606</v>
      </c>
      <c r="I923" s="10">
        <v>45549</v>
      </c>
    </row>
    <row r="924" spans="1:9" x14ac:dyDescent="0.15">
      <c r="A924" s="9">
        <v>923</v>
      </c>
      <c r="B924" s="9" t="s">
        <v>9</v>
      </c>
      <c r="C924" s="9">
        <v>1915</v>
      </c>
      <c r="D924" s="10">
        <v>45639</v>
      </c>
      <c r="E924" s="13" t="str">
        <f>+HYPERLINK("http://trademark.i-assist.jp/data/china/image_1915th/80927893.pdf","80927893")</f>
        <v>80927893</v>
      </c>
      <c r="F924" s="9" t="s">
        <v>2607</v>
      </c>
      <c r="G924" s="9" t="s">
        <v>2608</v>
      </c>
      <c r="H924" s="9" t="s">
        <v>2609</v>
      </c>
      <c r="I924" s="10">
        <v>45549</v>
      </c>
    </row>
    <row r="925" spans="1:9" x14ac:dyDescent="0.15">
      <c r="A925" s="9">
        <v>924</v>
      </c>
      <c r="B925" s="9" t="s">
        <v>9</v>
      </c>
      <c r="C925" s="9">
        <v>1915</v>
      </c>
      <c r="D925" s="10">
        <v>45639</v>
      </c>
      <c r="E925" s="13" t="str">
        <f>+HYPERLINK("http://trademark.i-assist.jp/data/china/image_1915th/80928111.pdf","80928111")</f>
        <v>80928111</v>
      </c>
      <c r="F925" s="12" t="s">
        <v>15</v>
      </c>
      <c r="G925" s="12" t="s">
        <v>2610</v>
      </c>
      <c r="H925" s="9" t="s">
        <v>2611</v>
      </c>
      <c r="I925" s="10">
        <v>45549</v>
      </c>
    </row>
    <row r="926" spans="1:9" x14ac:dyDescent="0.15">
      <c r="A926" s="9">
        <v>925</v>
      </c>
      <c r="B926" s="9" t="s">
        <v>9</v>
      </c>
      <c r="C926" s="9">
        <v>1915</v>
      </c>
      <c r="D926" s="10">
        <v>45639</v>
      </c>
      <c r="E926" s="13" t="str">
        <f>+HYPERLINK("http://trademark.i-assist.jp/data/china/image_1915th/80928199.pdf","80928199")</f>
        <v>80928199</v>
      </c>
      <c r="F926" s="12" t="s">
        <v>15</v>
      </c>
      <c r="G926" s="12" t="s">
        <v>2612</v>
      </c>
      <c r="H926" s="12" t="s">
        <v>2613</v>
      </c>
      <c r="I926" s="10">
        <v>45549</v>
      </c>
    </row>
    <row r="927" spans="1:9" x14ac:dyDescent="0.15">
      <c r="A927" s="9">
        <v>926</v>
      </c>
      <c r="B927" s="9" t="s">
        <v>9</v>
      </c>
      <c r="C927" s="9">
        <v>1915</v>
      </c>
      <c r="D927" s="10">
        <v>45639</v>
      </c>
      <c r="E927" s="13" t="str">
        <f>+HYPERLINK("http://trademark.i-assist.jp/data/china/image_1915th/80928457.pdf","80928457")</f>
        <v>80928457</v>
      </c>
      <c r="F927" s="9" t="s">
        <v>2614</v>
      </c>
      <c r="G927" s="9" t="s">
        <v>2615</v>
      </c>
      <c r="H927" s="9" t="s">
        <v>2616</v>
      </c>
      <c r="I927" s="10">
        <v>45549</v>
      </c>
    </row>
    <row r="928" spans="1:9" x14ac:dyDescent="0.15">
      <c r="A928" s="9">
        <v>927</v>
      </c>
      <c r="B928" s="9" t="s">
        <v>9</v>
      </c>
      <c r="C928" s="9">
        <v>1915</v>
      </c>
      <c r="D928" s="10">
        <v>45639</v>
      </c>
      <c r="E928" s="13" t="str">
        <f>+HYPERLINK("http://trademark.i-assist.jp/data/china/image_1915th/80928568.pdf","80928568")</f>
        <v>80928568</v>
      </c>
      <c r="F928" s="9" t="s">
        <v>2617</v>
      </c>
      <c r="G928" s="9" t="s">
        <v>2618</v>
      </c>
      <c r="H928" s="9" t="s">
        <v>2619</v>
      </c>
      <c r="I928" s="10">
        <v>45549</v>
      </c>
    </row>
    <row r="929" spans="1:9" x14ac:dyDescent="0.15">
      <c r="A929" s="9">
        <v>928</v>
      </c>
      <c r="B929" s="9" t="s">
        <v>9</v>
      </c>
      <c r="C929" s="9">
        <v>1915</v>
      </c>
      <c r="D929" s="10">
        <v>45639</v>
      </c>
      <c r="E929" s="13" t="str">
        <f>+HYPERLINK("http://trademark.i-assist.jp/data/china/image_1915th/80928606.pdf","80928606")</f>
        <v>80928606</v>
      </c>
      <c r="F929" s="9" t="s">
        <v>2620</v>
      </c>
      <c r="G929" s="9" t="s">
        <v>2621</v>
      </c>
      <c r="H929" s="9" t="s">
        <v>2622</v>
      </c>
      <c r="I929" s="10">
        <v>45549</v>
      </c>
    </row>
    <row r="930" spans="1:9" x14ac:dyDescent="0.15">
      <c r="A930" s="9">
        <v>929</v>
      </c>
      <c r="B930" s="9" t="s">
        <v>9</v>
      </c>
      <c r="C930" s="9">
        <v>1915</v>
      </c>
      <c r="D930" s="10">
        <v>45639</v>
      </c>
      <c r="E930" s="13" t="str">
        <f>+HYPERLINK("http://trademark.i-assist.jp/data/china/image_1915th/80929447.pdf","80929447")</f>
        <v>80929447</v>
      </c>
      <c r="F930" s="9" t="s">
        <v>2623</v>
      </c>
      <c r="G930" s="9" t="s">
        <v>2624</v>
      </c>
      <c r="H930" s="12" t="s">
        <v>2625</v>
      </c>
      <c r="I930" s="10">
        <v>45549</v>
      </c>
    </row>
    <row r="931" spans="1:9" x14ac:dyDescent="0.15">
      <c r="A931" s="9">
        <v>930</v>
      </c>
      <c r="B931" s="9" t="s">
        <v>9</v>
      </c>
      <c r="C931" s="9">
        <v>1915</v>
      </c>
      <c r="D931" s="10">
        <v>45639</v>
      </c>
      <c r="E931" s="13" t="str">
        <f>+HYPERLINK("http://trademark.i-assist.jp/data/china/image_1915th/80930491.pdf","80930491")</f>
        <v>80930491</v>
      </c>
      <c r="F931" s="12" t="s">
        <v>2626</v>
      </c>
      <c r="G931" s="9" t="s">
        <v>2627</v>
      </c>
      <c r="H931" s="9" t="s">
        <v>2628</v>
      </c>
      <c r="I931" s="10">
        <v>45549</v>
      </c>
    </row>
    <row r="932" spans="1:9" x14ac:dyDescent="0.15">
      <c r="A932" s="9">
        <v>931</v>
      </c>
      <c r="B932" s="9" t="s">
        <v>9</v>
      </c>
      <c r="C932" s="9">
        <v>1915</v>
      </c>
      <c r="D932" s="10">
        <v>45639</v>
      </c>
      <c r="E932" s="13" t="str">
        <f>+HYPERLINK("http://trademark.i-assist.jp/data/china/image_1915th/80930711.pdf","80930711")</f>
        <v>80930711</v>
      </c>
      <c r="F932" s="9" t="s">
        <v>2629</v>
      </c>
      <c r="G932" s="12" t="s">
        <v>2630</v>
      </c>
      <c r="H932" s="9" t="s">
        <v>2631</v>
      </c>
      <c r="I932" s="10">
        <v>45549</v>
      </c>
    </row>
    <row r="933" spans="1:9" x14ac:dyDescent="0.15">
      <c r="A933" s="9">
        <v>932</v>
      </c>
      <c r="B933" s="9" t="s">
        <v>9</v>
      </c>
      <c r="C933" s="9">
        <v>1915</v>
      </c>
      <c r="D933" s="10">
        <v>45639</v>
      </c>
      <c r="E933" s="13" t="str">
        <f>+HYPERLINK("http://trademark.i-assist.jp/data/china/image_1915th/80930778.pdf","80930778")</f>
        <v>80930778</v>
      </c>
      <c r="F933" s="12" t="s">
        <v>2632</v>
      </c>
      <c r="G933" s="9" t="s">
        <v>2633</v>
      </c>
      <c r="H933" s="12" t="s">
        <v>2634</v>
      </c>
      <c r="I933" s="10">
        <v>45549</v>
      </c>
    </row>
    <row r="934" spans="1:9" x14ac:dyDescent="0.15">
      <c r="A934" s="9">
        <v>933</v>
      </c>
      <c r="B934" s="9" t="s">
        <v>9</v>
      </c>
      <c r="C934" s="9">
        <v>1915</v>
      </c>
      <c r="D934" s="10">
        <v>45639</v>
      </c>
      <c r="E934" s="13" t="str">
        <f>+HYPERLINK("http://trademark.i-assist.jp/data/china/image_1915th/80930813.pdf","80930813")</f>
        <v>80930813</v>
      </c>
      <c r="F934" s="9" t="s">
        <v>2635</v>
      </c>
      <c r="G934" s="9" t="s">
        <v>2636</v>
      </c>
      <c r="H934" s="9" t="s">
        <v>2637</v>
      </c>
      <c r="I934" s="10">
        <v>45549</v>
      </c>
    </row>
    <row r="935" spans="1:9" x14ac:dyDescent="0.15">
      <c r="A935" s="9">
        <v>934</v>
      </c>
      <c r="B935" s="9" t="s">
        <v>9</v>
      </c>
      <c r="C935" s="9">
        <v>1915</v>
      </c>
      <c r="D935" s="10">
        <v>45639</v>
      </c>
      <c r="E935" s="13" t="str">
        <f>+HYPERLINK("http://trademark.i-assist.jp/data/china/image_1915th/80931112.pdf","80931112")</f>
        <v>80931112</v>
      </c>
      <c r="F935" s="9" t="s">
        <v>2638</v>
      </c>
      <c r="G935" s="9" t="s">
        <v>2639</v>
      </c>
      <c r="H935" s="9" t="s">
        <v>2640</v>
      </c>
      <c r="I935" s="10">
        <v>45549</v>
      </c>
    </row>
    <row r="936" spans="1:9" x14ac:dyDescent="0.15">
      <c r="A936" s="9">
        <v>935</v>
      </c>
      <c r="B936" s="9" t="s">
        <v>9</v>
      </c>
      <c r="C936" s="9">
        <v>1915</v>
      </c>
      <c r="D936" s="10">
        <v>45639</v>
      </c>
      <c r="E936" s="13" t="str">
        <f>+HYPERLINK("http://trademark.i-assist.jp/data/china/image_1915th/80931171.pdf","80931171")</f>
        <v>80931171</v>
      </c>
      <c r="F936" s="9" t="s">
        <v>2641</v>
      </c>
      <c r="G936" s="9" t="s">
        <v>2642</v>
      </c>
      <c r="H936" s="9" t="s">
        <v>2643</v>
      </c>
      <c r="I936" s="10">
        <v>45549</v>
      </c>
    </row>
    <row r="937" spans="1:9" x14ac:dyDescent="0.15">
      <c r="A937" s="9">
        <v>936</v>
      </c>
      <c r="B937" s="9" t="s">
        <v>9</v>
      </c>
      <c r="C937" s="9">
        <v>1915</v>
      </c>
      <c r="D937" s="10">
        <v>45639</v>
      </c>
      <c r="E937" s="13" t="str">
        <f>+HYPERLINK("http://trademark.i-assist.jp/data/china/image_1915th/80931208.pdf","80931208")</f>
        <v>80931208</v>
      </c>
      <c r="F937" s="12" t="s">
        <v>2644</v>
      </c>
      <c r="G937" s="9" t="s">
        <v>2624</v>
      </c>
      <c r="H937" s="12" t="s">
        <v>2645</v>
      </c>
      <c r="I937" s="10">
        <v>45549</v>
      </c>
    </row>
    <row r="938" spans="1:9" x14ac:dyDescent="0.15">
      <c r="A938" s="9">
        <v>937</v>
      </c>
      <c r="B938" s="9" t="s">
        <v>9</v>
      </c>
      <c r="C938" s="9">
        <v>1915</v>
      </c>
      <c r="D938" s="10">
        <v>45639</v>
      </c>
      <c r="E938" s="13" t="str">
        <f>+HYPERLINK("http://trademark.i-assist.jp/data/china/image_1915th/80931237.pdf","80931237")</f>
        <v>80931237</v>
      </c>
      <c r="F938" s="9" t="s">
        <v>2646</v>
      </c>
      <c r="G938" s="9" t="s">
        <v>2624</v>
      </c>
      <c r="H938" s="9" t="s">
        <v>2647</v>
      </c>
      <c r="I938" s="10">
        <v>45549</v>
      </c>
    </row>
    <row r="939" spans="1:9" x14ac:dyDescent="0.15">
      <c r="A939" s="9">
        <v>938</v>
      </c>
      <c r="B939" s="9" t="s">
        <v>9</v>
      </c>
      <c r="C939" s="9">
        <v>1915</v>
      </c>
      <c r="D939" s="10">
        <v>45639</v>
      </c>
      <c r="E939" s="13" t="str">
        <f>+HYPERLINK("http://trademark.i-assist.jp/data/china/image_1915th/80931551.pdf","80931551")</f>
        <v>80931551</v>
      </c>
      <c r="F939" s="12" t="s">
        <v>2648</v>
      </c>
      <c r="G939" s="9" t="s">
        <v>2649</v>
      </c>
      <c r="H939" s="9" t="s">
        <v>2650</v>
      </c>
      <c r="I939" s="10">
        <v>45549</v>
      </c>
    </row>
    <row r="940" spans="1:9" x14ac:dyDescent="0.15">
      <c r="A940" s="9">
        <v>939</v>
      </c>
      <c r="B940" s="9" t="s">
        <v>9</v>
      </c>
      <c r="C940" s="9">
        <v>1915</v>
      </c>
      <c r="D940" s="10">
        <v>45639</v>
      </c>
      <c r="E940" s="13" t="str">
        <f>+HYPERLINK("http://trademark.i-assist.jp/data/china/image_1915th/80931677.pdf","80931677")</f>
        <v>80931677</v>
      </c>
      <c r="F940" s="9" t="s">
        <v>2651</v>
      </c>
      <c r="G940" s="12" t="s">
        <v>2652</v>
      </c>
      <c r="H940" s="9" t="s">
        <v>2653</v>
      </c>
      <c r="I940" s="10">
        <v>45549</v>
      </c>
    </row>
    <row r="941" spans="1:9" x14ac:dyDescent="0.15">
      <c r="A941" s="9">
        <v>940</v>
      </c>
      <c r="B941" s="9" t="s">
        <v>9</v>
      </c>
      <c r="C941" s="9">
        <v>1915</v>
      </c>
      <c r="D941" s="10">
        <v>45639</v>
      </c>
      <c r="E941" s="13" t="str">
        <f>+HYPERLINK("http://trademark.i-assist.jp/data/china/image_1915th/80931837.pdf","80931837")</f>
        <v>80931837</v>
      </c>
      <c r="F941" s="12" t="s">
        <v>15</v>
      </c>
      <c r="G941" s="9" t="s">
        <v>2654</v>
      </c>
      <c r="H941" s="9" t="s">
        <v>2655</v>
      </c>
      <c r="I941" s="10">
        <v>45549</v>
      </c>
    </row>
    <row r="942" spans="1:9" x14ac:dyDescent="0.15">
      <c r="A942" s="9">
        <v>941</v>
      </c>
      <c r="B942" s="9" t="s">
        <v>9</v>
      </c>
      <c r="C942" s="9">
        <v>1915</v>
      </c>
      <c r="D942" s="10">
        <v>45639</v>
      </c>
      <c r="E942" s="13" t="str">
        <f>+HYPERLINK("http://trademark.i-assist.jp/data/china/image_1915th/80932172.pdf","80932172")</f>
        <v>80932172</v>
      </c>
      <c r="F942" s="9" t="s">
        <v>2656</v>
      </c>
      <c r="G942" s="12" t="s">
        <v>2657</v>
      </c>
      <c r="H942" s="12" t="s">
        <v>2658</v>
      </c>
      <c r="I942" s="10">
        <v>45549</v>
      </c>
    </row>
    <row r="943" spans="1:9" x14ac:dyDescent="0.15">
      <c r="A943" s="9">
        <v>942</v>
      </c>
      <c r="B943" s="9" t="s">
        <v>9</v>
      </c>
      <c r="C943" s="9">
        <v>1915</v>
      </c>
      <c r="D943" s="10">
        <v>45639</v>
      </c>
      <c r="E943" s="13" t="str">
        <f>+HYPERLINK("http://trademark.i-assist.jp/data/china/image_1915th/80932485.pdf","80932485")</f>
        <v>80932485</v>
      </c>
      <c r="F943" s="9" t="s">
        <v>2659</v>
      </c>
      <c r="G943" s="9" t="s">
        <v>2660</v>
      </c>
      <c r="H943" s="9" t="s">
        <v>2661</v>
      </c>
      <c r="I943" s="10">
        <v>45549</v>
      </c>
    </row>
    <row r="944" spans="1:9" x14ac:dyDescent="0.15">
      <c r="A944" s="9">
        <v>943</v>
      </c>
      <c r="B944" s="9" t="s">
        <v>9</v>
      </c>
      <c r="C944" s="9">
        <v>1915</v>
      </c>
      <c r="D944" s="10">
        <v>45639</v>
      </c>
      <c r="E944" s="13" t="str">
        <f>+HYPERLINK("http://trademark.i-assist.jp/data/china/image_1915th/80932750.pdf","80932750")</f>
        <v>80932750</v>
      </c>
      <c r="F944" s="9" t="s">
        <v>2662</v>
      </c>
      <c r="G944" s="9" t="s">
        <v>2663</v>
      </c>
      <c r="H944" s="9" t="s">
        <v>10</v>
      </c>
      <c r="I944" s="10">
        <v>45549</v>
      </c>
    </row>
    <row r="945" spans="1:9" x14ac:dyDescent="0.15">
      <c r="A945" s="9">
        <v>944</v>
      </c>
      <c r="B945" s="9" t="s">
        <v>9</v>
      </c>
      <c r="C945" s="9">
        <v>1915</v>
      </c>
      <c r="D945" s="10">
        <v>45639</v>
      </c>
      <c r="E945" s="13" t="str">
        <f>+HYPERLINK("http://trademark.i-assist.jp/data/china/image_1915th/80933309.pdf","80933309")</f>
        <v>80933309</v>
      </c>
      <c r="F945" s="12" t="s">
        <v>2664</v>
      </c>
      <c r="G945" s="9" t="s">
        <v>2520</v>
      </c>
      <c r="H945" s="9" t="s">
        <v>2665</v>
      </c>
      <c r="I945" s="10">
        <v>45549</v>
      </c>
    </row>
    <row r="946" spans="1:9" x14ac:dyDescent="0.15">
      <c r="A946" s="9">
        <v>945</v>
      </c>
      <c r="B946" s="9" t="s">
        <v>9</v>
      </c>
      <c r="C946" s="9">
        <v>1915</v>
      </c>
      <c r="D946" s="10">
        <v>45639</v>
      </c>
      <c r="E946" s="13" t="str">
        <f>+HYPERLINK("http://trademark.i-assist.jp/data/china/image_1915th/80933592.pdf","80933592")</f>
        <v>80933592</v>
      </c>
      <c r="F946" s="9" t="s">
        <v>2666</v>
      </c>
      <c r="G946" s="9" t="s">
        <v>82</v>
      </c>
      <c r="H946" s="9" t="s">
        <v>2667</v>
      </c>
      <c r="I946" s="10">
        <v>45549</v>
      </c>
    </row>
    <row r="947" spans="1:9" x14ac:dyDescent="0.15">
      <c r="A947" s="9">
        <v>946</v>
      </c>
      <c r="B947" s="9" t="s">
        <v>9</v>
      </c>
      <c r="C947" s="9">
        <v>1915</v>
      </c>
      <c r="D947" s="10">
        <v>45639</v>
      </c>
      <c r="E947" s="13" t="str">
        <f>+HYPERLINK("http://trademark.i-assist.jp/data/china/image_1915th/80933879.pdf","80933879")</f>
        <v>80933879</v>
      </c>
      <c r="F947" s="12" t="s">
        <v>15</v>
      </c>
      <c r="G947" s="9" t="s">
        <v>2668</v>
      </c>
      <c r="H947" s="9" t="s">
        <v>2669</v>
      </c>
      <c r="I947" s="10">
        <v>45549</v>
      </c>
    </row>
    <row r="948" spans="1:9" x14ac:dyDescent="0.15">
      <c r="A948" s="9">
        <v>947</v>
      </c>
      <c r="B948" s="9" t="s">
        <v>9</v>
      </c>
      <c r="C948" s="9">
        <v>1915</v>
      </c>
      <c r="D948" s="10">
        <v>45639</v>
      </c>
      <c r="E948" s="13" t="str">
        <f>+HYPERLINK("http://trademark.i-assist.jp/data/china/image_1915th/80933912.pdf","80933912")</f>
        <v>80933912</v>
      </c>
      <c r="F948" s="9" t="s">
        <v>2670</v>
      </c>
      <c r="G948" s="9" t="s">
        <v>60</v>
      </c>
      <c r="H948" s="9" t="s">
        <v>2671</v>
      </c>
      <c r="I948" s="10">
        <v>45549</v>
      </c>
    </row>
    <row r="949" spans="1:9" x14ac:dyDescent="0.15">
      <c r="A949" s="9">
        <v>948</v>
      </c>
      <c r="B949" s="9" t="s">
        <v>9</v>
      </c>
      <c r="C949" s="9">
        <v>1915</v>
      </c>
      <c r="D949" s="10">
        <v>45639</v>
      </c>
      <c r="E949" s="13" t="str">
        <f>+HYPERLINK("http://trademark.i-assist.jp/data/china/image_1915th/80934615.pdf","80934615")</f>
        <v>80934615</v>
      </c>
      <c r="F949" s="9" t="s">
        <v>2672</v>
      </c>
      <c r="G949" s="9" t="s">
        <v>2673</v>
      </c>
      <c r="H949" s="12" t="s">
        <v>2674</v>
      </c>
      <c r="I949" s="10">
        <v>45549</v>
      </c>
    </row>
    <row r="950" spans="1:9" x14ac:dyDescent="0.15">
      <c r="A950" s="9">
        <v>949</v>
      </c>
      <c r="B950" s="9" t="s">
        <v>9</v>
      </c>
      <c r="C950" s="9">
        <v>1915</v>
      </c>
      <c r="D950" s="10">
        <v>45639</v>
      </c>
      <c r="E950" s="13" t="str">
        <f>+HYPERLINK("http://trademark.i-assist.jp/data/china/image_1915th/80934801.pdf","80934801")</f>
        <v>80934801</v>
      </c>
      <c r="F950" s="12" t="s">
        <v>2675</v>
      </c>
      <c r="G950" s="9" t="s">
        <v>2624</v>
      </c>
      <c r="H950" s="9" t="s">
        <v>2676</v>
      </c>
      <c r="I950" s="10">
        <v>45549</v>
      </c>
    </row>
    <row r="951" spans="1:9" x14ac:dyDescent="0.15">
      <c r="A951" s="9">
        <v>950</v>
      </c>
      <c r="B951" s="9" t="s">
        <v>9</v>
      </c>
      <c r="C951" s="9">
        <v>1915</v>
      </c>
      <c r="D951" s="10">
        <v>45639</v>
      </c>
      <c r="E951" s="13" t="str">
        <f>+HYPERLINK("http://trademark.i-assist.jp/data/china/image_1915th/80935167.pdf","80935167")</f>
        <v>80935167</v>
      </c>
      <c r="F951" s="9" t="s">
        <v>2677</v>
      </c>
      <c r="G951" s="9" t="s">
        <v>2678</v>
      </c>
      <c r="H951" s="9" t="s">
        <v>2679</v>
      </c>
      <c r="I951" s="10">
        <v>45549</v>
      </c>
    </row>
    <row r="952" spans="1:9" x14ac:dyDescent="0.15">
      <c r="A952" s="9">
        <v>951</v>
      </c>
      <c r="B952" s="9" t="s">
        <v>9</v>
      </c>
      <c r="C952" s="9">
        <v>1915</v>
      </c>
      <c r="D952" s="10">
        <v>45639</v>
      </c>
      <c r="E952" s="13" t="str">
        <f>+HYPERLINK("http://trademark.i-assist.jp/data/china/image_1915th/80935214.pdf","80935214")</f>
        <v>80935214</v>
      </c>
      <c r="F952" s="9" t="s">
        <v>2680</v>
      </c>
      <c r="G952" s="12" t="s">
        <v>2681</v>
      </c>
      <c r="H952" s="9" t="s">
        <v>2682</v>
      </c>
      <c r="I952" s="10">
        <v>45549</v>
      </c>
    </row>
    <row r="953" spans="1:9" x14ac:dyDescent="0.15">
      <c r="A953" s="9">
        <v>952</v>
      </c>
      <c r="B953" s="9" t="s">
        <v>9</v>
      </c>
      <c r="C953" s="9">
        <v>1915</v>
      </c>
      <c r="D953" s="10">
        <v>45639</v>
      </c>
      <c r="E953" s="13" t="str">
        <f>+HYPERLINK("http://trademark.i-assist.jp/data/china/image_1915th/80935436.pdf","80935436")</f>
        <v>80935436</v>
      </c>
      <c r="F953" s="9" t="s">
        <v>2683</v>
      </c>
      <c r="G953" s="9" t="s">
        <v>2627</v>
      </c>
      <c r="H953" s="9" t="s">
        <v>2684</v>
      </c>
      <c r="I953" s="10">
        <v>45549</v>
      </c>
    </row>
    <row r="954" spans="1:9" x14ac:dyDescent="0.15">
      <c r="A954" s="9">
        <v>953</v>
      </c>
      <c r="B954" s="9" t="s">
        <v>9</v>
      </c>
      <c r="C954" s="9">
        <v>1915</v>
      </c>
      <c r="D954" s="10">
        <v>45639</v>
      </c>
      <c r="E954" s="13" t="str">
        <f>+HYPERLINK("http://trademark.i-assist.jp/data/china/image_1915th/80935534.pdf","80935534")</f>
        <v>80935534</v>
      </c>
      <c r="F954" s="9" t="s">
        <v>2685</v>
      </c>
      <c r="G954" s="12" t="s">
        <v>2686</v>
      </c>
      <c r="H954" s="9" t="s">
        <v>2687</v>
      </c>
      <c r="I954" s="10">
        <v>45549</v>
      </c>
    </row>
    <row r="955" spans="1:9" x14ac:dyDescent="0.15">
      <c r="A955" s="9">
        <v>954</v>
      </c>
      <c r="B955" s="9" t="s">
        <v>9</v>
      </c>
      <c r="C955" s="9">
        <v>1915</v>
      </c>
      <c r="D955" s="10">
        <v>45639</v>
      </c>
      <c r="E955" s="13" t="str">
        <f>+HYPERLINK("http://trademark.i-assist.jp/data/china/image_1915th/80936183.pdf","80936183")</f>
        <v>80936183</v>
      </c>
      <c r="F955" s="9" t="s">
        <v>2688</v>
      </c>
      <c r="G955" s="9" t="s">
        <v>2689</v>
      </c>
      <c r="H955" s="9" t="s">
        <v>2690</v>
      </c>
      <c r="I955" s="10">
        <v>45549</v>
      </c>
    </row>
    <row r="956" spans="1:9" x14ac:dyDescent="0.15">
      <c r="A956" s="9">
        <v>955</v>
      </c>
      <c r="B956" s="9" t="s">
        <v>9</v>
      </c>
      <c r="C956" s="9">
        <v>1915</v>
      </c>
      <c r="D956" s="10">
        <v>45639</v>
      </c>
      <c r="E956" s="13" t="str">
        <f>+HYPERLINK("http://trademark.i-assist.jp/data/china/image_1915th/80936606.pdf","80936606")</f>
        <v>80936606</v>
      </c>
      <c r="F956" s="12" t="s">
        <v>2691</v>
      </c>
      <c r="G956" s="9" t="s">
        <v>1355</v>
      </c>
      <c r="H956" s="9" t="s">
        <v>2692</v>
      </c>
      <c r="I956" s="10">
        <v>45549</v>
      </c>
    </row>
    <row r="957" spans="1:9" x14ac:dyDescent="0.15">
      <c r="A957" s="9">
        <v>956</v>
      </c>
      <c r="B957" s="9" t="s">
        <v>9</v>
      </c>
      <c r="C957" s="9">
        <v>1915</v>
      </c>
      <c r="D957" s="10">
        <v>45639</v>
      </c>
      <c r="E957" s="13" t="str">
        <f>+HYPERLINK("http://trademark.i-assist.jp/data/china/image_1915th/80936631.pdf","80936631")</f>
        <v>80936631</v>
      </c>
      <c r="F957" s="9" t="s">
        <v>2693</v>
      </c>
      <c r="G957" s="12" t="s">
        <v>1532</v>
      </c>
      <c r="H957" s="9" t="s">
        <v>2694</v>
      </c>
      <c r="I957" s="10">
        <v>45549</v>
      </c>
    </row>
    <row r="958" spans="1:9" x14ac:dyDescent="0.15">
      <c r="A958" s="9">
        <v>957</v>
      </c>
      <c r="B958" s="9" t="s">
        <v>9</v>
      </c>
      <c r="C958" s="9">
        <v>1915</v>
      </c>
      <c r="D958" s="10">
        <v>45639</v>
      </c>
      <c r="E958" s="13" t="str">
        <f>+HYPERLINK("http://trademark.i-assist.jp/data/china/image_1915th/80937575.pdf","80937575")</f>
        <v>80937575</v>
      </c>
      <c r="F958" s="9" t="s">
        <v>2695</v>
      </c>
      <c r="G958" s="9" t="s">
        <v>2696</v>
      </c>
      <c r="H958" s="9" t="s">
        <v>2697</v>
      </c>
      <c r="I958" s="10">
        <v>45547</v>
      </c>
    </row>
    <row r="959" spans="1:9" x14ac:dyDescent="0.15">
      <c r="A959" s="9">
        <v>958</v>
      </c>
      <c r="B959" s="9" t="s">
        <v>9</v>
      </c>
      <c r="C959" s="9">
        <v>1915</v>
      </c>
      <c r="D959" s="10">
        <v>45639</v>
      </c>
      <c r="E959" s="13" t="str">
        <f>+HYPERLINK("http://trademark.i-assist.jp/data/china/image_1915th/80937826.pdf","80937826")</f>
        <v>80937826</v>
      </c>
      <c r="F959" s="12" t="s">
        <v>2698</v>
      </c>
      <c r="G959" s="9" t="s">
        <v>2218</v>
      </c>
      <c r="H959" s="9" t="s">
        <v>2699</v>
      </c>
      <c r="I959" s="10">
        <v>45547</v>
      </c>
    </row>
    <row r="960" spans="1:9" x14ac:dyDescent="0.15">
      <c r="A960" s="9">
        <v>959</v>
      </c>
      <c r="B960" s="9" t="s">
        <v>9</v>
      </c>
      <c r="C960" s="9">
        <v>1915</v>
      </c>
      <c r="D960" s="10">
        <v>45639</v>
      </c>
      <c r="E960" s="13" t="str">
        <f>+HYPERLINK("http://trademark.i-assist.jp/data/china/image_1915th/80938032.pdf","80938032")</f>
        <v>80938032</v>
      </c>
      <c r="F960" s="9" t="s">
        <v>2700</v>
      </c>
      <c r="G960" s="9" t="s">
        <v>2701</v>
      </c>
      <c r="H960" s="9" t="s">
        <v>2702</v>
      </c>
      <c r="I960" s="10">
        <v>45549</v>
      </c>
    </row>
    <row r="961" spans="1:9" x14ac:dyDescent="0.15">
      <c r="A961" s="9">
        <v>960</v>
      </c>
      <c r="B961" s="9" t="s">
        <v>9</v>
      </c>
      <c r="C961" s="9">
        <v>1915</v>
      </c>
      <c r="D961" s="10">
        <v>45639</v>
      </c>
      <c r="E961" s="13" t="str">
        <f>+HYPERLINK("http://trademark.i-assist.jp/data/china/image_1915th/80938498.pdf","80938498")</f>
        <v>80938498</v>
      </c>
      <c r="F961" s="9" t="s">
        <v>2703</v>
      </c>
      <c r="G961" s="9" t="s">
        <v>2704</v>
      </c>
      <c r="H961" s="9" t="s">
        <v>2705</v>
      </c>
      <c r="I961" s="10">
        <v>45549</v>
      </c>
    </row>
    <row r="962" spans="1:9" x14ac:dyDescent="0.15">
      <c r="A962" s="9">
        <v>961</v>
      </c>
      <c r="B962" s="9" t="s">
        <v>9</v>
      </c>
      <c r="C962" s="9">
        <v>1915</v>
      </c>
      <c r="D962" s="10">
        <v>45639</v>
      </c>
      <c r="E962" s="13" t="str">
        <f>+HYPERLINK("http://trademark.i-assist.jp/data/china/image_1915th/80938606.pdf","80938606")</f>
        <v>80938606</v>
      </c>
      <c r="F962" s="9" t="s">
        <v>2706</v>
      </c>
      <c r="G962" s="9" t="s">
        <v>2707</v>
      </c>
      <c r="H962" s="9" t="s">
        <v>2708</v>
      </c>
      <c r="I962" s="10">
        <v>45549</v>
      </c>
    </row>
    <row r="963" spans="1:9" x14ac:dyDescent="0.15">
      <c r="A963" s="9">
        <v>962</v>
      </c>
      <c r="B963" s="9" t="s">
        <v>9</v>
      </c>
      <c r="C963" s="9">
        <v>1915</v>
      </c>
      <c r="D963" s="10">
        <v>45639</v>
      </c>
      <c r="E963" s="13" t="str">
        <f>+HYPERLINK("http://trademark.i-assist.jp/data/china/image_1915th/80938644.pdf","80938644")</f>
        <v>80938644</v>
      </c>
      <c r="F963" s="9" t="s">
        <v>2709</v>
      </c>
      <c r="G963" s="9" t="s">
        <v>2710</v>
      </c>
      <c r="H963" s="9" t="s">
        <v>2711</v>
      </c>
      <c r="I963" s="10">
        <v>45549</v>
      </c>
    </row>
    <row r="964" spans="1:9" x14ac:dyDescent="0.15">
      <c r="A964" s="9">
        <v>963</v>
      </c>
      <c r="B964" s="9" t="s">
        <v>9</v>
      </c>
      <c r="C964" s="9">
        <v>1915</v>
      </c>
      <c r="D964" s="10">
        <v>45639</v>
      </c>
      <c r="E964" s="13" t="str">
        <f>+HYPERLINK("http://trademark.i-assist.jp/data/china/image_1915th/80938834.pdf","80938834")</f>
        <v>80938834</v>
      </c>
      <c r="F964" s="12" t="s">
        <v>2712</v>
      </c>
      <c r="G964" s="9" t="s">
        <v>2713</v>
      </c>
      <c r="H964" s="9" t="s">
        <v>2714</v>
      </c>
      <c r="I964" s="10">
        <v>45549</v>
      </c>
    </row>
    <row r="965" spans="1:9" x14ac:dyDescent="0.15">
      <c r="A965" s="9">
        <v>964</v>
      </c>
      <c r="B965" s="9" t="s">
        <v>9</v>
      </c>
      <c r="C965" s="9">
        <v>1915</v>
      </c>
      <c r="D965" s="10">
        <v>45639</v>
      </c>
      <c r="E965" s="13" t="str">
        <f>+HYPERLINK("http://trademark.i-assist.jp/data/china/image_1915th/80939101.pdf","80939101")</f>
        <v>80939101</v>
      </c>
      <c r="F965" s="9" t="s">
        <v>2715</v>
      </c>
      <c r="G965" s="12" t="s">
        <v>2716</v>
      </c>
      <c r="H965" s="9" t="s">
        <v>2717</v>
      </c>
      <c r="I965" s="10">
        <v>45549</v>
      </c>
    </row>
    <row r="966" spans="1:9" x14ac:dyDescent="0.15">
      <c r="A966" s="9">
        <v>965</v>
      </c>
      <c r="B966" s="9" t="s">
        <v>9</v>
      </c>
      <c r="C966" s="9">
        <v>1915</v>
      </c>
      <c r="D966" s="10">
        <v>45639</v>
      </c>
      <c r="E966" s="13" t="str">
        <f>+HYPERLINK("http://trademark.i-assist.jp/data/china/image_1915th/80939452.pdf","80939452")</f>
        <v>80939452</v>
      </c>
      <c r="F966" s="12" t="s">
        <v>2718</v>
      </c>
      <c r="G966" s="12" t="s">
        <v>2719</v>
      </c>
      <c r="H966" s="9" t="s">
        <v>2720</v>
      </c>
      <c r="I966" s="10">
        <v>45549</v>
      </c>
    </row>
    <row r="967" spans="1:9" x14ac:dyDescent="0.15">
      <c r="A967" s="9">
        <v>966</v>
      </c>
      <c r="B967" s="9" t="s">
        <v>9</v>
      </c>
      <c r="C967" s="9">
        <v>1915</v>
      </c>
      <c r="D967" s="10">
        <v>45639</v>
      </c>
      <c r="E967" s="13" t="str">
        <f>+HYPERLINK("http://trademark.i-assist.jp/data/china/image_1915th/80939523.pdf","80939523")</f>
        <v>80939523</v>
      </c>
      <c r="F967" s="9" t="s">
        <v>2721</v>
      </c>
      <c r="G967" s="9" t="s">
        <v>2722</v>
      </c>
      <c r="H967" s="9" t="s">
        <v>2723</v>
      </c>
      <c r="I967" s="10">
        <v>45547</v>
      </c>
    </row>
    <row r="968" spans="1:9" x14ac:dyDescent="0.15">
      <c r="A968" s="9">
        <v>967</v>
      </c>
      <c r="B968" s="9" t="s">
        <v>9</v>
      </c>
      <c r="C968" s="9">
        <v>1915</v>
      </c>
      <c r="D968" s="10">
        <v>45639</v>
      </c>
      <c r="E968" s="13" t="str">
        <f>+HYPERLINK("http://trademark.i-assist.jp/data/china/image_1915th/80939768.pdf","80939768")</f>
        <v>80939768</v>
      </c>
      <c r="F968" s="9" t="s">
        <v>2724</v>
      </c>
      <c r="G968" s="9" t="s">
        <v>2725</v>
      </c>
      <c r="H968" s="9" t="s">
        <v>2726</v>
      </c>
      <c r="I968" s="10">
        <v>45547</v>
      </c>
    </row>
    <row r="969" spans="1:9" x14ac:dyDescent="0.15">
      <c r="A969" s="9">
        <v>968</v>
      </c>
      <c r="B969" s="9" t="s">
        <v>9</v>
      </c>
      <c r="C969" s="9">
        <v>1915</v>
      </c>
      <c r="D969" s="10">
        <v>45639</v>
      </c>
      <c r="E969" s="13" t="str">
        <f>+HYPERLINK("http://trademark.i-assist.jp/data/china/image_1915th/80940594.pdf","80940594")</f>
        <v>80940594</v>
      </c>
      <c r="F969" s="9" t="s">
        <v>2727</v>
      </c>
      <c r="G969" s="12" t="s">
        <v>2728</v>
      </c>
      <c r="H969" s="12" t="s">
        <v>2729</v>
      </c>
      <c r="I969" s="10">
        <v>45549</v>
      </c>
    </row>
    <row r="970" spans="1:9" x14ac:dyDescent="0.15">
      <c r="A970" s="9">
        <v>969</v>
      </c>
      <c r="B970" s="9" t="s">
        <v>9</v>
      </c>
      <c r="C970" s="9">
        <v>1915</v>
      </c>
      <c r="D970" s="10">
        <v>45639</v>
      </c>
      <c r="E970" s="13" t="str">
        <f>+HYPERLINK("http://trademark.i-assist.jp/data/china/image_1915th/80940703.pdf","80940703")</f>
        <v>80940703</v>
      </c>
      <c r="F970" s="9" t="s">
        <v>2730</v>
      </c>
      <c r="G970" s="9" t="s">
        <v>2731</v>
      </c>
      <c r="H970" s="12" t="s">
        <v>2732</v>
      </c>
      <c r="I970" s="10">
        <v>45549</v>
      </c>
    </row>
    <row r="971" spans="1:9" x14ac:dyDescent="0.15">
      <c r="A971" s="9">
        <v>970</v>
      </c>
      <c r="B971" s="9" t="s">
        <v>9</v>
      </c>
      <c r="C971" s="9">
        <v>1915</v>
      </c>
      <c r="D971" s="10">
        <v>45639</v>
      </c>
      <c r="E971" s="13" t="str">
        <f>+HYPERLINK("http://trademark.i-assist.jp/data/china/image_1915th/80940762.pdf","80940762")</f>
        <v>80940762</v>
      </c>
      <c r="F971" s="9" t="s">
        <v>2733</v>
      </c>
      <c r="G971" s="9" t="s">
        <v>2734</v>
      </c>
      <c r="H971" s="9" t="s">
        <v>2735</v>
      </c>
      <c r="I971" s="10">
        <v>45549</v>
      </c>
    </row>
    <row r="972" spans="1:9" x14ac:dyDescent="0.15">
      <c r="A972" s="9">
        <v>971</v>
      </c>
      <c r="B972" s="9" t="s">
        <v>9</v>
      </c>
      <c r="C972" s="9">
        <v>1915</v>
      </c>
      <c r="D972" s="10">
        <v>45639</v>
      </c>
      <c r="E972" s="13" t="str">
        <f>+HYPERLINK("http://trademark.i-assist.jp/data/china/image_1915th/80941078.pdf","80941078")</f>
        <v>80941078</v>
      </c>
      <c r="F972" s="9" t="s">
        <v>2736</v>
      </c>
      <c r="G972" s="12" t="s">
        <v>2737</v>
      </c>
      <c r="H972" s="9" t="s">
        <v>2738</v>
      </c>
      <c r="I972" s="10">
        <v>45549</v>
      </c>
    </row>
    <row r="973" spans="1:9" x14ac:dyDescent="0.15">
      <c r="A973" s="9">
        <v>972</v>
      </c>
      <c r="B973" s="9" t="s">
        <v>9</v>
      </c>
      <c r="C973" s="9">
        <v>1915</v>
      </c>
      <c r="D973" s="10">
        <v>45639</v>
      </c>
      <c r="E973" s="13" t="str">
        <f>+HYPERLINK("http://trademark.i-assist.jp/data/china/image_1915th/80941301.pdf","80941301")</f>
        <v>80941301</v>
      </c>
      <c r="F973" s="9" t="s">
        <v>2739</v>
      </c>
      <c r="G973" s="12" t="s">
        <v>1532</v>
      </c>
      <c r="H973" s="12" t="s">
        <v>2740</v>
      </c>
      <c r="I973" s="10">
        <v>45549</v>
      </c>
    </row>
    <row r="974" spans="1:9" x14ac:dyDescent="0.15">
      <c r="A974" s="9">
        <v>973</v>
      </c>
      <c r="B974" s="9" t="s">
        <v>9</v>
      </c>
      <c r="C974" s="9">
        <v>1915</v>
      </c>
      <c r="D974" s="10">
        <v>45639</v>
      </c>
      <c r="E974" s="13" t="str">
        <f>+HYPERLINK("http://trademark.i-assist.jp/data/china/image_1915th/80941730.pdf","80941730")</f>
        <v>80941730</v>
      </c>
      <c r="F974" s="9" t="s">
        <v>2741</v>
      </c>
      <c r="G974" s="12" t="s">
        <v>2742</v>
      </c>
      <c r="H974" s="9" t="s">
        <v>2743</v>
      </c>
      <c r="I974" s="10">
        <v>45549</v>
      </c>
    </row>
    <row r="975" spans="1:9" x14ac:dyDescent="0.15">
      <c r="A975" s="9">
        <v>974</v>
      </c>
      <c r="B975" s="9" t="s">
        <v>9</v>
      </c>
      <c r="C975" s="9">
        <v>1915</v>
      </c>
      <c r="D975" s="10">
        <v>45639</v>
      </c>
      <c r="E975" s="13" t="str">
        <f>+HYPERLINK("http://trademark.i-assist.jp/data/china/image_1915th/80942053.pdf","80942053")</f>
        <v>80942053</v>
      </c>
      <c r="F975" s="12" t="s">
        <v>2744</v>
      </c>
      <c r="G975" s="9" t="s">
        <v>2745</v>
      </c>
      <c r="H975" s="9" t="s">
        <v>2746</v>
      </c>
      <c r="I975" s="10">
        <v>45549</v>
      </c>
    </row>
    <row r="976" spans="1:9" x14ac:dyDescent="0.15">
      <c r="A976" s="9">
        <v>975</v>
      </c>
      <c r="B976" s="9" t="s">
        <v>9</v>
      </c>
      <c r="C976" s="9">
        <v>1915</v>
      </c>
      <c r="D976" s="10">
        <v>45639</v>
      </c>
      <c r="E976" s="13" t="str">
        <f>+HYPERLINK("http://trademark.i-assist.jp/data/china/image_1915th/80942641.pdf","80942641")</f>
        <v>80942641</v>
      </c>
      <c r="F976" s="9" t="s">
        <v>2747</v>
      </c>
      <c r="G976" s="9" t="s">
        <v>1355</v>
      </c>
      <c r="H976" s="9" t="s">
        <v>2748</v>
      </c>
      <c r="I976" s="10">
        <v>45549</v>
      </c>
    </row>
    <row r="977" spans="1:9" x14ac:dyDescent="0.15">
      <c r="A977" s="9">
        <v>976</v>
      </c>
      <c r="B977" s="9" t="s">
        <v>9</v>
      </c>
      <c r="C977" s="9">
        <v>1915</v>
      </c>
      <c r="D977" s="10">
        <v>45639</v>
      </c>
      <c r="E977" s="13" t="str">
        <f>+HYPERLINK("http://trademark.i-assist.jp/data/china/image_1915th/80942714.pdf","80942714")</f>
        <v>80942714</v>
      </c>
      <c r="F977" s="9" t="s">
        <v>2749</v>
      </c>
      <c r="G977" s="9" t="s">
        <v>2750</v>
      </c>
      <c r="H977" s="9" t="s">
        <v>2751</v>
      </c>
      <c r="I977" s="10">
        <v>45549</v>
      </c>
    </row>
    <row r="978" spans="1:9" x14ac:dyDescent="0.15">
      <c r="A978" s="9">
        <v>977</v>
      </c>
      <c r="B978" s="9" t="s">
        <v>9</v>
      </c>
      <c r="C978" s="9">
        <v>1915</v>
      </c>
      <c r="D978" s="10">
        <v>45639</v>
      </c>
      <c r="E978" s="13" t="str">
        <f>+HYPERLINK("http://trademark.i-assist.jp/data/china/image_1915th/80943245.pdf","80943245")</f>
        <v>80943245</v>
      </c>
      <c r="F978" s="9" t="s">
        <v>2752</v>
      </c>
      <c r="G978" s="9" t="s">
        <v>2753</v>
      </c>
      <c r="H978" s="9" t="s">
        <v>2754</v>
      </c>
      <c r="I978" s="10">
        <v>45549</v>
      </c>
    </row>
    <row r="979" spans="1:9" x14ac:dyDescent="0.15">
      <c r="A979" s="9">
        <v>978</v>
      </c>
      <c r="B979" s="9" t="s">
        <v>9</v>
      </c>
      <c r="C979" s="9">
        <v>1915</v>
      </c>
      <c r="D979" s="10">
        <v>45639</v>
      </c>
      <c r="E979" s="13" t="str">
        <f>+HYPERLINK("http://trademark.i-assist.jp/data/china/image_1915th/80943323.pdf","80943323")</f>
        <v>80943323</v>
      </c>
      <c r="F979" s="12" t="s">
        <v>2755</v>
      </c>
      <c r="G979" s="9" t="s">
        <v>2756</v>
      </c>
      <c r="H979" s="9" t="s">
        <v>2757</v>
      </c>
      <c r="I979" s="10">
        <v>45549</v>
      </c>
    </row>
    <row r="980" spans="1:9" x14ac:dyDescent="0.15">
      <c r="A980" s="9">
        <v>979</v>
      </c>
      <c r="B980" s="9" t="s">
        <v>9</v>
      </c>
      <c r="C980" s="9">
        <v>1915</v>
      </c>
      <c r="D980" s="10">
        <v>45639</v>
      </c>
      <c r="E980" s="13" t="str">
        <f>+HYPERLINK("http://trademark.i-assist.jp/data/china/image_1915th/80943450.pdf","80943450")</f>
        <v>80943450</v>
      </c>
      <c r="F980" s="9" t="s">
        <v>2758</v>
      </c>
      <c r="G980" s="9" t="s">
        <v>2759</v>
      </c>
      <c r="H980" s="9" t="s">
        <v>2760</v>
      </c>
      <c r="I980" s="10">
        <v>45549</v>
      </c>
    </row>
    <row r="981" spans="1:9" x14ac:dyDescent="0.15">
      <c r="A981" s="9">
        <v>980</v>
      </c>
      <c r="B981" s="9" t="s">
        <v>9</v>
      </c>
      <c r="C981" s="9">
        <v>1915</v>
      </c>
      <c r="D981" s="10">
        <v>45639</v>
      </c>
      <c r="E981" s="13" t="str">
        <f>+HYPERLINK("http://trademark.i-assist.jp/data/china/image_1915th/80943942.pdf","80943942")</f>
        <v>80943942</v>
      </c>
      <c r="F981" s="9" t="s">
        <v>2761</v>
      </c>
      <c r="G981" s="9" t="s">
        <v>2731</v>
      </c>
      <c r="H981" s="9" t="s">
        <v>2762</v>
      </c>
      <c r="I981" s="10">
        <v>45549</v>
      </c>
    </row>
    <row r="982" spans="1:9" x14ac:dyDescent="0.15">
      <c r="A982" s="9">
        <v>981</v>
      </c>
      <c r="B982" s="9" t="s">
        <v>9</v>
      </c>
      <c r="C982" s="9">
        <v>1915</v>
      </c>
      <c r="D982" s="10">
        <v>45639</v>
      </c>
      <c r="E982" s="13" t="str">
        <f>+HYPERLINK("http://trademark.i-assist.jp/data/china/image_1915th/80944084.pdf","80944084")</f>
        <v>80944084</v>
      </c>
      <c r="F982" s="12" t="s">
        <v>2763</v>
      </c>
      <c r="G982" s="12" t="s">
        <v>2764</v>
      </c>
      <c r="H982" s="9" t="s">
        <v>2765</v>
      </c>
      <c r="I982" s="10">
        <v>45549</v>
      </c>
    </row>
    <row r="983" spans="1:9" x14ac:dyDescent="0.15">
      <c r="A983" s="9">
        <v>982</v>
      </c>
      <c r="B983" s="9" t="s">
        <v>9</v>
      </c>
      <c r="C983" s="9">
        <v>1915</v>
      </c>
      <c r="D983" s="10">
        <v>45639</v>
      </c>
      <c r="E983" s="13" t="str">
        <f>+HYPERLINK("http://trademark.i-assist.jp/data/china/image_1915th/80944305.pdf","80944305")</f>
        <v>80944305</v>
      </c>
      <c r="F983" s="9" t="s">
        <v>2766</v>
      </c>
      <c r="G983" s="12" t="s">
        <v>1532</v>
      </c>
      <c r="H983" s="9" t="s">
        <v>2767</v>
      </c>
      <c r="I983" s="10">
        <v>45549</v>
      </c>
    </row>
    <row r="984" spans="1:9" x14ac:dyDescent="0.15">
      <c r="A984" s="9">
        <v>983</v>
      </c>
      <c r="B984" s="9" t="s">
        <v>9</v>
      </c>
      <c r="C984" s="9">
        <v>1915</v>
      </c>
      <c r="D984" s="10">
        <v>45639</v>
      </c>
      <c r="E984" s="13" t="str">
        <f>+HYPERLINK("http://trademark.i-assist.jp/data/china/image_1915th/80944336.pdf","80944336")</f>
        <v>80944336</v>
      </c>
      <c r="F984" s="9" t="s">
        <v>2768</v>
      </c>
      <c r="G984" s="9" t="s">
        <v>2769</v>
      </c>
      <c r="H984" s="9" t="s">
        <v>2770</v>
      </c>
      <c r="I984" s="10">
        <v>45549</v>
      </c>
    </row>
    <row r="985" spans="1:9" x14ac:dyDescent="0.15">
      <c r="A985" s="9">
        <v>984</v>
      </c>
      <c r="B985" s="9" t="s">
        <v>9</v>
      </c>
      <c r="C985" s="9">
        <v>1915</v>
      </c>
      <c r="D985" s="10">
        <v>45639</v>
      </c>
      <c r="E985" s="13" t="str">
        <f>+HYPERLINK("http://trademark.i-assist.jp/data/china/image_1915th/80944365.pdf","80944365")</f>
        <v>80944365</v>
      </c>
      <c r="F985" s="9" t="s">
        <v>2771</v>
      </c>
      <c r="G985" s="9" t="s">
        <v>2772</v>
      </c>
      <c r="H985" s="9" t="s">
        <v>2773</v>
      </c>
      <c r="I985" s="10">
        <v>45549</v>
      </c>
    </row>
    <row r="986" spans="1:9" x14ac:dyDescent="0.15">
      <c r="A986" s="9">
        <v>985</v>
      </c>
      <c r="B986" s="9" t="s">
        <v>9</v>
      </c>
      <c r="C986" s="9">
        <v>1915</v>
      </c>
      <c r="D986" s="10">
        <v>45639</v>
      </c>
      <c r="E986" s="13" t="str">
        <f>+HYPERLINK("http://trademark.i-assist.jp/data/china/image_1915th/80944772.pdf","80944772")</f>
        <v>80944772</v>
      </c>
      <c r="F986" s="9" t="s">
        <v>2774</v>
      </c>
      <c r="G986" s="9" t="s">
        <v>2775</v>
      </c>
      <c r="H986" s="9" t="s">
        <v>2776</v>
      </c>
      <c r="I986" s="10">
        <v>45549</v>
      </c>
    </row>
    <row r="987" spans="1:9" x14ac:dyDescent="0.15">
      <c r="A987" s="9">
        <v>986</v>
      </c>
      <c r="B987" s="9" t="s">
        <v>9</v>
      </c>
      <c r="C987" s="9">
        <v>1915</v>
      </c>
      <c r="D987" s="10">
        <v>45639</v>
      </c>
      <c r="E987" s="13" t="str">
        <f>+HYPERLINK("http://trademark.i-assist.jp/data/china/image_1915th/80944932.pdf","80944932")</f>
        <v>80944932</v>
      </c>
      <c r="F987" s="9" t="s">
        <v>2777</v>
      </c>
      <c r="G987" s="9" t="s">
        <v>2778</v>
      </c>
      <c r="H987" s="12" t="s">
        <v>2779</v>
      </c>
      <c r="I987" s="10">
        <v>45549</v>
      </c>
    </row>
    <row r="988" spans="1:9" x14ac:dyDescent="0.15">
      <c r="A988" s="9">
        <v>987</v>
      </c>
      <c r="B988" s="9" t="s">
        <v>9</v>
      </c>
      <c r="C988" s="9">
        <v>1915</v>
      </c>
      <c r="D988" s="10">
        <v>45639</v>
      </c>
      <c r="E988" s="13" t="str">
        <f>+HYPERLINK("http://trademark.i-assist.jp/data/china/image_1915th/80945046.pdf","80945046")</f>
        <v>80945046</v>
      </c>
      <c r="F988" s="9" t="s">
        <v>2780</v>
      </c>
      <c r="G988" s="9" t="s">
        <v>2750</v>
      </c>
      <c r="H988" s="9" t="s">
        <v>2781</v>
      </c>
      <c r="I988" s="10">
        <v>45549</v>
      </c>
    </row>
    <row r="989" spans="1:9" x14ac:dyDescent="0.15">
      <c r="A989" s="9">
        <v>988</v>
      </c>
      <c r="B989" s="9" t="s">
        <v>9</v>
      </c>
      <c r="C989" s="9">
        <v>1915</v>
      </c>
      <c r="D989" s="10">
        <v>45639</v>
      </c>
      <c r="E989" s="13" t="str">
        <f>+HYPERLINK("http://trademark.i-assist.jp/data/china/image_1915th/80945072.pdf","80945072")</f>
        <v>80945072</v>
      </c>
      <c r="F989" s="9" t="s">
        <v>2782</v>
      </c>
      <c r="G989" s="9" t="s">
        <v>53</v>
      </c>
      <c r="H989" s="9" t="s">
        <v>2783</v>
      </c>
      <c r="I989" s="10">
        <v>45549</v>
      </c>
    </row>
    <row r="990" spans="1:9" x14ac:dyDescent="0.15">
      <c r="A990" s="9">
        <v>989</v>
      </c>
      <c r="B990" s="9" t="s">
        <v>9</v>
      </c>
      <c r="C990" s="9">
        <v>1915</v>
      </c>
      <c r="D990" s="10">
        <v>45639</v>
      </c>
      <c r="E990" s="13" t="str">
        <f>+HYPERLINK("http://trademark.i-assist.jp/data/china/image_1915th/80945093.pdf","80945093")</f>
        <v>80945093</v>
      </c>
      <c r="F990" s="9" t="s">
        <v>2784</v>
      </c>
      <c r="G990" s="9" t="s">
        <v>2785</v>
      </c>
      <c r="H990" s="9" t="s">
        <v>2786</v>
      </c>
      <c r="I990" s="10">
        <v>45549</v>
      </c>
    </row>
    <row r="991" spans="1:9" x14ac:dyDescent="0.15">
      <c r="A991" s="9">
        <v>990</v>
      </c>
      <c r="B991" s="9" t="s">
        <v>9</v>
      </c>
      <c r="C991" s="9">
        <v>1915</v>
      </c>
      <c r="D991" s="10">
        <v>45639</v>
      </c>
      <c r="E991" s="13" t="str">
        <f>+HYPERLINK("http://trademark.i-assist.jp/data/china/image_1915th/80945167.pdf","80945167")</f>
        <v>80945167</v>
      </c>
      <c r="F991" s="9" t="s">
        <v>2787</v>
      </c>
      <c r="G991" s="9" t="s">
        <v>53</v>
      </c>
      <c r="H991" s="9" t="s">
        <v>2788</v>
      </c>
      <c r="I991" s="10">
        <v>45549</v>
      </c>
    </row>
    <row r="992" spans="1:9" x14ac:dyDescent="0.15">
      <c r="A992" s="9">
        <v>991</v>
      </c>
      <c r="B992" s="9" t="s">
        <v>9</v>
      </c>
      <c r="C992" s="9">
        <v>1915</v>
      </c>
      <c r="D992" s="10">
        <v>45639</v>
      </c>
      <c r="E992" s="13" t="str">
        <f>+HYPERLINK("http://trademark.i-assist.jp/data/china/image_1915th/80945258.pdf","80945258")</f>
        <v>80945258</v>
      </c>
      <c r="F992" s="9" t="s">
        <v>2789</v>
      </c>
      <c r="G992" s="12" t="s">
        <v>2790</v>
      </c>
      <c r="H992" s="12" t="s">
        <v>2791</v>
      </c>
      <c r="I992" s="10">
        <v>45549</v>
      </c>
    </row>
    <row r="993" spans="1:9" x14ac:dyDescent="0.15">
      <c r="A993" s="9">
        <v>992</v>
      </c>
      <c r="B993" s="9" t="s">
        <v>9</v>
      </c>
      <c r="C993" s="9">
        <v>1915</v>
      </c>
      <c r="D993" s="10">
        <v>45639</v>
      </c>
      <c r="E993" s="13" t="str">
        <f>+HYPERLINK("http://trademark.i-assist.jp/data/china/image_1915th/80945602.pdf","80945602")</f>
        <v>80945602</v>
      </c>
      <c r="F993" s="9" t="s">
        <v>2792</v>
      </c>
      <c r="G993" s="9" t="s">
        <v>2793</v>
      </c>
      <c r="H993" s="9" t="s">
        <v>2794</v>
      </c>
      <c r="I993" s="10">
        <v>45549</v>
      </c>
    </row>
    <row r="994" spans="1:9" x14ac:dyDescent="0.15">
      <c r="A994" s="9">
        <v>993</v>
      </c>
      <c r="B994" s="9" t="s">
        <v>9</v>
      </c>
      <c r="C994" s="9">
        <v>1915</v>
      </c>
      <c r="D994" s="10">
        <v>45639</v>
      </c>
      <c r="E994" s="13" t="str">
        <f>+HYPERLINK("http://trademark.i-assist.jp/data/china/image_1915th/80945958.pdf","80945958")</f>
        <v>80945958</v>
      </c>
      <c r="F994" s="9" t="s">
        <v>2795</v>
      </c>
      <c r="G994" s="9" t="s">
        <v>2796</v>
      </c>
      <c r="H994" s="9" t="s">
        <v>2797</v>
      </c>
      <c r="I994" s="10">
        <v>45549</v>
      </c>
    </row>
    <row r="995" spans="1:9" x14ac:dyDescent="0.15">
      <c r="A995" s="9">
        <v>994</v>
      </c>
      <c r="B995" s="9" t="s">
        <v>9</v>
      </c>
      <c r="C995" s="9">
        <v>1915</v>
      </c>
      <c r="D995" s="10">
        <v>45639</v>
      </c>
      <c r="E995" s="13" t="str">
        <f>+HYPERLINK("http://trademark.i-assist.jp/data/china/image_1915th/80946546.pdf","80946546")</f>
        <v>80946546</v>
      </c>
      <c r="F995" s="9" t="s">
        <v>2798</v>
      </c>
      <c r="G995" s="9" t="s">
        <v>2799</v>
      </c>
      <c r="H995" s="12" t="s">
        <v>2800</v>
      </c>
      <c r="I995" s="10">
        <v>45549</v>
      </c>
    </row>
    <row r="996" spans="1:9" x14ac:dyDescent="0.15">
      <c r="A996" s="9">
        <v>995</v>
      </c>
      <c r="B996" s="9" t="s">
        <v>9</v>
      </c>
      <c r="C996" s="9">
        <v>1915</v>
      </c>
      <c r="D996" s="10">
        <v>45639</v>
      </c>
      <c r="E996" s="13" t="str">
        <f>+HYPERLINK("http://trademark.i-assist.jp/data/china/image_1915th/80946657.pdf","80946657")</f>
        <v>80946657</v>
      </c>
      <c r="F996" s="9" t="s">
        <v>2801</v>
      </c>
      <c r="G996" s="9" t="s">
        <v>2802</v>
      </c>
      <c r="H996" s="9" t="s">
        <v>2803</v>
      </c>
      <c r="I996" s="10">
        <v>45549</v>
      </c>
    </row>
    <row r="997" spans="1:9" x14ac:dyDescent="0.15">
      <c r="A997" s="9">
        <v>996</v>
      </c>
      <c r="B997" s="9" t="s">
        <v>9</v>
      </c>
      <c r="C997" s="9">
        <v>1915</v>
      </c>
      <c r="D997" s="10">
        <v>45639</v>
      </c>
      <c r="E997" s="13" t="str">
        <f>+HYPERLINK("http://trademark.i-assist.jp/data/china/image_1915th/80946856.pdf","80946856")</f>
        <v>80946856</v>
      </c>
      <c r="F997" s="12" t="s">
        <v>2804</v>
      </c>
      <c r="G997" s="12" t="s">
        <v>2805</v>
      </c>
      <c r="H997" s="9" t="s">
        <v>2806</v>
      </c>
      <c r="I997" s="10">
        <v>45549</v>
      </c>
    </row>
    <row r="998" spans="1:9" x14ac:dyDescent="0.15">
      <c r="A998" s="9">
        <v>997</v>
      </c>
      <c r="B998" s="9" t="s">
        <v>9</v>
      </c>
      <c r="C998" s="9">
        <v>1915</v>
      </c>
      <c r="D998" s="10">
        <v>45639</v>
      </c>
      <c r="E998" s="13" t="str">
        <f>+HYPERLINK("http://trademark.i-assist.jp/data/china/image_1915th/80947092.pdf","80947092")</f>
        <v>80947092</v>
      </c>
      <c r="F998" s="9" t="s">
        <v>2807</v>
      </c>
      <c r="G998" s="9" t="s">
        <v>2808</v>
      </c>
      <c r="H998" s="9" t="s">
        <v>2809</v>
      </c>
      <c r="I998" s="10">
        <v>45549</v>
      </c>
    </row>
    <row r="999" spans="1:9" x14ac:dyDescent="0.15">
      <c r="A999" s="9">
        <v>998</v>
      </c>
      <c r="B999" s="9" t="s">
        <v>9</v>
      </c>
      <c r="C999" s="9">
        <v>1915</v>
      </c>
      <c r="D999" s="10">
        <v>45639</v>
      </c>
      <c r="E999" s="13" t="str">
        <f>+HYPERLINK("http://trademark.i-assist.jp/data/china/image_1915th/80947101.pdf","80947101")</f>
        <v>80947101</v>
      </c>
      <c r="F999" s="9" t="s">
        <v>2810</v>
      </c>
      <c r="G999" s="9" t="s">
        <v>2808</v>
      </c>
      <c r="H999" s="9" t="s">
        <v>2811</v>
      </c>
      <c r="I999" s="10">
        <v>45549</v>
      </c>
    </row>
    <row r="1000" spans="1:9" x14ac:dyDescent="0.15">
      <c r="A1000" s="9">
        <v>999</v>
      </c>
      <c r="B1000" s="9" t="s">
        <v>9</v>
      </c>
      <c r="C1000" s="9">
        <v>1915</v>
      </c>
      <c r="D1000" s="10">
        <v>45639</v>
      </c>
      <c r="E1000" s="13" t="str">
        <f>+HYPERLINK("http://trademark.i-assist.jp/data/china/image_1915th/80947120.pdf","80947120")</f>
        <v>80947120</v>
      </c>
      <c r="F1000" s="9" t="s">
        <v>2812</v>
      </c>
      <c r="G1000" s="9" t="s">
        <v>2621</v>
      </c>
      <c r="H1000" s="9" t="s">
        <v>2813</v>
      </c>
      <c r="I1000" s="10">
        <v>45549</v>
      </c>
    </row>
    <row r="1001" spans="1:9" x14ac:dyDescent="0.15">
      <c r="A1001" s="9">
        <v>1000</v>
      </c>
      <c r="B1001" s="9" t="s">
        <v>9</v>
      </c>
      <c r="C1001" s="9">
        <v>1915</v>
      </c>
      <c r="D1001" s="10">
        <v>45639</v>
      </c>
      <c r="E1001" s="13" t="str">
        <f>+HYPERLINK("http://trademark.i-assist.jp/data/china/image_1915th/80947278.pdf","80947278")</f>
        <v>80947278</v>
      </c>
      <c r="F1001" s="9" t="s">
        <v>2814</v>
      </c>
      <c r="G1001" s="9" t="s">
        <v>2815</v>
      </c>
      <c r="H1001" s="12" t="s">
        <v>2816</v>
      </c>
      <c r="I1001" s="10">
        <v>45549</v>
      </c>
    </row>
    <row r="1002" spans="1:9" x14ac:dyDescent="0.15">
      <c r="A1002" s="9">
        <v>1001</v>
      </c>
      <c r="B1002" s="9" t="s">
        <v>9</v>
      </c>
      <c r="C1002" s="9">
        <v>1915</v>
      </c>
      <c r="D1002" s="10">
        <v>45639</v>
      </c>
      <c r="E1002" s="13" t="str">
        <f>+HYPERLINK("http://trademark.i-assist.jp/data/china/image_1915th/80947653.pdf","80947653")</f>
        <v>80947653</v>
      </c>
      <c r="F1002" s="12" t="s">
        <v>2817</v>
      </c>
      <c r="G1002" s="9" t="s">
        <v>2818</v>
      </c>
      <c r="H1002" s="9" t="s">
        <v>2819</v>
      </c>
      <c r="I1002" s="10">
        <v>45549</v>
      </c>
    </row>
    <row r="1003" spans="1:9" x14ac:dyDescent="0.15">
      <c r="A1003" s="9">
        <v>1002</v>
      </c>
      <c r="B1003" s="9" t="s">
        <v>9</v>
      </c>
      <c r="C1003" s="9">
        <v>1915</v>
      </c>
      <c r="D1003" s="10">
        <v>45639</v>
      </c>
      <c r="E1003" s="13" t="str">
        <f>+HYPERLINK("http://trademark.i-assist.jp/data/china/image_1915th/80948551.pdf","80948551")</f>
        <v>80948551</v>
      </c>
      <c r="F1003" s="9" t="s">
        <v>2820</v>
      </c>
      <c r="G1003" s="12" t="s">
        <v>2821</v>
      </c>
      <c r="H1003" s="9" t="s">
        <v>2822</v>
      </c>
      <c r="I1003" s="10">
        <v>45549</v>
      </c>
    </row>
    <row r="1004" spans="1:9" x14ac:dyDescent="0.15">
      <c r="A1004" s="9">
        <v>1003</v>
      </c>
      <c r="B1004" s="9" t="s">
        <v>9</v>
      </c>
      <c r="C1004" s="9">
        <v>1915</v>
      </c>
      <c r="D1004" s="10">
        <v>45639</v>
      </c>
      <c r="E1004" s="13" t="str">
        <f>+HYPERLINK("http://trademark.i-assist.jp/data/china/image_1915th/80948767.pdf","80948767")</f>
        <v>80948767</v>
      </c>
      <c r="F1004" s="9" t="s">
        <v>2823</v>
      </c>
      <c r="G1004" s="9" t="s">
        <v>2824</v>
      </c>
      <c r="H1004" s="9" t="s">
        <v>2825</v>
      </c>
      <c r="I1004" s="10">
        <v>45549</v>
      </c>
    </row>
    <row r="1005" spans="1:9" x14ac:dyDescent="0.15">
      <c r="A1005" s="9">
        <v>1004</v>
      </c>
      <c r="B1005" s="9" t="s">
        <v>9</v>
      </c>
      <c r="C1005" s="9">
        <v>1915</v>
      </c>
      <c r="D1005" s="10">
        <v>45639</v>
      </c>
      <c r="E1005" s="13" t="str">
        <f>+HYPERLINK("http://trademark.i-assist.jp/data/china/image_1915th/80948802.pdf","80948802")</f>
        <v>80948802</v>
      </c>
      <c r="F1005" s="9" t="s">
        <v>2826</v>
      </c>
      <c r="G1005" s="12" t="s">
        <v>2827</v>
      </c>
      <c r="H1005" s="9" t="s">
        <v>2828</v>
      </c>
      <c r="I1005" s="10">
        <v>45549</v>
      </c>
    </row>
    <row r="1006" spans="1:9" x14ac:dyDescent="0.15">
      <c r="A1006" s="9">
        <v>1005</v>
      </c>
      <c r="B1006" s="9" t="s">
        <v>9</v>
      </c>
      <c r="C1006" s="9">
        <v>1915</v>
      </c>
      <c r="D1006" s="10">
        <v>45639</v>
      </c>
      <c r="E1006" s="13" t="str">
        <f>+HYPERLINK("http://trademark.i-assist.jp/data/china/image_1915th/80948804.pdf","80948804")</f>
        <v>80948804</v>
      </c>
      <c r="F1006" s="9" t="s">
        <v>2829</v>
      </c>
      <c r="G1006" s="12" t="s">
        <v>2827</v>
      </c>
      <c r="H1006" s="9" t="s">
        <v>2830</v>
      </c>
      <c r="I1006" s="10">
        <v>45549</v>
      </c>
    </row>
    <row r="1007" spans="1:9" x14ac:dyDescent="0.15">
      <c r="A1007" s="9">
        <v>1006</v>
      </c>
      <c r="B1007" s="9" t="s">
        <v>9</v>
      </c>
      <c r="C1007" s="9">
        <v>1915</v>
      </c>
      <c r="D1007" s="10">
        <v>45639</v>
      </c>
      <c r="E1007" s="13" t="str">
        <f>+HYPERLINK("http://trademark.i-assist.jp/data/china/image_1915th/80948816.pdf","80948816")</f>
        <v>80948816</v>
      </c>
      <c r="F1007" s="9" t="s">
        <v>2831</v>
      </c>
      <c r="G1007" s="9" t="s">
        <v>75</v>
      </c>
      <c r="H1007" s="9" t="s">
        <v>2832</v>
      </c>
      <c r="I1007" s="10">
        <v>45549</v>
      </c>
    </row>
    <row r="1008" spans="1:9" x14ac:dyDescent="0.15">
      <c r="A1008" s="9">
        <v>1007</v>
      </c>
      <c r="B1008" s="9" t="s">
        <v>9</v>
      </c>
      <c r="C1008" s="9">
        <v>1915</v>
      </c>
      <c r="D1008" s="10">
        <v>45639</v>
      </c>
      <c r="E1008" s="13" t="str">
        <f>+HYPERLINK("http://trademark.i-assist.jp/data/china/image_1915th/80949058.pdf","80949058")</f>
        <v>80949058</v>
      </c>
      <c r="F1008" s="12" t="s">
        <v>15</v>
      </c>
      <c r="G1008" s="9" t="s">
        <v>2833</v>
      </c>
      <c r="H1008" s="9" t="s">
        <v>2834</v>
      </c>
      <c r="I1008" s="10">
        <v>45549</v>
      </c>
    </row>
    <row r="1009" spans="1:9" x14ac:dyDescent="0.15">
      <c r="A1009" s="9">
        <v>1008</v>
      </c>
      <c r="B1009" s="9" t="s">
        <v>9</v>
      </c>
      <c r="C1009" s="9">
        <v>1915</v>
      </c>
      <c r="D1009" s="10">
        <v>45639</v>
      </c>
      <c r="E1009" s="13" t="str">
        <f>+HYPERLINK("http://trademark.i-assist.jp/data/china/image_1915th/80949116.pdf","80949116")</f>
        <v>80949116</v>
      </c>
      <c r="F1009" s="9" t="s">
        <v>2835</v>
      </c>
      <c r="G1009" s="9" t="s">
        <v>2836</v>
      </c>
      <c r="H1009" s="9" t="s">
        <v>2837</v>
      </c>
      <c r="I1009" s="10">
        <v>45549</v>
      </c>
    </row>
    <row r="1010" spans="1:9" x14ac:dyDescent="0.15">
      <c r="A1010" s="9">
        <v>1009</v>
      </c>
      <c r="B1010" s="9" t="s">
        <v>9</v>
      </c>
      <c r="C1010" s="9">
        <v>1915</v>
      </c>
      <c r="D1010" s="10">
        <v>45639</v>
      </c>
      <c r="E1010" s="13" t="str">
        <f>+HYPERLINK("http://trademark.i-assist.jp/data/china/image_1915th/80949183.pdf","80949183")</f>
        <v>80949183</v>
      </c>
      <c r="F1010" s="9" t="s">
        <v>2838</v>
      </c>
      <c r="G1010" s="9" t="s">
        <v>2839</v>
      </c>
      <c r="H1010" s="12" t="s">
        <v>2840</v>
      </c>
      <c r="I1010" s="10">
        <v>45549</v>
      </c>
    </row>
    <row r="1011" spans="1:9" x14ac:dyDescent="0.15">
      <c r="A1011" s="9">
        <v>1010</v>
      </c>
      <c r="B1011" s="9" t="s">
        <v>9</v>
      </c>
      <c r="C1011" s="9">
        <v>1915</v>
      </c>
      <c r="D1011" s="10">
        <v>45639</v>
      </c>
      <c r="E1011" s="13" t="str">
        <f>+HYPERLINK("http://trademark.i-assist.jp/data/china/image_1915th/80949447.pdf","80949447")</f>
        <v>80949447</v>
      </c>
      <c r="F1011" s="9" t="s">
        <v>2841</v>
      </c>
      <c r="G1011" s="9" t="s">
        <v>2842</v>
      </c>
      <c r="H1011" s="9" t="s">
        <v>2843</v>
      </c>
      <c r="I1011" s="10">
        <v>45549</v>
      </c>
    </row>
    <row r="1012" spans="1:9" x14ac:dyDescent="0.15">
      <c r="A1012" s="9">
        <v>1011</v>
      </c>
      <c r="B1012" s="9" t="s">
        <v>9</v>
      </c>
      <c r="C1012" s="9">
        <v>1915</v>
      </c>
      <c r="D1012" s="10">
        <v>45639</v>
      </c>
      <c r="E1012" s="13" t="str">
        <f>+HYPERLINK("http://trademark.i-assist.jp/data/china/image_1915th/80949483.pdf","80949483")</f>
        <v>80949483</v>
      </c>
      <c r="F1012" s="9" t="s">
        <v>2844</v>
      </c>
      <c r="G1012" s="9" t="s">
        <v>2845</v>
      </c>
      <c r="H1012" s="12" t="s">
        <v>2846</v>
      </c>
      <c r="I1012" s="10">
        <v>45549</v>
      </c>
    </row>
    <row r="1013" spans="1:9" x14ac:dyDescent="0.15">
      <c r="A1013" s="9">
        <v>1012</v>
      </c>
      <c r="B1013" s="9" t="s">
        <v>9</v>
      </c>
      <c r="C1013" s="9">
        <v>1915</v>
      </c>
      <c r="D1013" s="10">
        <v>45639</v>
      </c>
      <c r="E1013" s="13" t="str">
        <f>+HYPERLINK("http://trademark.i-assist.jp/data/china/image_1915th/80949509.pdf","80949509")</f>
        <v>80949509</v>
      </c>
      <c r="F1013" s="9" t="s">
        <v>2847</v>
      </c>
      <c r="G1013" s="9" t="s">
        <v>2848</v>
      </c>
      <c r="H1013" s="9" t="s">
        <v>2849</v>
      </c>
      <c r="I1013" s="10">
        <v>45549</v>
      </c>
    </row>
    <row r="1014" spans="1:9" x14ac:dyDescent="0.15">
      <c r="A1014" s="9">
        <v>1013</v>
      </c>
      <c r="B1014" s="9" t="s">
        <v>9</v>
      </c>
      <c r="C1014" s="9">
        <v>1915</v>
      </c>
      <c r="D1014" s="10">
        <v>45639</v>
      </c>
      <c r="E1014" s="13" t="str">
        <f>+HYPERLINK("http://trademark.i-assist.jp/data/china/image_1915th/80949794.pdf","80949794")</f>
        <v>80949794</v>
      </c>
      <c r="F1014" s="9" t="s">
        <v>2850</v>
      </c>
      <c r="G1014" s="9" t="s">
        <v>2851</v>
      </c>
      <c r="H1014" s="9" t="s">
        <v>2852</v>
      </c>
      <c r="I1014" s="10">
        <v>45549</v>
      </c>
    </row>
    <row r="1015" spans="1:9" x14ac:dyDescent="0.15">
      <c r="A1015" s="9">
        <v>1014</v>
      </c>
      <c r="B1015" s="9" t="s">
        <v>9</v>
      </c>
      <c r="C1015" s="9">
        <v>1915</v>
      </c>
      <c r="D1015" s="10">
        <v>45639</v>
      </c>
      <c r="E1015" s="13" t="str">
        <f>+HYPERLINK("http://trademark.i-assist.jp/data/china/image_1915th/80950024.pdf","80950024")</f>
        <v>80950024</v>
      </c>
      <c r="F1015" s="9" t="s">
        <v>2853</v>
      </c>
      <c r="G1015" s="9" t="s">
        <v>2854</v>
      </c>
      <c r="H1015" s="12" t="s">
        <v>2855</v>
      </c>
      <c r="I1015" s="10">
        <v>45549</v>
      </c>
    </row>
    <row r="1016" spans="1:9" x14ac:dyDescent="0.15">
      <c r="A1016" s="9">
        <v>1015</v>
      </c>
      <c r="B1016" s="9" t="s">
        <v>9</v>
      </c>
      <c r="C1016" s="9">
        <v>1915</v>
      </c>
      <c r="D1016" s="10">
        <v>45639</v>
      </c>
      <c r="E1016" s="13" t="str">
        <f>+HYPERLINK("http://trademark.i-assist.jp/data/china/image_1915th/80950036.pdf","80950036")</f>
        <v>80950036</v>
      </c>
      <c r="F1016" s="9" t="s">
        <v>2856</v>
      </c>
      <c r="G1016" s="9" t="s">
        <v>2802</v>
      </c>
      <c r="H1016" s="9" t="s">
        <v>2857</v>
      </c>
      <c r="I1016" s="10">
        <v>45549</v>
      </c>
    </row>
    <row r="1017" spans="1:9" x14ac:dyDescent="0.15">
      <c r="A1017" s="9">
        <v>1016</v>
      </c>
      <c r="B1017" s="9" t="s">
        <v>9</v>
      </c>
      <c r="C1017" s="9">
        <v>1915</v>
      </c>
      <c r="D1017" s="10">
        <v>45639</v>
      </c>
      <c r="E1017" s="13" t="str">
        <f>+HYPERLINK("http://trademark.i-assist.jp/data/china/image_1915th/80950093.pdf","80950093")</f>
        <v>80950093</v>
      </c>
      <c r="F1017" s="12" t="s">
        <v>2858</v>
      </c>
      <c r="G1017" s="9" t="s">
        <v>2624</v>
      </c>
      <c r="H1017" s="9" t="s">
        <v>2859</v>
      </c>
      <c r="I1017" s="10">
        <v>45549</v>
      </c>
    </row>
    <row r="1018" spans="1:9" x14ac:dyDescent="0.15">
      <c r="A1018" s="9">
        <v>1017</v>
      </c>
      <c r="B1018" s="9" t="s">
        <v>9</v>
      </c>
      <c r="C1018" s="9">
        <v>1915</v>
      </c>
      <c r="D1018" s="10">
        <v>45639</v>
      </c>
      <c r="E1018" s="13" t="str">
        <f>+HYPERLINK("http://trademark.i-assist.jp/data/china/image_1915th/80950572.pdf","80950572")</f>
        <v>80950572</v>
      </c>
      <c r="F1018" s="11" t="s">
        <v>2860</v>
      </c>
      <c r="G1018" s="9" t="s">
        <v>2861</v>
      </c>
      <c r="H1018" s="9" t="s">
        <v>2862</v>
      </c>
      <c r="I1018" s="10">
        <v>45549</v>
      </c>
    </row>
    <row r="1019" spans="1:9" x14ac:dyDescent="0.15">
      <c r="A1019" s="9">
        <v>1018</v>
      </c>
      <c r="B1019" s="9" t="s">
        <v>9</v>
      </c>
      <c r="C1019" s="9">
        <v>1915</v>
      </c>
      <c r="D1019" s="10">
        <v>45639</v>
      </c>
      <c r="E1019" s="13" t="str">
        <f>+HYPERLINK("http://trademark.i-assist.jp/data/china/image_1915th/80950895.pdf","80950895")</f>
        <v>80950895</v>
      </c>
      <c r="F1019" s="9" t="s">
        <v>2863</v>
      </c>
      <c r="G1019" s="12" t="s">
        <v>2864</v>
      </c>
      <c r="H1019" s="9" t="s">
        <v>2865</v>
      </c>
      <c r="I1019" s="10">
        <v>45549</v>
      </c>
    </row>
    <row r="1020" spans="1:9" x14ac:dyDescent="0.15">
      <c r="A1020" s="9">
        <v>1019</v>
      </c>
      <c r="B1020" s="9" t="s">
        <v>9</v>
      </c>
      <c r="C1020" s="9">
        <v>1915</v>
      </c>
      <c r="D1020" s="10">
        <v>45639</v>
      </c>
      <c r="E1020" s="13" t="str">
        <f>+HYPERLINK("http://trademark.i-assist.jp/data/china/image_1915th/80951139.pdf","80951139")</f>
        <v>80951139</v>
      </c>
      <c r="F1020" s="9" t="s">
        <v>2866</v>
      </c>
      <c r="G1020" s="12" t="s">
        <v>2867</v>
      </c>
      <c r="H1020" s="9" t="s">
        <v>2868</v>
      </c>
      <c r="I1020" s="10">
        <v>45549</v>
      </c>
    </row>
    <row r="1021" spans="1:9" x14ac:dyDescent="0.15">
      <c r="A1021" s="9">
        <v>1020</v>
      </c>
      <c r="B1021" s="9" t="s">
        <v>9</v>
      </c>
      <c r="C1021" s="9">
        <v>1915</v>
      </c>
      <c r="D1021" s="10">
        <v>45639</v>
      </c>
      <c r="E1021" s="13" t="str">
        <f>+HYPERLINK("http://trademark.i-assist.jp/data/china/image_1915th/80951170.pdf","80951170")</f>
        <v>80951170</v>
      </c>
      <c r="F1021" s="12" t="s">
        <v>2869</v>
      </c>
      <c r="G1021" s="9" t="s">
        <v>2870</v>
      </c>
      <c r="H1021" s="9" t="s">
        <v>2871</v>
      </c>
      <c r="I1021" s="10">
        <v>45549</v>
      </c>
    </row>
    <row r="1022" spans="1:9" x14ac:dyDescent="0.15">
      <c r="A1022" s="9">
        <v>1021</v>
      </c>
      <c r="B1022" s="9" t="s">
        <v>9</v>
      </c>
      <c r="C1022" s="9">
        <v>1915</v>
      </c>
      <c r="D1022" s="10">
        <v>45639</v>
      </c>
      <c r="E1022" s="13" t="str">
        <f>+HYPERLINK("http://trademark.i-assist.jp/data/china/image_1915th/80951373.pdf","80951373")</f>
        <v>80951373</v>
      </c>
      <c r="F1022" s="9" t="s">
        <v>2872</v>
      </c>
      <c r="G1022" s="9" t="s">
        <v>2873</v>
      </c>
      <c r="H1022" s="9" t="s">
        <v>2874</v>
      </c>
      <c r="I1022" s="10">
        <v>45549</v>
      </c>
    </row>
    <row r="1023" spans="1:9" x14ac:dyDescent="0.15">
      <c r="A1023" s="9">
        <v>1022</v>
      </c>
      <c r="B1023" s="9" t="s">
        <v>9</v>
      </c>
      <c r="C1023" s="9">
        <v>1915</v>
      </c>
      <c r="D1023" s="10">
        <v>45639</v>
      </c>
      <c r="E1023" s="13" t="str">
        <f>+HYPERLINK("http://trademark.i-assist.jp/data/china/image_1915th/80951757.pdf","80951757")</f>
        <v>80951757</v>
      </c>
      <c r="F1023" s="9" t="s">
        <v>2875</v>
      </c>
      <c r="G1023" s="9" t="s">
        <v>2876</v>
      </c>
      <c r="H1023" s="9" t="s">
        <v>2877</v>
      </c>
      <c r="I1023" s="10">
        <v>45549</v>
      </c>
    </row>
    <row r="1024" spans="1:9" x14ac:dyDescent="0.15">
      <c r="A1024" s="9">
        <v>1023</v>
      </c>
      <c r="B1024" s="9" t="s">
        <v>9</v>
      </c>
      <c r="C1024" s="9">
        <v>1915</v>
      </c>
      <c r="D1024" s="10">
        <v>45639</v>
      </c>
      <c r="E1024" s="13" t="str">
        <f>+HYPERLINK("http://trademark.i-assist.jp/data/china/image_1915th/80952013.pdf","80952013")</f>
        <v>80952013</v>
      </c>
      <c r="F1024" s="9" t="s">
        <v>2878</v>
      </c>
      <c r="G1024" s="9" t="s">
        <v>2879</v>
      </c>
      <c r="H1024" s="9" t="s">
        <v>2880</v>
      </c>
      <c r="I1024" s="10">
        <v>45549</v>
      </c>
    </row>
    <row r="1025" spans="1:9" x14ac:dyDescent="0.15">
      <c r="A1025" s="9">
        <v>1024</v>
      </c>
      <c r="B1025" s="9" t="s">
        <v>9</v>
      </c>
      <c r="C1025" s="9">
        <v>1915</v>
      </c>
      <c r="D1025" s="10">
        <v>45639</v>
      </c>
      <c r="E1025" s="13" t="str">
        <f>+HYPERLINK("http://trademark.i-assist.jp/data/china/image_1915th/80952504.pdf","80952504")</f>
        <v>80952504</v>
      </c>
      <c r="F1025" s="9" t="s">
        <v>2881</v>
      </c>
      <c r="G1025" s="9" t="s">
        <v>2882</v>
      </c>
      <c r="H1025" s="9" t="s">
        <v>2883</v>
      </c>
      <c r="I1025" s="10">
        <v>45549</v>
      </c>
    </row>
    <row r="1026" spans="1:9" x14ac:dyDescent="0.15">
      <c r="A1026" s="9">
        <v>1025</v>
      </c>
      <c r="B1026" s="9" t="s">
        <v>9</v>
      </c>
      <c r="C1026" s="9">
        <v>1915</v>
      </c>
      <c r="D1026" s="10">
        <v>45639</v>
      </c>
      <c r="E1026" s="13" t="str">
        <f>+HYPERLINK("http://trademark.i-assist.jp/data/china/image_1915th/80952539.pdf","80952539")</f>
        <v>80952539</v>
      </c>
      <c r="F1026" s="12" t="s">
        <v>2884</v>
      </c>
      <c r="G1026" s="9" t="s">
        <v>2627</v>
      </c>
      <c r="H1026" s="12" t="s">
        <v>2885</v>
      </c>
      <c r="I1026" s="10">
        <v>45549</v>
      </c>
    </row>
    <row r="1027" spans="1:9" x14ac:dyDescent="0.15">
      <c r="A1027" s="9">
        <v>1026</v>
      </c>
      <c r="B1027" s="9" t="s">
        <v>9</v>
      </c>
      <c r="C1027" s="9">
        <v>1915</v>
      </c>
      <c r="D1027" s="10">
        <v>45639</v>
      </c>
      <c r="E1027" s="13" t="str">
        <f>+HYPERLINK("http://trademark.i-assist.jp/data/china/image_1915th/80952679.pdf","80952679")</f>
        <v>80952679</v>
      </c>
      <c r="F1027" s="9" t="s">
        <v>2886</v>
      </c>
      <c r="G1027" s="9" t="s">
        <v>2621</v>
      </c>
      <c r="H1027" s="9" t="s">
        <v>2887</v>
      </c>
      <c r="I1027" s="10">
        <v>45549</v>
      </c>
    </row>
    <row r="1028" spans="1:9" x14ac:dyDescent="0.15">
      <c r="A1028" s="9">
        <v>1027</v>
      </c>
      <c r="B1028" s="9" t="s">
        <v>9</v>
      </c>
      <c r="C1028" s="9">
        <v>1915</v>
      </c>
      <c r="D1028" s="10">
        <v>45639</v>
      </c>
      <c r="E1028" s="13" t="str">
        <f>+HYPERLINK("http://trademark.i-assist.jp/data/china/image_1915th/80952796.pdf","80952796")</f>
        <v>80952796</v>
      </c>
      <c r="F1028" s="12" t="s">
        <v>2888</v>
      </c>
      <c r="G1028" s="9" t="s">
        <v>2889</v>
      </c>
      <c r="H1028" s="12" t="s">
        <v>2890</v>
      </c>
      <c r="I1028" s="10">
        <v>45550</v>
      </c>
    </row>
    <row r="1029" spans="1:9" x14ac:dyDescent="0.15">
      <c r="A1029" s="9">
        <v>1028</v>
      </c>
      <c r="B1029" s="9" t="s">
        <v>9</v>
      </c>
      <c r="C1029" s="9">
        <v>1915</v>
      </c>
      <c r="D1029" s="10">
        <v>45639</v>
      </c>
      <c r="E1029" s="13" t="str">
        <f>+HYPERLINK("http://trademark.i-assist.jp/data/china/image_1915th/80953018.pdf","80953018")</f>
        <v>80953018</v>
      </c>
      <c r="F1029" s="12" t="s">
        <v>2891</v>
      </c>
      <c r="G1029" s="9" t="s">
        <v>2892</v>
      </c>
      <c r="H1029" s="9" t="s">
        <v>2893</v>
      </c>
      <c r="I1029" s="10">
        <v>45550</v>
      </c>
    </row>
    <row r="1030" spans="1:9" x14ac:dyDescent="0.15">
      <c r="A1030" s="9">
        <v>1029</v>
      </c>
      <c r="B1030" s="9" t="s">
        <v>9</v>
      </c>
      <c r="C1030" s="9">
        <v>1915</v>
      </c>
      <c r="D1030" s="10">
        <v>45639</v>
      </c>
      <c r="E1030" s="13" t="str">
        <f>+HYPERLINK("http://trademark.i-assist.jp/data/china/image_1915th/80953068.pdf","80953068")</f>
        <v>80953068</v>
      </c>
      <c r="F1030" s="12" t="s">
        <v>2894</v>
      </c>
      <c r="G1030" s="12" t="s">
        <v>1413</v>
      </c>
      <c r="H1030" s="9" t="s">
        <v>2895</v>
      </c>
      <c r="I1030" s="10">
        <v>45550</v>
      </c>
    </row>
    <row r="1031" spans="1:9" x14ac:dyDescent="0.15">
      <c r="A1031" s="9">
        <v>1030</v>
      </c>
      <c r="B1031" s="9" t="s">
        <v>9</v>
      </c>
      <c r="C1031" s="9">
        <v>1915</v>
      </c>
      <c r="D1031" s="10">
        <v>45639</v>
      </c>
      <c r="E1031" s="13" t="str">
        <f>+HYPERLINK("http://trademark.i-assist.jp/data/china/image_1915th/80953276.pdf","80953276")</f>
        <v>80953276</v>
      </c>
      <c r="F1031" s="12" t="s">
        <v>2896</v>
      </c>
      <c r="G1031" s="12" t="s">
        <v>2897</v>
      </c>
      <c r="H1031" s="9" t="s">
        <v>2898</v>
      </c>
      <c r="I1031" s="10">
        <v>45550</v>
      </c>
    </row>
    <row r="1032" spans="1:9" x14ac:dyDescent="0.15">
      <c r="A1032" s="9">
        <v>1031</v>
      </c>
      <c r="B1032" s="9" t="s">
        <v>9</v>
      </c>
      <c r="C1032" s="9">
        <v>1915</v>
      </c>
      <c r="D1032" s="10">
        <v>45639</v>
      </c>
      <c r="E1032" s="13" t="str">
        <f>+HYPERLINK("http://trademark.i-assist.jp/data/china/image_1915th/80953596.pdf","80953596")</f>
        <v>80953596</v>
      </c>
      <c r="F1032" s="12" t="s">
        <v>15</v>
      </c>
      <c r="G1032" s="9" t="s">
        <v>2899</v>
      </c>
      <c r="H1032" s="9" t="s">
        <v>2900</v>
      </c>
      <c r="I1032" s="10">
        <v>45550</v>
      </c>
    </row>
    <row r="1033" spans="1:9" x14ac:dyDescent="0.15">
      <c r="A1033" s="9">
        <v>1032</v>
      </c>
      <c r="B1033" s="9" t="s">
        <v>9</v>
      </c>
      <c r="C1033" s="9">
        <v>1915</v>
      </c>
      <c r="D1033" s="10">
        <v>45639</v>
      </c>
      <c r="E1033" s="13" t="str">
        <f>+HYPERLINK("http://trademark.i-assist.jp/data/china/image_1915th/80953993.pdf","80953993")</f>
        <v>80953993</v>
      </c>
      <c r="F1033" s="12" t="s">
        <v>2901</v>
      </c>
      <c r="G1033" s="12" t="s">
        <v>2902</v>
      </c>
      <c r="H1033" s="9" t="s">
        <v>2903</v>
      </c>
      <c r="I1033" s="10">
        <v>45550</v>
      </c>
    </row>
    <row r="1034" spans="1:9" x14ac:dyDescent="0.15">
      <c r="A1034" s="9">
        <v>1033</v>
      </c>
      <c r="B1034" s="9" t="s">
        <v>9</v>
      </c>
      <c r="C1034" s="9">
        <v>1915</v>
      </c>
      <c r="D1034" s="10">
        <v>45639</v>
      </c>
      <c r="E1034" s="13" t="str">
        <f>+HYPERLINK("http://trademark.i-assist.jp/data/china/image_1915th/80955009.pdf","80955009")</f>
        <v>80955009</v>
      </c>
      <c r="F1034" s="9" t="s">
        <v>2904</v>
      </c>
      <c r="G1034" s="9" t="s">
        <v>2905</v>
      </c>
      <c r="H1034" s="9" t="s">
        <v>2906</v>
      </c>
      <c r="I1034" s="10">
        <v>45550</v>
      </c>
    </row>
    <row r="1035" spans="1:9" x14ac:dyDescent="0.15">
      <c r="A1035" s="9">
        <v>1034</v>
      </c>
      <c r="B1035" s="9" t="s">
        <v>9</v>
      </c>
      <c r="C1035" s="9">
        <v>1915</v>
      </c>
      <c r="D1035" s="10">
        <v>45639</v>
      </c>
      <c r="E1035" s="13" t="str">
        <f>+HYPERLINK("http://trademark.i-assist.jp/data/china/image_1915th/80956160.pdf","80956160")</f>
        <v>80956160</v>
      </c>
      <c r="F1035" s="9" t="s">
        <v>2907</v>
      </c>
      <c r="G1035" s="9" t="s">
        <v>2908</v>
      </c>
      <c r="H1035" s="9" t="s">
        <v>2909</v>
      </c>
      <c r="I1035" s="10">
        <v>45551</v>
      </c>
    </row>
    <row r="1036" spans="1:9" x14ac:dyDescent="0.15">
      <c r="A1036" s="9">
        <v>1035</v>
      </c>
      <c r="B1036" s="9" t="s">
        <v>9</v>
      </c>
      <c r="C1036" s="9">
        <v>1915</v>
      </c>
      <c r="D1036" s="10">
        <v>45639</v>
      </c>
      <c r="E1036" s="13" t="str">
        <f>+HYPERLINK("http://trademark.i-assist.jp/data/china/image_1915th/80956749.pdf","80956749")</f>
        <v>80956749</v>
      </c>
      <c r="F1036" s="9" t="s">
        <v>2910</v>
      </c>
      <c r="G1036" s="9" t="s">
        <v>2911</v>
      </c>
      <c r="H1036" s="9" t="s">
        <v>2912</v>
      </c>
      <c r="I1036" s="10">
        <v>45551</v>
      </c>
    </row>
    <row r="1037" spans="1:9" x14ac:dyDescent="0.15">
      <c r="A1037" s="9">
        <v>1036</v>
      </c>
      <c r="B1037" s="9" t="s">
        <v>9</v>
      </c>
      <c r="C1037" s="9">
        <v>1915</v>
      </c>
      <c r="D1037" s="10">
        <v>45639</v>
      </c>
      <c r="E1037" s="13" t="str">
        <f>+HYPERLINK("http://trademark.i-assist.jp/data/china/image_1915th/80957187.pdf","80957187")</f>
        <v>80957187</v>
      </c>
      <c r="F1037" s="9" t="s">
        <v>2913</v>
      </c>
      <c r="G1037" s="9" t="s">
        <v>2908</v>
      </c>
      <c r="H1037" s="9" t="s">
        <v>2914</v>
      </c>
      <c r="I1037" s="10">
        <v>45551</v>
      </c>
    </row>
    <row r="1038" spans="1:9" x14ac:dyDescent="0.15">
      <c r="A1038" s="9">
        <v>1037</v>
      </c>
      <c r="B1038" s="9" t="s">
        <v>9</v>
      </c>
      <c r="C1038" s="9">
        <v>1915</v>
      </c>
      <c r="D1038" s="10">
        <v>45639</v>
      </c>
      <c r="E1038" s="13" t="str">
        <f>+HYPERLINK("http://trademark.i-assist.jp/data/china/image_1915th/80957311.pdf","80957311")</f>
        <v>80957311</v>
      </c>
      <c r="F1038" s="9" t="s">
        <v>2915</v>
      </c>
      <c r="G1038" s="12" t="s">
        <v>2916</v>
      </c>
      <c r="H1038" s="9" t="s">
        <v>2917</v>
      </c>
      <c r="I1038" s="10">
        <v>45552</v>
      </c>
    </row>
    <row r="1039" spans="1:9" x14ac:dyDescent="0.15">
      <c r="A1039" s="9">
        <v>1038</v>
      </c>
      <c r="B1039" s="9" t="s">
        <v>9</v>
      </c>
      <c r="C1039" s="9">
        <v>1915</v>
      </c>
      <c r="D1039" s="10">
        <v>45639</v>
      </c>
      <c r="E1039" s="13" t="str">
        <f>+HYPERLINK("http://trademark.i-assist.jp/data/china/image_1915th/80957632.pdf","80957632")</f>
        <v>80957632</v>
      </c>
      <c r="F1039" s="9" t="s">
        <v>2918</v>
      </c>
      <c r="G1039" s="9" t="s">
        <v>2919</v>
      </c>
      <c r="H1039" s="9" t="s">
        <v>2920</v>
      </c>
      <c r="I1039" s="10">
        <v>45552</v>
      </c>
    </row>
    <row r="1040" spans="1:9" x14ac:dyDescent="0.15">
      <c r="A1040" s="9">
        <v>1039</v>
      </c>
      <c r="B1040" s="9" t="s">
        <v>9</v>
      </c>
      <c r="C1040" s="9">
        <v>1915</v>
      </c>
      <c r="D1040" s="10">
        <v>45639</v>
      </c>
      <c r="E1040" s="13" t="str">
        <f>+HYPERLINK("http://trademark.i-assist.jp/data/china/image_1915th/80957912.pdf","80957912")</f>
        <v>80957912</v>
      </c>
      <c r="F1040" s="12" t="s">
        <v>2921</v>
      </c>
      <c r="G1040" s="12" t="s">
        <v>2916</v>
      </c>
      <c r="H1040" s="9" t="s">
        <v>2922</v>
      </c>
      <c r="I1040" s="10">
        <v>45552</v>
      </c>
    </row>
    <row r="1041" spans="1:9" x14ac:dyDescent="0.15">
      <c r="A1041" s="9">
        <v>1040</v>
      </c>
      <c r="B1041" s="9" t="s">
        <v>9</v>
      </c>
      <c r="C1041" s="9">
        <v>1915</v>
      </c>
      <c r="D1041" s="10">
        <v>45639</v>
      </c>
      <c r="E1041" s="13" t="str">
        <f>+HYPERLINK("http://trademark.i-assist.jp/data/china/image_1915th/80957985.pdf","80957985")</f>
        <v>80957985</v>
      </c>
      <c r="F1041" s="9" t="s">
        <v>2923</v>
      </c>
      <c r="G1041" s="9" t="s">
        <v>2924</v>
      </c>
      <c r="H1041" s="9" t="s">
        <v>2925</v>
      </c>
      <c r="I1041" s="10">
        <v>45552</v>
      </c>
    </row>
    <row r="1042" spans="1:9" x14ac:dyDescent="0.15">
      <c r="A1042" s="9">
        <v>1041</v>
      </c>
      <c r="B1042" s="9" t="s">
        <v>9</v>
      </c>
      <c r="C1042" s="9">
        <v>1915</v>
      </c>
      <c r="D1042" s="10">
        <v>45639</v>
      </c>
      <c r="E1042" s="13" t="str">
        <f>+HYPERLINK("http://trademark.i-assist.jp/data/china/image_1915th/80959230.pdf","80959230")</f>
        <v>80959230</v>
      </c>
      <c r="F1042" s="9" t="s">
        <v>2926</v>
      </c>
      <c r="G1042" s="9" t="s">
        <v>2927</v>
      </c>
      <c r="H1042" s="9" t="s">
        <v>2928</v>
      </c>
      <c r="I1042" s="10">
        <v>45553</v>
      </c>
    </row>
    <row r="1043" spans="1:9" x14ac:dyDescent="0.15">
      <c r="A1043" s="9">
        <v>1042</v>
      </c>
      <c r="B1043" s="9" t="s">
        <v>9</v>
      </c>
      <c r="C1043" s="9">
        <v>1915</v>
      </c>
      <c r="D1043" s="10">
        <v>45639</v>
      </c>
      <c r="E1043" s="13" t="str">
        <f>+HYPERLINK("http://trademark.i-assist.jp/data/china/image_1915th/80959267.pdf","80959267")</f>
        <v>80959267</v>
      </c>
      <c r="F1043" s="12" t="s">
        <v>15</v>
      </c>
      <c r="G1043" s="9" t="s">
        <v>2929</v>
      </c>
      <c r="H1043" s="9" t="s">
        <v>2930</v>
      </c>
      <c r="I1043" s="10">
        <v>45553</v>
      </c>
    </row>
    <row r="1044" spans="1:9" x14ac:dyDescent="0.15">
      <c r="A1044" s="9">
        <v>1043</v>
      </c>
      <c r="B1044" s="9" t="s">
        <v>9</v>
      </c>
      <c r="C1044" s="9">
        <v>1915</v>
      </c>
      <c r="D1044" s="10">
        <v>45639</v>
      </c>
      <c r="E1044" s="13" t="str">
        <f>+HYPERLINK("http://trademark.i-assist.jp/data/china/image_1915th/80959335.pdf","80959335")</f>
        <v>80959335</v>
      </c>
      <c r="F1044" s="9" t="s">
        <v>2931</v>
      </c>
      <c r="G1044" s="9" t="s">
        <v>2932</v>
      </c>
      <c r="H1044" s="9" t="s">
        <v>2933</v>
      </c>
      <c r="I1044" s="10">
        <v>45553</v>
      </c>
    </row>
    <row r="1045" spans="1:9" x14ac:dyDescent="0.15">
      <c r="A1045" s="9">
        <v>1044</v>
      </c>
      <c r="B1045" s="9" t="s">
        <v>9</v>
      </c>
      <c r="C1045" s="9">
        <v>1915</v>
      </c>
      <c r="D1045" s="10">
        <v>45639</v>
      </c>
      <c r="E1045" s="13" t="str">
        <f>+HYPERLINK("http://trademark.i-assist.jp/data/china/image_1915th/80959375.pdf","80959375")</f>
        <v>80959375</v>
      </c>
      <c r="F1045" s="9" t="s">
        <v>2934</v>
      </c>
      <c r="G1045" s="12" t="s">
        <v>2935</v>
      </c>
      <c r="H1045" s="9" t="s">
        <v>2936</v>
      </c>
      <c r="I1045" s="10">
        <v>45553</v>
      </c>
    </row>
    <row r="1046" spans="1:9" x14ac:dyDescent="0.15">
      <c r="A1046" s="9">
        <v>1045</v>
      </c>
      <c r="B1046" s="9" t="s">
        <v>9</v>
      </c>
      <c r="C1046" s="9">
        <v>1915</v>
      </c>
      <c r="D1046" s="10">
        <v>45639</v>
      </c>
      <c r="E1046" s="13" t="str">
        <f>+HYPERLINK("http://trademark.i-assist.jp/data/china/image_1915th/80959572.pdf","80959572")</f>
        <v>80959572</v>
      </c>
      <c r="F1046" s="9" t="s">
        <v>2937</v>
      </c>
      <c r="G1046" s="9" t="s">
        <v>2938</v>
      </c>
      <c r="H1046" s="12" t="s">
        <v>2939</v>
      </c>
      <c r="I1046" s="10">
        <v>45553</v>
      </c>
    </row>
    <row r="1047" spans="1:9" x14ac:dyDescent="0.15">
      <c r="A1047" s="9">
        <v>1046</v>
      </c>
      <c r="B1047" s="9" t="s">
        <v>9</v>
      </c>
      <c r="C1047" s="9">
        <v>1915</v>
      </c>
      <c r="D1047" s="10">
        <v>45639</v>
      </c>
      <c r="E1047" s="13" t="str">
        <f>+HYPERLINK("http://trademark.i-assist.jp/data/china/image_1915th/80959705.pdf","80959705")</f>
        <v>80959705</v>
      </c>
      <c r="F1047" s="9" t="s">
        <v>2940</v>
      </c>
      <c r="G1047" s="9" t="s">
        <v>2941</v>
      </c>
      <c r="H1047" s="9" t="s">
        <v>2942</v>
      </c>
      <c r="I1047" s="10">
        <v>45553</v>
      </c>
    </row>
    <row r="1048" spans="1:9" x14ac:dyDescent="0.15">
      <c r="A1048" s="9">
        <v>1047</v>
      </c>
      <c r="B1048" s="9" t="s">
        <v>9</v>
      </c>
      <c r="C1048" s="9">
        <v>1915</v>
      </c>
      <c r="D1048" s="10">
        <v>45639</v>
      </c>
      <c r="E1048" s="13" t="str">
        <f>+HYPERLINK("http://trademark.i-assist.jp/data/china/image_1915th/80960112.pdf","80960112")</f>
        <v>80960112</v>
      </c>
      <c r="F1048" s="9" t="s">
        <v>2943</v>
      </c>
      <c r="G1048" s="9" t="s">
        <v>2944</v>
      </c>
      <c r="H1048" s="9" t="s">
        <v>2945</v>
      </c>
      <c r="I1048" s="10">
        <v>45553</v>
      </c>
    </row>
    <row r="1049" spans="1:9" x14ac:dyDescent="0.15">
      <c r="A1049" s="9">
        <v>1048</v>
      </c>
      <c r="B1049" s="9" t="s">
        <v>9</v>
      </c>
      <c r="C1049" s="9">
        <v>1915</v>
      </c>
      <c r="D1049" s="10">
        <v>45639</v>
      </c>
      <c r="E1049" s="13" t="str">
        <f>+HYPERLINK("http://trademark.i-assist.jp/data/china/image_1915th/80960188.pdf","80960188")</f>
        <v>80960188</v>
      </c>
      <c r="F1049" s="9" t="s">
        <v>2946</v>
      </c>
      <c r="G1049" s="12" t="s">
        <v>2947</v>
      </c>
      <c r="H1049" s="9" t="s">
        <v>2948</v>
      </c>
      <c r="I1049" s="10">
        <v>45553</v>
      </c>
    </row>
    <row r="1050" spans="1:9" x14ac:dyDescent="0.15">
      <c r="A1050" s="9">
        <v>1049</v>
      </c>
      <c r="B1050" s="9" t="s">
        <v>9</v>
      </c>
      <c r="C1050" s="9">
        <v>1915</v>
      </c>
      <c r="D1050" s="10">
        <v>45639</v>
      </c>
      <c r="E1050" s="13" t="str">
        <f>+HYPERLINK("http://trademark.i-assist.jp/data/china/image_1915th/80960540.pdf","80960540")</f>
        <v>80960540</v>
      </c>
      <c r="F1050" s="9" t="s">
        <v>2949</v>
      </c>
      <c r="G1050" s="12" t="s">
        <v>32</v>
      </c>
      <c r="H1050" s="9" t="s">
        <v>2950</v>
      </c>
      <c r="I1050" s="10">
        <v>45553</v>
      </c>
    </row>
    <row r="1051" spans="1:9" x14ac:dyDescent="0.15">
      <c r="A1051" s="9">
        <v>1050</v>
      </c>
      <c r="B1051" s="9" t="s">
        <v>9</v>
      </c>
      <c r="C1051" s="9">
        <v>1915</v>
      </c>
      <c r="D1051" s="10">
        <v>45639</v>
      </c>
      <c r="E1051" s="13" t="str">
        <f>+HYPERLINK("http://trademark.i-assist.jp/data/china/image_1915th/80960548.pdf","80960548")</f>
        <v>80960548</v>
      </c>
      <c r="F1051" s="9" t="s">
        <v>2951</v>
      </c>
      <c r="G1051" s="9" t="s">
        <v>2952</v>
      </c>
      <c r="H1051" s="9" t="s">
        <v>2953</v>
      </c>
      <c r="I1051" s="10">
        <v>45553</v>
      </c>
    </row>
    <row r="1052" spans="1:9" x14ac:dyDescent="0.15">
      <c r="A1052" s="9">
        <v>1051</v>
      </c>
      <c r="B1052" s="9" t="s">
        <v>9</v>
      </c>
      <c r="C1052" s="9">
        <v>1915</v>
      </c>
      <c r="D1052" s="10">
        <v>45639</v>
      </c>
      <c r="E1052" s="13" t="str">
        <f>+HYPERLINK("http://trademark.i-assist.jp/data/china/image_1915th/80960802.pdf","80960802")</f>
        <v>80960802</v>
      </c>
      <c r="F1052" s="9" t="s">
        <v>2954</v>
      </c>
      <c r="G1052" s="12" t="s">
        <v>2955</v>
      </c>
      <c r="H1052" s="9" t="s">
        <v>2956</v>
      </c>
      <c r="I1052" s="10">
        <v>45553</v>
      </c>
    </row>
    <row r="1053" spans="1:9" x14ac:dyDescent="0.15">
      <c r="A1053" s="9">
        <v>1052</v>
      </c>
      <c r="B1053" s="9" t="s">
        <v>9</v>
      </c>
      <c r="C1053" s="9">
        <v>1915</v>
      </c>
      <c r="D1053" s="10">
        <v>45639</v>
      </c>
      <c r="E1053" s="13" t="str">
        <f>+HYPERLINK("http://trademark.i-assist.jp/data/china/image_1915th/80960878.pdf","80960878")</f>
        <v>80960878</v>
      </c>
      <c r="F1053" s="9" t="s">
        <v>2957</v>
      </c>
      <c r="G1053" s="12" t="s">
        <v>2958</v>
      </c>
      <c r="H1053" s="12" t="s">
        <v>2959</v>
      </c>
      <c r="I1053" s="10">
        <v>45553</v>
      </c>
    </row>
    <row r="1054" spans="1:9" x14ac:dyDescent="0.15">
      <c r="A1054" s="9">
        <v>1053</v>
      </c>
      <c r="B1054" s="9" t="s">
        <v>9</v>
      </c>
      <c r="C1054" s="9">
        <v>1915</v>
      </c>
      <c r="D1054" s="10">
        <v>45639</v>
      </c>
      <c r="E1054" s="13" t="str">
        <f>+HYPERLINK("http://trademark.i-assist.jp/data/china/image_1915th/80961208.pdf","80961208")</f>
        <v>80961208</v>
      </c>
      <c r="F1054" s="9" t="s">
        <v>2960</v>
      </c>
      <c r="G1054" s="9" t="s">
        <v>2961</v>
      </c>
      <c r="H1054" s="12" t="s">
        <v>2962</v>
      </c>
      <c r="I1054" s="10">
        <v>45553</v>
      </c>
    </row>
    <row r="1055" spans="1:9" x14ac:dyDescent="0.15">
      <c r="A1055" s="9">
        <v>1054</v>
      </c>
      <c r="B1055" s="9" t="s">
        <v>9</v>
      </c>
      <c r="C1055" s="9">
        <v>1915</v>
      </c>
      <c r="D1055" s="10">
        <v>45639</v>
      </c>
      <c r="E1055" s="13" t="str">
        <f>+HYPERLINK("http://trademark.i-assist.jp/data/china/image_1915th/80961226.pdf","80961226")</f>
        <v>80961226</v>
      </c>
      <c r="F1055" s="9" t="s">
        <v>2963</v>
      </c>
      <c r="G1055" s="12" t="s">
        <v>2964</v>
      </c>
      <c r="H1055" s="9" t="s">
        <v>2965</v>
      </c>
      <c r="I1055" s="10">
        <v>45553</v>
      </c>
    </row>
    <row r="1056" spans="1:9" x14ac:dyDescent="0.15">
      <c r="A1056" s="9">
        <v>1055</v>
      </c>
      <c r="B1056" s="9" t="s">
        <v>9</v>
      </c>
      <c r="C1056" s="9">
        <v>1915</v>
      </c>
      <c r="D1056" s="10">
        <v>45639</v>
      </c>
      <c r="E1056" s="13" t="str">
        <f>+HYPERLINK("http://trademark.i-assist.jp/data/china/image_1915th/80961284.pdf","80961284")</f>
        <v>80961284</v>
      </c>
      <c r="F1056" s="9" t="s">
        <v>2966</v>
      </c>
      <c r="G1056" s="9" t="s">
        <v>2941</v>
      </c>
      <c r="H1056" s="9" t="s">
        <v>2967</v>
      </c>
      <c r="I1056" s="10">
        <v>45553</v>
      </c>
    </row>
    <row r="1057" spans="1:9" x14ac:dyDescent="0.15">
      <c r="A1057" s="9">
        <v>1056</v>
      </c>
      <c r="B1057" s="9" t="s">
        <v>9</v>
      </c>
      <c r="C1057" s="9">
        <v>1915</v>
      </c>
      <c r="D1057" s="10">
        <v>45639</v>
      </c>
      <c r="E1057" s="13" t="str">
        <f>+HYPERLINK("http://trademark.i-assist.jp/data/china/image_1915th/80961477.pdf","80961477")</f>
        <v>80961477</v>
      </c>
      <c r="F1057" s="12" t="s">
        <v>15</v>
      </c>
      <c r="G1057" s="9" t="s">
        <v>2968</v>
      </c>
      <c r="H1057" s="9" t="s">
        <v>2969</v>
      </c>
      <c r="I1057" s="10">
        <v>45553</v>
      </c>
    </row>
    <row r="1058" spans="1:9" x14ac:dyDescent="0.15">
      <c r="A1058" s="9">
        <v>1057</v>
      </c>
      <c r="B1058" s="9" t="s">
        <v>9</v>
      </c>
      <c r="C1058" s="9">
        <v>1915</v>
      </c>
      <c r="D1058" s="10">
        <v>45639</v>
      </c>
      <c r="E1058" s="13" t="str">
        <f>+HYPERLINK("http://trademark.i-assist.jp/data/china/image_1915th/80961674.pdf","80961674")</f>
        <v>80961674</v>
      </c>
      <c r="F1058" s="9" t="s">
        <v>2970</v>
      </c>
      <c r="G1058" s="9" t="s">
        <v>2971</v>
      </c>
      <c r="H1058" s="9" t="s">
        <v>2972</v>
      </c>
      <c r="I1058" s="10">
        <v>45553</v>
      </c>
    </row>
    <row r="1059" spans="1:9" x14ac:dyDescent="0.15">
      <c r="A1059" s="9">
        <v>1058</v>
      </c>
      <c r="B1059" s="9" t="s">
        <v>9</v>
      </c>
      <c r="C1059" s="9">
        <v>1915</v>
      </c>
      <c r="D1059" s="10">
        <v>45639</v>
      </c>
      <c r="E1059" s="13" t="str">
        <f>+HYPERLINK("http://trademark.i-assist.jp/data/china/image_1915th/80961780.pdf","80961780")</f>
        <v>80961780</v>
      </c>
      <c r="F1059" s="9" t="s">
        <v>2973</v>
      </c>
      <c r="G1059" s="9" t="s">
        <v>2973</v>
      </c>
      <c r="H1059" s="9" t="s">
        <v>2974</v>
      </c>
      <c r="I1059" s="10">
        <v>45553</v>
      </c>
    </row>
    <row r="1060" spans="1:9" x14ac:dyDescent="0.15">
      <c r="A1060" s="9">
        <v>1059</v>
      </c>
      <c r="B1060" s="9" t="s">
        <v>9</v>
      </c>
      <c r="C1060" s="9">
        <v>1915</v>
      </c>
      <c r="D1060" s="10">
        <v>45639</v>
      </c>
      <c r="E1060" s="13" t="str">
        <f>+HYPERLINK("http://trademark.i-assist.jp/data/china/image_1915th/80961880.pdf","80961880")</f>
        <v>80961880</v>
      </c>
      <c r="F1060" s="9" t="s">
        <v>2975</v>
      </c>
      <c r="G1060" s="9" t="s">
        <v>2976</v>
      </c>
      <c r="H1060" s="9" t="s">
        <v>2977</v>
      </c>
      <c r="I1060" s="10">
        <v>45553</v>
      </c>
    </row>
    <row r="1061" spans="1:9" x14ac:dyDescent="0.15">
      <c r="A1061" s="9">
        <v>1060</v>
      </c>
      <c r="B1061" s="9" t="s">
        <v>9</v>
      </c>
      <c r="C1061" s="9">
        <v>1915</v>
      </c>
      <c r="D1061" s="10">
        <v>45639</v>
      </c>
      <c r="E1061" s="13" t="str">
        <f>+HYPERLINK("http://trademark.i-assist.jp/data/china/image_1915th/80962144.pdf","80962144")</f>
        <v>80962144</v>
      </c>
      <c r="F1061" s="9" t="s">
        <v>2978</v>
      </c>
      <c r="G1061" s="9" t="s">
        <v>2979</v>
      </c>
      <c r="H1061" s="9" t="s">
        <v>2980</v>
      </c>
      <c r="I1061" s="10">
        <v>45553</v>
      </c>
    </row>
    <row r="1062" spans="1:9" x14ac:dyDescent="0.15">
      <c r="A1062" s="9">
        <v>1061</v>
      </c>
      <c r="B1062" s="9" t="s">
        <v>9</v>
      </c>
      <c r="C1062" s="9">
        <v>1915</v>
      </c>
      <c r="D1062" s="10">
        <v>45639</v>
      </c>
      <c r="E1062" s="13" t="str">
        <f>+HYPERLINK("http://trademark.i-assist.jp/data/china/image_1915th/80962213.pdf","80962213")</f>
        <v>80962213</v>
      </c>
      <c r="F1062" s="9" t="s">
        <v>2981</v>
      </c>
      <c r="G1062" s="9" t="s">
        <v>2982</v>
      </c>
      <c r="H1062" s="12" t="s">
        <v>2983</v>
      </c>
      <c r="I1062" s="10">
        <v>45553</v>
      </c>
    </row>
    <row r="1063" spans="1:9" x14ac:dyDescent="0.15">
      <c r="A1063" s="9">
        <v>1062</v>
      </c>
      <c r="B1063" s="9" t="s">
        <v>9</v>
      </c>
      <c r="C1063" s="9">
        <v>1915</v>
      </c>
      <c r="D1063" s="10">
        <v>45639</v>
      </c>
      <c r="E1063" s="13" t="str">
        <f>+HYPERLINK("http://trademark.i-assist.jp/data/china/image_1915th/80962276.pdf","80962276")</f>
        <v>80962276</v>
      </c>
      <c r="F1063" s="9" t="s">
        <v>2984</v>
      </c>
      <c r="G1063" s="9" t="s">
        <v>2985</v>
      </c>
      <c r="H1063" s="9" t="s">
        <v>2986</v>
      </c>
      <c r="I1063" s="10">
        <v>45553</v>
      </c>
    </row>
    <row r="1064" spans="1:9" x14ac:dyDescent="0.15">
      <c r="A1064" s="9">
        <v>1063</v>
      </c>
      <c r="B1064" s="9" t="s">
        <v>9</v>
      </c>
      <c r="C1064" s="9">
        <v>1915</v>
      </c>
      <c r="D1064" s="10">
        <v>45639</v>
      </c>
      <c r="E1064" s="13" t="str">
        <f>+HYPERLINK("http://trademark.i-assist.jp/data/china/image_1915th/80962311.pdf","80962311")</f>
        <v>80962311</v>
      </c>
      <c r="F1064" s="9" t="s">
        <v>2987</v>
      </c>
      <c r="G1064" s="9" t="s">
        <v>2982</v>
      </c>
      <c r="H1064" s="12" t="s">
        <v>2988</v>
      </c>
      <c r="I1064" s="10">
        <v>45553</v>
      </c>
    </row>
    <row r="1065" spans="1:9" x14ac:dyDescent="0.15">
      <c r="A1065" s="9">
        <v>1064</v>
      </c>
      <c r="B1065" s="9" t="s">
        <v>9</v>
      </c>
      <c r="C1065" s="9">
        <v>1915</v>
      </c>
      <c r="D1065" s="10">
        <v>45639</v>
      </c>
      <c r="E1065" s="13" t="str">
        <f>+HYPERLINK("http://trademark.i-assist.jp/data/china/image_1915th/80962353.pdf","80962353")</f>
        <v>80962353</v>
      </c>
      <c r="F1065" s="9" t="s">
        <v>2989</v>
      </c>
      <c r="G1065" s="9" t="s">
        <v>2990</v>
      </c>
      <c r="H1065" s="9" t="s">
        <v>2991</v>
      </c>
      <c r="I1065" s="10">
        <v>45553</v>
      </c>
    </row>
    <row r="1066" spans="1:9" x14ac:dyDescent="0.15">
      <c r="A1066" s="9">
        <v>1065</v>
      </c>
      <c r="B1066" s="9" t="s">
        <v>9</v>
      </c>
      <c r="C1066" s="9">
        <v>1915</v>
      </c>
      <c r="D1066" s="10">
        <v>45639</v>
      </c>
      <c r="E1066" s="13" t="str">
        <f>+HYPERLINK("http://trademark.i-assist.jp/data/china/image_1915th/80962741.pdf","80962741")</f>
        <v>80962741</v>
      </c>
      <c r="F1066" s="9" t="s">
        <v>2992</v>
      </c>
      <c r="G1066" s="12" t="s">
        <v>2993</v>
      </c>
      <c r="H1066" s="9" t="s">
        <v>2994</v>
      </c>
      <c r="I1066" s="10">
        <v>45553</v>
      </c>
    </row>
    <row r="1067" spans="1:9" x14ac:dyDescent="0.15">
      <c r="A1067" s="9">
        <v>1066</v>
      </c>
      <c r="B1067" s="9" t="s">
        <v>9</v>
      </c>
      <c r="C1067" s="9">
        <v>1915</v>
      </c>
      <c r="D1067" s="10">
        <v>45639</v>
      </c>
      <c r="E1067" s="13" t="str">
        <f>+HYPERLINK("http://trademark.i-assist.jp/data/china/image_1915th/80963139.pdf","80963139")</f>
        <v>80963139</v>
      </c>
      <c r="F1067" s="9" t="s">
        <v>2995</v>
      </c>
      <c r="G1067" s="9" t="s">
        <v>2996</v>
      </c>
      <c r="H1067" s="9" t="s">
        <v>2997</v>
      </c>
      <c r="I1067" s="10">
        <v>45553</v>
      </c>
    </row>
    <row r="1068" spans="1:9" x14ac:dyDescent="0.15">
      <c r="A1068" s="9">
        <v>1067</v>
      </c>
      <c r="B1068" s="9" t="s">
        <v>9</v>
      </c>
      <c r="C1068" s="9">
        <v>1915</v>
      </c>
      <c r="D1068" s="10">
        <v>45639</v>
      </c>
      <c r="E1068" s="13" t="str">
        <f>+HYPERLINK("http://trademark.i-assist.jp/data/china/image_1915th/80963475.pdf","80963475")</f>
        <v>80963475</v>
      </c>
      <c r="F1068" s="9" t="s">
        <v>2998</v>
      </c>
      <c r="G1068" s="9" t="s">
        <v>2999</v>
      </c>
      <c r="H1068" s="9" t="s">
        <v>3000</v>
      </c>
      <c r="I1068" s="10">
        <v>45553</v>
      </c>
    </row>
    <row r="1069" spans="1:9" x14ac:dyDescent="0.15">
      <c r="A1069" s="9">
        <v>1068</v>
      </c>
      <c r="B1069" s="9" t="s">
        <v>9</v>
      </c>
      <c r="C1069" s="9">
        <v>1915</v>
      </c>
      <c r="D1069" s="10">
        <v>45639</v>
      </c>
      <c r="E1069" s="13" t="str">
        <f>+HYPERLINK("http://trademark.i-assist.jp/data/china/image_1915th/80963696.pdf","80963696")</f>
        <v>80963696</v>
      </c>
      <c r="F1069" s="9" t="s">
        <v>3001</v>
      </c>
      <c r="G1069" s="9" t="s">
        <v>3002</v>
      </c>
      <c r="H1069" s="9" t="s">
        <v>3003</v>
      </c>
      <c r="I1069" s="10">
        <v>45553</v>
      </c>
    </row>
    <row r="1070" spans="1:9" x14ac:dyDescent="0.15">
      <c r="A1070" s="9">
        <v>1069</v>
      </c>
      <c r="B1070" s="9" t="s">
        <v>9</v>
      </c>
      <c r="C1070" s="9">
        <v>1915</v>
      </c>
      <c r="D1070" s="10">
        <v>45639</v>
      </c>
      <c r="E1070" s="13" t="str">
        <f>+HYPERLINK("http://trademark.i-assist.jp/data/china/image_1915th/80964453.pdf","80964453")</f>
        <v>80964453</v>
      </c>
      <c r="F1070" s="9" t="s">
        <v>3004</v>
      </c>
      <c r="G1070" s="9" t="s">
        <v>3005</v>
      </c>
      <c r="H1070" s="9" t="s">
        <v>3006</v>
      </c>
      <c r="I1070" s="10">
        <v>45553</v>
      </c>
    </row>
    <row r="1071" spans="1:9" x14ac:dyDescent="0.15">
      <c r="A1071" s="9">
        <v>1070</v>
      </c>
      <c r="B1071" s="9" t="s">
        <v>9</v>
      </c>
      <c r="C1071" s="9">
        <v>1915</v>
      </c>
      <c r="D1071" s="10">
        <v>45639</v>
      </c>
      <c r="E1071" s="13" t="str">
        <f>+HYPERLINK("http://trademark.i-assist.jp/data/china/image_1915th/80964552.pdf","80964552")</f>
        <v>80964552</v>
      </c>
      <c r="F1071" s="9" t="s">
        <v>3007</v>
      </c>
      <c r="G1071" s="12" t="s">
        <v>1289</v>
      </c>
      <c r="H1071" s="9" t="s">
        <v>3008</v>
      </c>
      <c r="I1071" s="10">
        <v>45553</v>
      </c>
    </row>
    <row r="1072" spans="1:9" x14ac:dyDescent="0.15">
      <c r="A1072" s="9">
        <v>1071</v>
      </c>
      <c r="B1072" s="9" t="s">
        <v>9</v>
      </c>
      <c r="C1072" s="9">
        <v>1915</v>
      </c>
      <c r="D1072" s="10">
        <v>45639</v>
      </c>
      <c r="E1072" s="13" t="str">
        <f>+HYPERLINK("http://trademark.i-assist.jp/data/china/image_1915th/80964669.pdf","80964669")</f>
        <v>80964669</v>
      </c>
      <c r="F1072" s="9" t="s">
        <v>3009</v>
      </c>
      <c r="G1072" s="9" t="s">
        <v>3010</v>
      </c>
      <c r="H1072" s="9" t="s">
        <v>3011</v>
      </c>
      <c r="I1072" s="10">
        <v>45553</v>
      </c>
    </row>
    <row r="1073" spans="1:9" x14ac:dyDescent="0.15">
      <c r="A1073" s="9">
        <v>1072</v>
      </c>
      <c r="B1073" s="9" t="s">
        <v>9</v>
      </c>
      <c r="C1073" s="9">
        <v>1915</v>
      </c>
      <c r="D1073" s="10">
        <v>45639</v>
      </c>
      <c r="E1073" s="13" t="str">
        <f>+HYPERLINK("http://trademark.i-assist.jp/data/china/image_1915th/80965341.pdf","80965341")</f>
        <v>80965341</v>
      </c>
      <c r="F1073" s="9" t="s">
        <v>3012</v>
      </c>
      <c r="G1073" s="12" t="s">
        <v>3013</v>
      </c>
      <c r="H1073" s="12" t="s">
        <v>3014</v>
      </c>
      <c r="I1073" s="10">
        <v>45553</v>
      </c>
    </row>
    <row r="1074" spans="1:9" x14ac:dyDescent="0.15">
      <c r="A1074" s="9">
        <v>1073</v>
      </c>
      <c r="B1074" s="9" t="s">
        <v>9</v>
      </c>
      <c r="C1074" s="9">
        <v>1915</v>
      </c>
      <c r="D1074" s="10">
        <v>45639</v>
      </c>
      <c r="E1074" s="13" t="str">
        <f>+HYPERLINK("http://trademark.i-assist.jp/data/china/image_1915th/80965573.pdf","80965573")</f>
        <v>80965573</v>
      </c>
      <c r="F1074" s="12" t="s">
        <v>3015</v>
      </c>
      <c r="G1074" s="9" t="s">
        <v>3016</v>
      </c>
      <c r="H1074" s="9" t="s">
        <v>3017</v>
      </c>
      <c r="I1074" s="10">
        <v>45553</v>
      </c>
    </row>
    <row r="1075" spans="1:9" x14ac:dyDescent="0.15">
      <c r="A1075" s="9">
        <v>1074</v>
      </c>
      <c r="B1075" s="9" t="s">
        <v>9</v>
      </c>
      <c r="C1075" s="9">
        <v>1915</v>
      </c>
      <c r="D1075" s="10">
        <v>45639</v>
      </c>
      <c r="E1075" s="13" t="str">
        <f>+HYPERLINK("http://trademark.i-assist.jp/data/china/image_1915th/80965693.pdf","80965693")</f>
        <v>80965693</v>
      </c>
      <c r="F1075" s="12" t="s">
        <v>3018</v>
      </c>
      <c r="G1075" s="9" t="s">
        <v>88</v>
      </c>
      <c r="H1075" s="9" t="s">
        <v>3019</v>
      </c>
      <c r="I1075" s="10">
        <v>45553</v>
      </c>
    </row>
    <row r="1076" spans="1:9" x14ac:dyDescent="0.15">
      <c r="A1076" s="9">
        <v>1075</v>
      </c>
      <c r="B1076" s="9" t="s">
        <v>9</v>
      </c>
      <c r="C1076" s="9">
        <v>1915</v>
      </c>
      <c r="D1076" s="10">
        <v>45639</v>
      </c>
      <c r="E1076" s="13" t="str">
        <f>+HYPERLINK("http://trademark.i-assist.jp/data/china/image_1915th/80965986.pdf","80965986")</f>
        <v>80965986</v>
      </c>
      <c r="F1076" s="9" t="s">
        <v>3020</v>
      </c>
      <c r="G1076" s="12" t="s">
        <v>3021</v>
      </c>
      <c r="H1076" s="9" t="s">
        <v>3022</v>
      </c>
      <c r="I1076" s="10">
        <v>45553</v>
      </c>
    </row>
    <row r="1077" spans="1:9" x14ac:dyDescent="0.15">
      <c r="A1077" s="9">
        <v>1076</v>
      </c>
      <c r="B1077" s="9" t="s">
        <v>9</v>
      </c>
      <c r="C1077" s="9">
        <v>1915</v>
      </c>
      <c r="D1077" s="10">
        <v>45639</v>
      </c>
      <c r="E1077" s="13" t="str">
        <f>+HYPERLINK("http://trademark.i-assist.jp/data/china/image_1915th/80966684.pdf","80966684")</f>
        <v>80966684</v>
      </c>
      <c r="F1077" s="9" t="s">
        <v>3023</v>
      </c>
      <c r="G1077" s="9" t="s">
        <v>3024</v>
      </c>
      <c r="H1077" s="9" t="s">
        <v>3025</v>
      </c>
      <c r="I1077" s="10">
        <v>45553</v>
      </c>
    </row>
    <row r="1078" spans="1:9" x14ac:dyDescent="0.15">
      <c r="A1078" s="9">
        <v>1077</v>
      </c>
      <c r="B1078" s="9" t="s">
        <v>9</v>
      </c>
      <c r="C1078" s="9">
        <v>1915</v>
      </c>
      <c r="D1078" s="10">
        <v>45639</v>
      </c>
      <c r="E1078" s="13" t="str">
        <f>+HYPERLINK("http://trademark.i-assist.jp/data/china/image_1915th/80966727.pdf","80966727")</f>
        <v>80966727</v>
      </c>
      <c r="F1078" s="9" t="s">
        <v>3026</v>
      </c>
      <c r="G1078" s="12" t="s">
        <v>3027</v>
      </c>
      <c r="H1078" s="9" t="s">
        <v>3028</v>
      </c>
      <c r="I1078" s="10">
        <v>45553</v>
      </c>
    </row>
    <row r="1079" spans="1:9" x14ac:dyDescent="0.15">
      <c r="A1079" s="9">
        <v>1078</v>
      </c>
      <c r="B1079" s="9" t="s">
        <v>9</v>
      </c>
      <c r="C1079" s="9">
        <v>1915</v>
      </c>
      <c r="D1079" s="10">
        <v>45639</v>
      </c>
      <c r="E1079" s="13" t="str">
        <f>+HYPERLINK("http://trademark.i-assist.jp/data/china/image_1915th/80966970.pdf","80966970")</f>
        <v>80966970</v>
      </c>
      <c r="F1079" s="9" t="s">
        <v>3029</v>
      </c>
      <c r="G1079" s="9" t="s">
        <v>2927</v>
      </c>
      <c r="H1079" s="9" t="s">
        <v>3030</v>
      </c>
      <c r="I1079" s="10">
        <v>45553</v>
      </c>
    </row>
    <row r="1080" spans="1:9" x14ac:dyDescent="0.15">
      <c r="A1080" s="9">
        <v>1079</v>
      </c>
      <c r="B1080" s="9" t="s">
        <v>9</v>
      </c>
      <c r="C1080" s="9">
        <v>1915</v>
      </c>
      <c r="D1080" s="10">
        <v>45639</v>
      </c>
      <c r="E1080" s="13" t="str">
        <f>+HYPERLINK("http://trademark.i-assist.jp/data/china/image_1915th/80967231.pdf","80967231")</f>
        <v>80967231</v>
      </c>
      <c r="F1080" s="9" t="s">
        <v>3031</v>
      </c>
      <c r="G1080" s="9" t="s">
        <v>89</v>
      </c>
      <c r="H1080" s="9" t="s">
        <v>3032</v>
      </c>
      <c r="I1080" s="10">
        <v>45553</v>
      </c>
    </row>
    <row r="1081" spans="1:9" x14ac:dyDescent="0.15">
      <c r="A1081" s="9">
        <v>1080</v>
      </c>
      <c r="B1081" s="9" t="s">
        <v>9</v>
      </c>
      <c r="C1081" s="9">
        <v>1915</v>
      </c>
      <c r="D1081" s="10">
        <v>45639</v>
      </c>
      <c r="E1081" s="13" t="str">
        <f>+HYPERLINK("http://trademark.i-assist.jp/data/china/image_1915th/80967391.pdf","80967391")</f>
        <v>80967391</v>
      </c>
      <c r="F1081" s="12" t="s">
        <v>3033</v>
      </c>
      <c r="G1081" s="12" t="s">
        <v>1289</v>
      </c>
      <c r="H1081" s="9" t="s">
        <v>3034</v>
      </c>
      <c r="I1081" s="10">
        <v>45553</v>
      </c>
    </row>
    <row r="1082" spans="1:9" x14ac:dyDescent="0.15">
      <c r="A1082" s="9">
        <v>1081</v>
      </c>
      <c r="B1082" s="9" t="s">
        <v>9</v>
      </c>
      <c r="C1082" s="9">
        <v>1915</v>
      </c>
      <c r="D1082" s="10">
        <v>45639</v>
      </c>
      <c r="E1082" s="13" t="str">
        <f>+HYPERLINK("http://trademark.i-assist.jp/data/china/image_1915th/80967827.pdf","80967827")</f>
        <v>80967827</v>
      </c>
      <c r="F1082" s="12" t="s">
        <v>3035</v>
      </c>
      <c r="G1082" s="12" t="s">
        <v>3036</v>
      </c>
      <c r="H1082" s="9" t="s">
        <v>3037</v>
      </c>
      <c r="I1082" s="10">
        <v>45553</v>
      </c>
    </row>
    <row r="1083" spans="1:9" x14ac:dyDescent="0.15">
      <c r="A1083" s="9">
        <v>1082</v>
      </c>
      <c r="B1083" s="9" t="s">
        <v>9</v>
      </c>
      <c r="C1083" s="9">
        <v>1915</v>
      </c>
      <c r="D1083" s="10">
        <v>45639</v>
      </c>
      <c r="E1083" s="13" t="str">
        <f>+HYPERLINK("http://trademark.i-assist.jp/data/china/image_1915th/80967937.pdf","80967937")</f>
        <v>80967937</v>
      </c>
      <c r="F1083" s="9" t="s">
        <v>3038</v>
      </c>
      <c r="G1083" s="12" t="s">
        <v>3039</v>
      </c>
      <c r="H1083" s="9" t="s">
        <v>3040</v>
      </c>
      <c r="I1083" s="10">
        <v>45553</v>
      </c>
    </row>
    <row r="1084" spans="1:9" x14ac:dyDescent="0.15">
      <c r="A1084" s="9">
        <v>1083</v>
      </c>
      <c r="B1084" s="9" t="s">
        <v>9</v>
      </c>
      <c r="C1084" s="9">
        <v>1915</v>
      </c>
      <c r="D1084" s="10">
        <v>45639</v>
      </c>
      <c r="E1084" s="13" t="str">
        <f>+HYPERLINK("http://trademark.i-assist.jp/data/china/image_1915th/80968070.pdf","80968070")</f>
        <v>80968070</v>
      </c>
      <c r="F1084" s="9" t="s">
        <v>3041</v>
      </c>
      <c r="G1084" s="12" t="s">
        <v>3042</v>
      </c>
      <c r="H1084" s="9" t="s">
        <v>3043</v>
      </c>
      <c r="I1084" s="10">
        <v>45553</v>
      </c>
    </row>
    <row r="1085" spans="1:9" x14ac:dyDescent="0.15">
      <c r="A1085" s="9">
        <v>1084</v>
      </c>
      <c r="B1085" s="9" t="s">
        <v>9</v>
      </c>
      <c r="C1085" s="9">
        <v>1915</v>
      </c>
      <c r="D1085" s="10">
        <v>45639</v>
      </c>
      <c r="E1085" s="13" t="str">
        <f>+HYPERLINK("http://trademark.i-assist.jp/data/china/image_1915th/80968167.pdf","80968167")</f>
        <v>80968167</v>
      </c>
      <c r="F1085" s="9" t="s">
        <v>3044</v>
      </c>
      <c r="G1085" s="12" t="s">
        <v>3045</v>
      </c>
      <c r="H1085" s="9" t="s">
        <v>3046</v>
      </c>
      <c r="I1085" s="10">
        <v>45553</v>
      </c>
    </row>
    <row r="1086" spans="1:9" x14ac:dyDescent="0.15">
      <c r="A1086" s="9">
        <v>1085</v>
      </c>
      <c r="B1086" s="9" t="s">
        <v>9</v>
      </c>
      <c r="C1086" s="9">
        <v>1915</v>
      </c>
      <c r="D1086" s="10">
        <v>45639</v>
      </c>
      <c r="E1086" s="13" t="str">
        <f>+HYPERLINK("http://trademark.i-assist.jp/data/china/image_1915th/80968177.pdf","80968177")</f>
        <v>80968177</v>
      </c>
      <c r="F1086" s="9" t="s">
        <v>3047</v>
      </c>
      <c r="G1086" s="12" t="s">
        <v>3045</v>
      </c>
      <c r="H1086" s="9" t="s">
        <v>3048</v>
      </c>
      <c r="I1086" s="10">
        <v>45553</v>
      </c>
    </row>
    <row r="1087" spans="1:9" x14ac:dyDescent="0.15">
      <c r="A1087" s="9">
        <v>1086</v>
      </c>
      <c r="B1087" s="9" t="s">
        <v>9</v>
      </c>
      <c r="C1087" s="9">
        <v>1915</v>
      </c>
      <c r="D1087" s="10">
        <v>45639</v>
      </c>
      <c r="E1087" s="13" t="str">
        <f>+HYPERLINK("http://trademark.i-assist.jp/data/china/image_1915th/80968638.pdf","80968638")</f>
        <v>80968638</v>
      </c>
      <c r="F1087" s="9" t="s">
        <v>3049</v>
      </c>
      <c r="G1087" s="9" t="s">
        <v>3050</v>
      </c>
      <c r="H1087" s="9" t="s">
        <v>3051</v>
      </c>
      <c r="I1087" s="10">
        <v>45553</v>
      </c>
    </row>
    <row r="1088" spans="1:9" x14ac:dyDescent="0.15">
      <c r="A1088" s="9">
        <v>1087</v>
      </c>
      <c r="B1088" s="9" t="s">
        <v>9</v>
      </c>
      <c r="C1088" s="9">
        <v>1915</v>
      </c>
      <c r="D1088" s="10">
        <v>45639</v>
      </c>
      <c r="E1088" s="13" t="str">
        <f>+HYPERLINK("http://trademark.i-assist.jp/data/china/image_1915th/80968932.pdf","80968932")</f>
        <v>80968932</v>
      </c>
      <c r="F1088" s="9" t="s">
        <v>3052</v>
      </c>
      <c r="G1088" s="9" t="s">
        <v>3053</v>
      </c>
      <c r="H1088" s="9" t="s">
        <v>3054</v>
      </c>
      <c r="I1088" s="10">
        <v>45553</v>
      </c>
    </row>
    <row r="1089" spans="1:9" x14ac:dyDescent="0.15">
      <c r="A1089" s="9">
        <v>1088</v>
      </c>
      <c r="B1089" s="9" t="s">
        <v>9</v>
      </c>
      <c r="C1089" s="9">
        <v>1915</v>
      </c>
      <c r="D1089" s="10">
        <v>45639</v>
      </c>
      <c r="E1089" s="13" t="str">
        <f>+HYPERLINK("http://trademark.i-assist.jp/data/china/image_1915th/80968939.pdf","80968939")</f>
        <v>80968939</v>
      </c>
      <c r="F1089" s="9" t="s">
        <v>3055</v>
      </c>
      <c r="G1089" s="9" t="s">
        <v>3053</v>
      </c>
      <c r="H1089" s="9" t="s">
        <v>3056</v>
      </c>
      <c r="I1089" s="10">
        <v>45553</v>
      </c>
    </row>
    <row r="1090" spans="1:9" x14ac:dyDescent="0.15">
      <c r="A1090" s="9">
        <v>1089</v>
      </c>
      <c r="B1090" s="9" t="s">
        <v>9</v>
      </c>
      <c r="C1090" s="9">
        <v>1915</v>
      </c>
      <c r="D1090" s="10">
        <v>45639</v>
      </c>
      <c r="E1090" s="13" t="str">
        <f>+HYPERLINK("http://trademark.i-assist.jp/data/china/image_1915th/80969278.pdf","80969278")</f>
        <v>80969278</v>
      </c>
      <c r="F1090" s="9" t="s">
        <v>3057</v>
      </c>
      <c r="G1090" s="12" t="s">
        <v>3058</v>
      </c>
      <c r="H1090" s="9" t="s">
        <v>3059</v>
      </c>
      <c r="I1090" s="10">
        <v>45553</v>
      </c>
    </row>
    <row r="1091" spans="1:9" x14ac:dyDescent="0.15">
      <c r="A1091" s="9">
        <v>1090</v>
      </c>
      <c r="B1091" s="9" t="s">
        <v>9</v>
      </c>
      <c r="C1091" s="9">
        <v>1915</v>
      </c>
      <c r="D1091" s="10">
        <v>45639</v>
      </c>
      <c r="E1091" s="13" t="str">
        <f>+HYPERLINK("http://trademark.i-assist.jp/data/china/image_1915th/80969427.pdf","80969427")</f>
        <v>80969427</v>
      </c>
      <c r="F1091" s="9" t="s">
        <v>3060</v>
      </c>
      <c r="G1091" s="9" t="s">
        <v>3061</v>
      </c>
      <c r="H1091" s="9" t="s">
        <v>3062</v>
      </c>
      <c r="I1091" s="10">
        <v>45553</v>
      </c>
    </row>
    <row r="1092" spans="1:9" x14ac:dyDescent="0.15">
      <c r="A1092" s="9">
        <v>1091</v>
      </c>
      <c r="B1092" s="9" t="s">
        <v>9</v>
      </c>
      <c r="C1092" s="9">
        <v>1915</v>
      </c>
      <c r="D1092" s="10">
        <v>45639</v>
      </c>
      <c r="E1092" s="13" t="str">
        <f>+HYPERLINK("http://trademark.i-assist.jp/data/china/image_1915th/80969800.pdf","80969800")</f>
        <v>80969800</v>
      </c>
      <c r="F1092" s="9" t="s">
        <v>3063</v>
      </c>
      <c r="G1092" s="12" t="s">
        <v>3021</v>
      </c>
      <c r="H1092" s="9" t="s">
        <v>3064</v>
      </c>
      <c r="I1092" s="10">
        <v>45553</v>
      </c>
    </row>
    <row r="1093" spans="1:9" x14ac:dyDescent="0.15">
      <c r="A1093" s="9">
        <v>1092</v>
      </c>
      <c r="B1093" s="9" t="s">
        <v>9</v>
      </c>
      <c r="C1093" s="9">
        <v>1915</v>
      </c>
      <c r="D1093" s="10">
        <v>45639</v>
      </c>
      <c r="E1093" s="13" t="str">
        <f>+HYPERLINK("http://trademark.i-assist.jp/data/china/image_1915th/80969813.pdf","80969813")</f>
        <v>80969813</v>
      </c>
      <c r="F1093" s="9" t="s">
        <v>3065</v>
      </c>
      <c r="G1093" s="12" t="s">
        <v>3021</v>
      </c>
      <c r="H1093" s="9" t="s">
        <v>3066</v>
      </c>
      <c r="I1093" s="10">
        <v>45553</v>
      </c>
    </row>
    <row r="1094" spans="1:9" x14ac:dyDescent="0.15">
      <c r="A1094" s="9">
        <v>1093</v>
      </c>
      <c r="B1094" s="9" t="s">
        <v>9</v>
      </c>
      <c r="C1094" s="9">
        <v>1915</v>
      </c>
      <c r="D1094" s="10">
        <v>45639</v>
      </c>
      <c r="E1094" s="13" t="str">
        <f>+HYPERLINK("http://trademark.i-assist.jp/data/china/image_1915th/80969924.pdf","80969924")</f>
        <v>80969924</v>
      </c>
      <c r="F1094" s="9" t="s">
        <v>3067</v>
      </c>
      <c r="G1094" s="9" t="s">
        <v>3068</v>
      </c>
      <c r="H1094" s="9" t="s">
        <v>3069</v>
      </c>
      <c r="I1094" s="10">
        <v>45553</v>
      </c>
    </row>
    <row r="1095" spans="1:9" x14ac:dyDescent="0.15">
      <c r="A1095" s="9">
        <v>1094</v>
      </c>
      <c r="B1095" s="9" t="s">
        <v>9</v>
      </c>
      <c r="C1095" s="9">
        <v>1915</v>
      </c>
      <c r="D1095" s="10">
        <v>45639</v>
      </c>
      <c r="E1095" s="13" t="str">
        <f>+HYPERLINK("http://trademark.i-assist.jp/data/china/image_1915th/80969983.pdf","80969983")</f>
        <v>80969983</v>
      </c>
      <c r="F1095" s="9" t="s">
        <v>3070</v>
      </c>
      <c r="G1095" s="12" t="s">
        <v>3036</v>
      </c>
      <c r="H1095" s="9" t="s">
        <v>3071</v>
      </c>
      <c r="I1095" s="10">
        <v>45553</v>
      </c>
    </row>
    <row r="1096" spans="1:9" x14ac:dyDescent="0.15">
      <c r="A1096" s="9">
        <v>1095</v>
      </c>
      <c r="B1096" s="9" t="s">
        <v>9</v>
      </c>
      <c r="C1096" s="9">
        <v>1915</v>
      </c>
      <c r="D1096" s="10">
        <v>45639</v>
      </c>
      <c r="E1096" s="13" t="str">
        <f>+HYPERLINK("http://trademark.i-assist.jp/data/china/image_1915th/80970153.pdf","80970153")</f>
        <v>80970153</v>
      </c>
      <c r="F1096" s="9" t="s">
        <v>3072</v>
      </c>
      <c r="G1096" s="12" t="s">
        <v>3073</v>
      </c>
      <c r="H1096" s="9" t="s">
        <v>3074</v>
      </c>
      <c r="I1096" s="10">
        <v>45553</v>
      </c>
    </row>
    <row r="1097" spans="1:9" x14ac:dyDescent="0.15">
      <c r="A1097" s="9">
        <v>1096</v>
      </c>
      <c r="B1097" s="9" t="s">
        <v>9</v>
      </c>
      <c r="C1097" s="9">
        <v>1915</v>
      </c>
      <c r="D1097" s="10">
        <v>45639</v>
      </c>
      <c r="E1097" s="13" t="str">
        <f>+HYPERLINK("http://trademark.i-assist.jp/data/china/image_1915th/80970260.pdf","80970260")</f>
        <v>80970260</v>
      </c>
      <c r="F1097" s="9" t="s">
        <v>3075</v>
      </c>
      <c r="G1097" s="12" t="s">
        <v>3076</v>
      </c>
      <c r="H1097" s="12" t="s">
        <v>3077</v>
      </c>
      <c r="I1097" s="10">
        <v>45553</v>
      </c>
    </row>
    <row r="1098" spans="1:9" x14ac:dyDescent="0.15">
      <c r="A1098" s="9">
        <v>1097</v>
      </c>
      <c r="B1098" s="9" t="s">
        <v>9</v>
      </c>
      <c r="C1098" s="9">
        <v>1915</v>
      </c>
      <c r="D1098" s="10">
        <v>45639</v>
      </c>
      <c r="E1098" s="13" t="str">
        <f>+HYPERLINK("http://trademark.i-assist.jp/data/china/image_1915th/80970550.pdf","80970550")</f>
        <v>80970550</v>
      </c>
      <c r="F1098" s="9" t="s">
        <v>3078</v>
      </c>
      <c r="G1098" s="9" t="s">
        <v>2932</v>
      </c>
      <c r="H1098" s="9" t="s">
        <v>3079</v>
      </c>
      <c r="I1098" s="10">
        <v>45553</v>
      </c>
    </row>
    <row r="1099" spans="1:9" x14ac:dyDescent="0.15">
      <c r="A1099" s="9">
        <v>1098</v>
      </c>
      <c r="B1099" s="9" t="s">
        <v>9</v>
      </c>
      <c r="C1099" s="9">
        <v>1915</v>
      </c>
      <c r="D1099" s="10">
        <v>45639</v>
      </c>
      <c r="E1099" s="13" t="str">
        <f>+HYPERLINK("http://trademark.i-assist.jp/data/china/image_1915th/80970804.pdf","80970804")</f>
        <v>80970804</v>
      </c>
      <c r="F1099" s="9" t="s">
        <v>3080</v>
      </c>
      <c r="G1099" s="9" t="s">
        <v>3053</v>
      </c>
      <c r="H1099" s="9" t="s">
        <v>3081</v>
      </c>
      <c r="I1099" s="10">
        <v>45553</v>
      </c>
    </row>
    <row r="1100" spans="1:9" x14ac:dyDescent="0.15">
      <c r="A1100" s="9">
        <v>1099</v>
      </c>
      <c r="B1100" s="9" t="s">
        <v>9</v>
      </c>
      <c r="C1100" s="9">
        <v>1915</v>
      </c>
      <c r="D1100" s="10">
        <v>45639</v>
      </c>
      <c r="E1100" s="13" t="str">
        <f>+HYPERLINK("http://trademark.i-assist.jp/data/china/image_1915th/80971036.pdf","80971036")</f>
        <v>80971036</v>
      </c>
      <c r="F1100" s="9" t="s">
        <v>3082</v>
      </c>
      <c r="G1100" s="12" t="s">
        <v>3083</v>
      </c>
      <c r="H1100" s="9" t="s">
        <v>3084</v>
      </c>
      <c r="I1100" s="10">
        <v>45553</v>
      </c>
    </row>
    <row r="1101" spans="1:9" x14ac:dyDescent="0.15">
      <c r="A1101" s="9">
        <v>1100</v>
      </c>
      <c r="B1101" s="9" t="s">
        <v>9</v>
      </c>
      <c r="C1101" s="9">
        <v>1915</v>
      </c>
      <c r="D1101" s="10">
        <v>45639</v>
      </c>
      <c r="E1101" s="13" t="str">
        <f>+HYPERLINK("http://trademark.i-assist.jp/data/china/image_1915th/80971044.pdf","80971044")</f>
        <v>80971044</v>
      </c>
      <c r="F1101" s="9" t="s">
        <v>3085</v>
      </c>
      <c r="G1101" s="9" t="s">
        <v>3086</v>
      </c>
      <c r="H1101" s="9" t="s">
        <v>3087</v>
      </c>
      <c r="I1101" s="10">
        <v>45553</v>
      </c>
    </row>
    <row r="1102" spans="1:9" x14ac:dyDescent="0.15">
      <c r="A1102" s="9">
        <v>1101</v>
      </c>
      <c r="B1102" s="9" t="s">
        <v>9</v>
      </c>
      <c r="C1102" s="9">
        <v>1915</v>
      </c>
      <c r="D1102" s="10">
        <v>45639</v>
      </c>
      <c r="E1102" s="13" t="str">
        <f>+HYPERLINK("http://trademark.i-assist.jp/data/china/image_1915th/80971226.pdf","80971226")</f>
        <v>80971226</v>
      </c>
      <c r="F1102" s="9" t="s">
        <v>3088</v>
      </c>
      <c r="G1102" s="9" t="s">
        <v>3089</v>
      </c>
      <c r="H1102" s="9" t="s">
        <v>3090</v>
      </c>
      <c r="I1102" s="10">
        <v>45553</v>
      </c>
    </row>
    <row r="1103" spans="1:9" x14ac:dyDescent="0.15">
      <c r="A1103" s="9">
        <v>1102</v>
      </c>
      <c r="B1103" s="9" t="s">
        <v>9</v>
      </c>
      <c r="C1103" s="9">
        <v>1915</v>
      </c>
      <c r="D1103" s="10">
        <v>45639</v>
      </c>
      <c r="E1103" s="13" t="str">
        <f>+HYPERLINK("http://trademark.i-assist.jp/data/china/image_1915th/80971721.pdf","80971721")</f>
        <v>80971721</v>
      </c>
      <c r="F1103" s="9" t="s">
        <v>3091</v>
      </c>
      <c r="G1103" s="9" t="s">
        <v>3092</v>
      </c>
      <c r="H1103" s="9" t="s">
        <v>3093</v>
      </c>
      <c r="I1103" s="10">
        <v>45553</v>
      </c>
    </row>
    <row r="1104" spans="1:9" x14ac:dyDescent="0.15">
      <c r="A1104" s="9">
        <v>1103</v>
      </c>
      <c r="B1104" s="9" t="s">
        <v>9</v>
      </c>
      <c r="C1104" s="9">
        <v>1915</v>
      </c>
      <c r="D1104" s="10">
        <v>45639</v>
      </c>
      <c r="E1104" s="13" t="str">
        <f>+HYPERLINK("http://trademark.i-assist.jp/data/china/image_1915th/80972015.pdf","80972015")</f>
        <v>80972015</v>
      </c>
      <c r="F1104" s="9" t="s">
        <v>3094</v>
      </c>
      <c r="G1104" s="9" t="s">
        <v>3095</v>
      </c>
      <c r="H1104" s="9" t="s">
        <v>3096</v>
      </c>
      <c r="I1104" s="10">
        <v>45553</v>
      </c>
    </row>
    <row r="1105" spans="1:9" x14ac:dyDescent="0.15">
      <c r="A1105" s="9">
        <v>1104</v>
      </c>
      <c r="B1105" s="9" t="s">
        <v>9</v>
      </c>
      <c r="C1105" s="9">
        <v>1915</v>
      </c>
      <c r="D1105" s="10">
        <v>45639</v>
      </c>
      <c r="E1105" s="13" t="str">
        <f>+HYPERLINK("http://trademark.i-assist.jp/data/china/image_1915th/80972482.pdf","80972482")</f>
        <v>80972482</v>
      </c>
      <c r="F1105" s="12" t="s">
        <v>3097</v>
      </c>
      <c r="G1105" s="9" t="s">
        <v>3098</v>
      </c>
      <c r="H1105" s="9" t="s">
        <v>3099</v>
      </c>
      <c r="I1105" s="10">
        <v>45553</v>
      </c>
    </row>
    <row r="1106" spans="1:9" x14ac:dyDescent="0.15">
      <c r="A1106" s="9">
        <v>1105</v>
      </c>
      <c r="B1106" s="9" t="s">
        <v>9</v>
      </c>
      <c r="C1106" s="9">
        <v>1915</v>
      </c>
      <c r="D1106" s="10">
        <v>45639</v>
      </c>
      <c r="E1106" s="13" t="str">
        <f>+HYPERLINK("http://trademark.i-assist.jp/data/china/image_1915th/80972584.pdf","80972584")</f>
        <v>80972584</v>
      </c>
      <c r="F1106" s="9" t="s">
        <v>3100</v>
      </c>
      <c r="G1106" s="9" t="s">
        <v>1892</v>
      </c>
      <c r="H1106" s="9" t="s">
        <v>3101</v>
      </c>
      <c r="I1106" s="10">
        <v>45553</v>
      </c>
    </row>
    <row r="1107" spans="1:9" x14ac:dyDescent="0.15">
      <c r="A1107" s="9">
        <v>1106</v>
      </c>
      <c r="B1107" s="9" t="s">
        <v>9</v>
      </c>
      <c r="C1107" s="9">
        <v>1915</v>
      </c>
      <c r="D1107" s="10">
        <v>45639</v>
      </c>
      <c r="E1107" s="13" t="str">
        <f>+HYPERLINK("http://trademark.i-assist.jp/data/china/image_1915th/80973107.pdf","80973107")</f>
        <v>80973107</v>
      </c>
      <c r="F1107" s="9" t="s">
        <v>3102</v>
      </c>
      <c r="G1107" s="9" t="s">
        <v>3103</v>
      </c>
      <c r="H1107" s="9" t="s">
        <v>3104</v>
      </c>
      <c r="I1107" s="10">
        <v>45553</v>
      </c>
    </row>
    <row r="1108" spans="1:9" x14ac:dyDescent="0.15">
      <c r="A1108" s="9">
        <v>1107</v>
      </c>
      <c r="B1108" s="9" t="s">
        <v>9</v>
      </c>
      <c r="C1108" s="9">
        <v>1915</v>
      </c>
      <c r="D1108" s="10">
        <v>45639</v>
      </c>
      <c r="E1108" s="13" t="str">
        <f>+HYPERLINK("http://trademark.i-assist.jp/data/china/image_1915th/80973485.pdf","80973485")</f>
        <v>80973485</v>
      </c>
      <c r="F1108" s="9" t="s">
        <v>3105</v>
      </c>
      <c r="G1108" s="9" t="s">
        <v>55</v>
      </c>
      <c r="H1108" s="9" t="s">
        <v>3106</v>
      </c>
      <c r="I1108" s="10">
        <v>45553</v>
      </c>
    </row>
    <row r="1109" spans="1:9" x14ac:dyDescent="0.15">
      <c r="A1109" s="9">
        <v>1108</v>
      </c>
      <c r="B1109" s="9" t="s">
        <v>9</v>
      </c>
      <c r="C1109" s="9">
        <v>1915</v>
      </c>
      <c r="D1109" s="10">
        <v>45639</v>
      </c>
      <c r="E1109" s="13" t="str">
        <f>+HYPERLINK("http://trademark.i-assist.jp/data/china/image_1915th/80973615.pdf","80973615")</f>
        <v>80973615</v>
      </c>
      <c r="F1109" s="9" t="s">
        <v>3107</v>
      </c>
      <c r="G1109" s="9" t="s">
        <v>3108</v>
      </c>
      <c r="H1109" s="9" t="s">
        <v>3109</v>
      </c>
      <c r="I1109" s="10">
        <v>45553</v>
      </c>
    </row>
    <row r="1110" spans="1:9" x14ac:dyDescent="0.15">
      <c r="A1110" s="9">
        <v>1109</v>
      </c>
      <c r="B1110" s="9" t="s">
        <v>9</v>
      </c>
      <c r="C1110" s="9">
        <v>1915</v>
      </c>
      <c r="D1110" s="10">
        <v>45639</v>
      </c>
      <c r="E1110" s="13" t="str">
        <f>+HYPERLINK("http://trademark.i-assist.jp/data/china/image_1915th/80973683.pdf","80973683")</f>
        <v>80973683</v>
      </c>
      <c r="F1110" s="12" t="s">
        <v>3110</v>
      </c>
      <c r="G1110" s="9" t="s">
        <v>3111</v>
      </c>
      <c r="H1110" s="9" t="s">
        <v>3112</v>
      </c>
      <c r="I1110" s="10">
        <v>45553</v>
      </c>
    </row>
    <row r="1111" spans="1:9" x14ac:dyDescent="0.15">
      <c r="A1111" s="9">
        <v>1110</v>
      </c>
      <c r="B1111" s="9" t="s">
        <v>9</v>
      </c>
      <c r="C1111" s="9">
        <v>1915</v>
      </c>
      <c r="D1111" s="10">
        <v>45639</v>
      </c>
      <c r="E1111" s="13" t="str">
        <f>+HYPERLINK("http://trademark.i-assist.jp/data/china/image_1915th/80973859.pdf","80973859")</f>
        <v>80973859</v>
      </c>
      <c r="F1111" s="9" t="s">
        <v>3113</v>
      </c>
      <c r="G1111" s="9" t="s">
        <v>3114</v>
      </c>
      <c r="H1111" s="9" t="s">
        <v>3115</v>
      </c>
      <c r="I1111" s="10">
        <v>45553</v>
      </c>
    </row>
    <row r="1112" spans="1:9" x14ac:dyDescent="0.15">
      <c r="A1112" s="9">
        <v>1111</v>
      </c>
      <c r="B1112" s="9" t="s">
        <v>9</v>
      </c>
      <c r="C1112" s="9">
        <v>1915</v>
      </c>
      <c r="D1112" s="10">
        <v>45639</v>
      </c>
      <c r="E1112" s="13" t="str">
        <f>+HYPERLINK("http://trademark.i-assist.jp/data/china/image_1915th/80974420.pdf","80974420")</f>
        <v>80974420</v>
      </c>
      <c r="F1112" s="9" t="s">
        <v>3116</v>
      </c>
      <c r="G1112" s="12" t="s">
        <v>3036</v>
      </c>
      <c r="H1112" s="12" t="s">
        <v>3117</v>
      </c>
      <c r="I1112" s="10">
        <v>45553</v>
      </c>
    </row>
    <row r="1113" spans="1:9" x14ac:dyDescent="0.15">
      <c r="A1113" s="9">
        <v>1112</v>
      </c>
      <c r="B1113" s="9" t="s">
        <v>9</v>
      </c>
      <c r="C1113" s="9">
        <v>1915</v>
      </c>
      <c r="D1113" s="10">
        <v>45639</v>
      </c>
      <c r="E1113" s="13" t="str">
        <f>+HYPERLINK("http://trademark.i-assist.jp/data/china/image_1915th/80975051.pdf","80975051")</f>
        <v>80975051</v>
      </c>
      <c r="F1113" s="9" t="s">
        <v>3118</v>
      </c>
      <c r="G1113" s="9" t="s">
        <v>3119</v>
      </c>
      <c r="H1113" s="9" t="s">
        <v>3120</v>
      </c>
      <c r="I1113" s="10">
        <v>45553</v>
      </c>
    </row>
    <row r="1114" spans="1:9" x14ac:dyDescent="0.15">
      <c r="A1114" s="9">
        <v>1113</v>
      </c>
      <c r="B1114" s="9" t="s">
        <v>9</v>
      </c>
      <c r="C1114" s="9">
        <v>1915</v>
      </c>
      <c r="D1114" s="10">
        <v>45639</v>
      </c>
      <c r="E1114" s="13" t="str">
        <f>+HYPERLINK("http://trademark.i-assist.jp/data/china/image_1915th/80975084.pdf","80975084")</f>
        <v>80975084</v>
      </c>
      <c r="F1114" s="9" t="s">
        <v>3121</v>
      </c>
      <c r="G1114" s="9" t="s">
        <v>3122</v>
      </c>
      <c r="H1114" s="9" t="s">
        <v>3123</v>
      </c>
      <c r="I1114" s="10">
        <v>45553</v>
      </c>
    </row>
    <row r="1115" spans="1:9" x14ac:dyDescent="0.15">
      <c r="A1115" s="9">
        <v>1114</v>
      </c>
      <c r="B1115" s="9" t="s">
        <v>9</v>
      </c>
      <c r="C1115" s="9">
        <v>1915</v>
      </c>
      <c r="D1115" s="10">
        <v>45639</v>
      </c>
      <c r="E1115" s="13" t="str">
        <f>+HYPERLINK("http://trademark.i-assist.jp/data/china/image_1915th/80975262.pdf","80975262")</f>
        <v>80975262</v>
      </c>
      <c r="F1115" s="9" t="s">
        <v>3124</v>
      </c>
      <c r="G1115" s="9" t="s">
        <v>3125</v>
      </c>
      <c r="H1115" s="9" t="s">
        <v>3126</v>
      </c>
      <c r="I1115" s="10">
        <v>45553</v>
      </c>
    </row>
    <row r="1116" spans="1:9" x14ac:dyDescent="0.15">
      <c r="A1116" s="9">
        <v>1115</v>
      </c>
      <c r="B1116" s="9" t="s">
        <v>9</v>
      </c>
      <c r="C1116" s="9">
        <v>1915</v>
      </c>
      <c r="D1116" s="10">
        <v>45639</v>
      </c>
      <c r="E1116" s="13" t="str">
        <f>+HYPERLINK("http://trademark.i-assist.jp/data/china/image_1915th/80975676.pdf","80975676")</f>
        <v>80975676</v>
      </c>
      <c r="F1116" s="9" t="s">
        <v>3127</v>
      </c>
      <c r="G1116" s="12" t="s">
        <v>3128</v>
      </c>
      <c r="H1116" s="9" t="s">
        <v>3129</v>
      </c>
      <c r="I1116" s="10">
        <v>45553</v>
      </c>
    </row>
    <row r="1117" spans="1:9" x14ac:dyDescent="0.15">
      <c r="A1117" s="9">
        <v>1116</v>
      </c>
      <c r="B1117" s="9" t="s">
        <v>9</v>
      </c>
      <c r="C1117" s="9">
        <v>1915</v>
      </c>
      <c r="D1117" s="10">
        <v>45639</v>
      </c>
      <c r="E1117" s="13" t="str">
        <f>+HYPERLINK("http://trademark.i-assist.jp/data/china/image_1915th/80976051.pdf","80976051")</f>
        <v>80976051</v>
      </c>
      <c r="F1117" s="9" t="s">
        <v>3130</v>
      </c>
      <c r="G1117" s="9" t="s">
        <v>3131</v>
      </c>
      <c r="H1117" s="9" t="s">
        <v>3132</v>
      </c>
      <c r="I1117" s="10">
        <v>45553</v>
      </c>
    </row>
    <row r="1118" spans="1:9" x14ac:dyDescent="0.15">
      <c r="A1118" s="9">
        <v>1117</v>
      </c>
      <c r="B1118" s="9" t="s">
        <v>9</v>
      </c>
      <c r="C1118" s="9">
        <v>1915</v>
      </c>
      <c r="D1118" s="10">
        <v>45639</v>
      </c>
      <c r="E1118" s="13" t="str">
        <f>+HYPERLINK("http://trademark.i-assist.jp/data/china/image_1915th/80976118.pdf","80976118")</f>
        <v>80976118</v>
      </c>
      <c r="F1118" s="9" t="s">
        <v>3133</v>
      </c>
      <c r="G1118" s="9" t="s">
        <v>2961</v>
      </c>
      <c r="H1118" s="12" t="s">
        <v>3134</v>
      </c>
      <c r="I1118" s="10">
        <v>45553</v>
      </c>
    </row>
    <row r="1119" spans="1:9" x14ac:dyDescent="0.15">
      <c r="A1119" s="9">
        <v>1118</v>
      </c>
      <c r="B1119" s="9" t="s">
        <v>9</v>
      </c>
      <c r="C1119" s="9">
        <v>1915</v>
      </c>
      <c r="D1119" s="10">
        <v>45639</v>
      </c>
      <c r="E1119" s="13" t="str">
        <f>+HYPERLINK("http://trademark.i-assist.jp/data/china/image_1915th/80976208.pdf","80976208")</f>
        <v>80976208</v>
      </c>
      <c r="F1119" s="9" t="s">
        <v>3135</v>
      </c>
      <c r="G1119" s="9" t="s">
        <v>3136</v>
      </c>
      <c r="H1119" s="9" t="s">
        <v>3137</v>
      </c>
      <c r="I1119" s="10">
        <v>45553</v>
      </c>
    </row>
    <row r="1120" spans="1:9" x14ac:dyDescent="0.15">
      <c r="A1120" s="9">
        <v>1119</v>
      </c>
      <c r="B1120" s="9" t="s">
        <v>9</v>
      </c>
      <c r="C1120" s="9">
        <v>1915</v>
      </c>
      <c r="D1120" s="10">
        <v>45639</v>
      </c>
      <c r="E1120" s="13" t="str">
        <f>+HYPERLINK("http://trademark.i-assist.jp/data/china/image_1915th/80976233.pdf","80976233")</f>
        <v>80976233</v>
      </c>
      <c r="F1120" s="9" t="s">
        <v>3138</v>
      </c>
      <c r="G1120" s="9" t="s">
        <v>3139</v>
      </c>
      <c r="H1120" s="9" t="s">
        <v>3140</v>
      </c>
      <c r="I1120" s="10">
        <v>45553</v>
      </c>
    </row>
    <row r="1121" spans="1:9" x14ac:dyDescent="0.15">
      <c r="A1121" s="9">
        <v>1120</v>
      </c>
      <c r="B1121" s="9" t="s">
        <v>9</v>
      </c>
      <c r="C1121" s="9">
        <v>1915</v>
      </c>
      <c r="D1121" s="10">
        <v>45639</v>
      </c>
      <c r="E1121" s="13" t="str">
        <f>+HYPERLINK("http://trademark.i-assist.jp/data/china/image_1915th/80976327.pdf","80976327")</f>
        <v>80976327</v>
      </c>
      <c r="F1121" s="9" t="s">
        <v>3141</v>
      </c>
      <c r="G1121" s="12" t="s">
        <v>3021</v>
      </c>
      <c r="H1121" s="9" t="s">
        <v>3142</v>
      </c>
      <c r="I1121" s="10">
        <v>45553</v>
      </c>
    </row>
    <row r="1122" spans="1:9" x14ac:dyDescent="0.15">
      <c r="A1122" s="9">
        <v>1121</v>
      </c>
      <c r="B1122" s="9" t="s">
        <v>9</v>
      </c>
      <c r="C1122" s="9">
        <v>1915</v>
      </c>
      <c r="D1122" s="10">
        <v>45639</v>
      </c>
      <c r="E1122" s="13" t="str">
        <f>+HYPERLINK("http://trademark.i-assist.jp/data/china/image_1915th/80976462.pdf","80976462")</f>
        <v>80976462</v>
      </c>
      <c r="F1122" s="9" t="s">
        <v>3143</v>
      </c>
      <c r="G1122" s="12" t="s">
        <v>3144</v>
      </c>
      <c r="H1122" s="9" t="s">
        <v>3145</v>
      </c>
      <c r="I1122" s="10">
        <v>45553</v>
      </c>
    </row>
    <row r="1123" spans="1:9" x14ac:dyDescent="0.15">
      <c r="A1123" s="9">
        <v>1122</v>
      </c>
      <c r="B1123" s="9" t="s">
        <v>9</v>
      </c>
      <c r="C1123" s="9">
        <v>1915</v>
      </c>
      <c r="D1123" s="10">
        <v>45639</v>
      </c>
      <c r="E1123" s="13" t="str">
        <f>+HYPERLINK("http://trademark.i-assist.jp/data/china/image_1915th/80976840.pdf","80976840")</f>
        <v>80976840</v>
      </c>
      <c r="F1123" s="9" t="s">
        <v>3146</v>
      </c>
      <c r="G1123" s="9" t="s">
        <v>3147</v>
      </c>
      <c r="H1123" s="9" t="s">
        <v>3148</v>
      </c>
      <c r="I1123" s="10">
        <v>45553</v>
      </c>
    </row>
    <row r="1124" spans="1:9" x14ac:dyDescent="0.15">
      <c r="A1124" s="9">
        <v>1123</v>
      </c>
      <c r="B1124" s="9" t="s">
        <v>9</v>
      </c>
      <c r="C1124" s="9">
        <v>1915</v>
      </c>
      <c r="D1124" s="10">
        <v>45639</v>
      </c>
      <c r="E1124" s="13" t="str">
        <f>+HYPERLINK("http://trademark.i-assist.jp/data/china/image_1915th/80976981.pdf","80976981")</f>
        <v>80976981</v>
      </c>
      <c r="F1124" s="9" t="s">
        <v>3149</v>
      </c>
      <c r="G1124" s="12" t="s">
        <v>3021</v>
      </c>
      <c r="H1124" s="9" t="s">
        <v>3150</v>
      </c>
      <c r="I1124" s="10">
        <v>45553</v>
      </c>
    </row>
    <row r="1125" spans="1:9" x14ac:dyDescent="0.15">
      <c r="A1125" s="9">
        <v>1124</v>
      </c>
      <c r="B1125" s="9" t="s">
        <v>9</v>
      </c>
      <c r="C1125" s="9">
        <v>1915</v>
      </c>
      <c r="D1125" s="10">
        <v>45639</v>
      </c>
      <c r="E1125" s="13" t="str">
        <f>+HYPERLINK("http://trademark.i-assist.jp/data/china/image_1915th/80977361.pdf","80977361")</f>
        <v>80977361</v>
      </c>
      <c r="F1125" s="9" t="s">
        <v>3151</v>
      </c>
      <c r="G1125" s="12" t="s">
        <v>3058</v>
      </c>
      <c r="H1125" s="12" t="s">
        <v>3152</v>
      </c>
      <c r="I1125" s="10">
        <v>45553</v>
      </c>
    </row>
    <row r="1126" spans="1:9" x14ac:dyDescent="0.15">
      <c r="A1126" s="9">
        <v>1125</v>
      </c>
      <c r="B1126" s="9" t="s">
        <v>9</v>
      </c>
      <c r="C1126" s="9">
        <v>1915</v>
      </c>
      <c r="D1126" s="10">
        <v>45639</v>
      </c>
      <c r="E1126" s="13" t="str">
        <f>+HYPERLINK("http://trademark.i-assist.jp/data/china/image_1915th/80977407.pdf","80977407")</f>
        <v>80977407</v>
      </c>
      <c r="F1126" s="12" t="s">
        <v>3153</v>
      </c>
      <c r="G1126" s="9" t="s">
        <v>3154</v>
      </c>
      <c r="H1126" s="9" t="s">
        <v>3155</v>
      </c>
      <c r="I1126" s="10">
        <v>45553</v>
      </c>
    </row>
    <row r="1127" spans="1:9" x14ac:dyDescent="0.15">
      <c r="A1127" s="9">
        <v>1126</v>
      </c>
      <c r="B1127" s="9" t="s">
        <v>9</v>
      </c>
      <c r="C1127" s="9">
        <v>1915</v>
      </c>
      <c r="D1127" s="10">
        <v>45639</v>
      </c>
      <c r="E1127" s="13" t="str">
        <f>+HYPERLINK("http://trademark.i-assist.jp/data/china/image_1915th/80977417.pdf","80977417")</f>
        <v>80977417</v>
      </c>
      <c r="F1127" s="9" t="s">
        <v>3156</v>
      </c>
      <c r="G1127" s="9" t="s">
        <v>3157</v>
      </c>
      <c r="H1127" s="9" t="s">
        <v>3158</v>
      </c>
      <c r="I1127" s="10">
        <v>45553</v>
      </c>
    </row>
    <row r="1128" spans="1:9" x14ac:dyDescent="0.15">
      <c r="A1128" s="9">
        <v>1127</v>
      </c>
      <c r="B1128" s="9" t="s">
        <v>9</v>
      </c>
      <c r="C1128" s="9">
        <v>1915</v>
      </c>
      <c r="D1128" s="10">
        <v>45639</v>
      </c>
      <c r="E1128" s="13" t="str">
        <f>+HYPERLINK("http://trademark.i-assist.jp/data/china/image_1915th/80977920.pdf","80977920")</f>
        <v>80977920</v>
      </c>
      <c r="F1128" s="12" t="s">
        <v>3159</v>
      </c>
      <c r="G1128" s="12" t="s">
        <v>3160</v>
      </c>
      <c r="H1128" s="9" t="s">
        <v>3161</v>
      </c>
      <c r="I1128" s="10">
        <v>45553</v>
      </c>
    </row>
    <row r="1129" spans="1:9" x14ac:dyDescent="0.15">
      <c r="A1129" s="9">
        <v>1128</v>
      </c>
      <c r="B1129" s="9" t="s">
        <v>9</v>
      </c>
      <c r="C1129" s="9">
        <v>1915</v>
      </c>
      <c r="D1129" s="10">
        <v>45639</v>
      </c>
      <c r="E1129" s="13" t="str">
        <f>+HYPERLINK("http://trademark.i-assist.jp/data/china/image_1915th/80977982.pdf","80977982")</f>
        <v>80977982</v>
      </c>
      <c r="F1129" s="9" t="s">
        <v>3162</v>
      </c>
      <c r="G1129" s="9" t="s">
        <v>3163</v>
      </c>
      <c r="H1129" s="9" t="s">
        <v>3164</v>
      </c>
      <c r="I1129" s="10">
        <v>45553</v>
      </c>
    </row>
    <row r="1130" spans="1:9" x14ac:dyDescent="0.15">
      <c r="A1130" s="9">
        <v>1129</v>
      </c>
      <c r="B1130" s="9" t="s">
        <v>9</v>
      </c>
      <c r="C1130" s="9">
        <v>1915</v>
      </c>
      <c r="D1130" s="10">
        <v>45639</v>
      </c>
      <c r="E1130" s="13" t="str">
        <f>+HYPERLINK("http://trademark.i-assist.jp/data/china/image_1915th/80978036.pdf","80978036")</f>
        <v>80978036</v>
      </c>
      <c r="F1130" s="9" t="s">
        <v>3165</v>
      </c>
      <c r="G1130" s="12" t="s">
        <v>3166</v>
      </c>
      <c r="H1130" s="9" t="s">
        <v>3167</v>
      </c>
      <c r="I1130" s="10">
        <v>45553</v>
      </c>
    </row>
    <row r="1131" spans="1:9" x14ac:dyDescent="0.15">
      <c r="A1131" s="9">
        <v>1130</v>
      </c>
      <c r="B1131" s="9" t="s">
        <v>9</v>
      </c>
      <c r="C1131" s="9">
        <v>1915</v>
      </c>
      <c r="D1131" s="10">
        <v>45639</v>
      </c>
      <c r="E1131" s="13" t="str">
        <f>+HYPERLINK("http://trademark.i-assist.jp/data/china/image_1915th/80979003.pdf","80979003")</f>
        <v>80979003</v>
      </c>
      <c r="F1131" s="12" t="s">
        <v>3168</v>
      </c>
      <c r="G1131" s="9" t="s">
        <v>3169</v>
      </c>
      <c r="H1131" s="9" t="s">
        <v>3170</v>
      </c>
      <c r="I1131" s="10">
        <v>45553</v>
      </c>
    </row>
    <row r="1132" spans="1:9" x14ac:dyDescent="0.15">
      <c r="A1132" s="9">
        <v>1131</v>
      </c>
      <c r="B1132" s="9" t="s">
        <v>9</v>
      </c>
      <c r="C1132" s="9">
        <v>1915</v>
      </c>
      <c r="D1132" s="10">
        <v>45639</v>
      </c>
      <c r="E1132" s="13" t="str">
        <f>+HYPERLINK("http://trademark.i-assist.jp/data/china/image_1915th/80979083.pdf","80979083")</f>
        <v>80979083</v>
      </c>
      <c r="F1132" s="9" t="s">
        <v>3171</v>
      </c>
      <c r="G1132" s="9" t="s">
        <v>3172</v>
      </c>
      <c r="H1132" s="12" t="s">
        <v>3173</v>
      </c>
      <c r="I1132" s="10">
        <v>45553</v>
      </c>
    </row>
    <row r="1133" spans="1:9" x14ac:dyDescent="0.15">
      <c r="A1133" s="9">
        <v>1132</v>
      </c>
      <c r="B1133" s="9" t="s">
        <v>9</v>
      </c>
      <c r="C1133" s="9">
        <v>1915</v>
      </c>
      <c r="D1133" s="10">
        <v>45639</v>
      </c>
      <c r="E1133" s="13" t="str">
        <f>+HYPERLINK("http://trademark.i-assist.jp/data/china/image_1915th/80979205.pdf","80979205")</f>
        <v>80979205</v>
      </c>
      <c r="F1133" s="9" t="s">
        <v>3174</v>
      </c>
      <c r="G1133" s="9" t="s">
        <v>3016</v>
      </c>
      <c r="H1133" s="9" t="s">
        <v>3175</v>
      </c>
      <c r="I1133" s="10">
        <v>45553</v>
      </c>
    </row>
    <row r="1134" spans="1:9" x14ac:dyDescent="0.15">
      <c r="A1134" s="9">
        <v>1133</v>
      </c>
      <c r="B1134" s="9" t="s">
        <v>9</v>
      </c>
      <c r="C1134" s="9">
        <v>1915</v>
      </c>
      <c r="D1134" s="10">
        <v>45639</v>
      </c>
      <c r="E1134" s="13" t="str">
        <f>+HYPERLINK("http://trademark.i-assist.jp/data/china/image_1915th/80979235.pdf","80979235")</f>
        <v>80979235</v>
      </c>
      <c r="F1134" s="9" t="s">
        <v>3176</v>
      </c>
      <c r="G1134" s="9" t="s">
        <v>3177</v>
      </c>
      <c r="H1134" s="9" t="s">
        <v>3178</v>
      </c>
      <c r="I1134" s="10">
        <v>45553</v>
      </c>
    </row>
    <row r="1135" spans="1:9" x14ac:dyDescent="0.15">
      <c r="A1135" s="9">
        <v>1134</v>
      </c>
      <c r="B1135" s="9" t="s">
        <v>9</v>
      </c>
      <c r="C1135" s="9">
        <v>1915</v>
      </c>
      <c r="D1135" s="10">
        <v>45639</v>
      </c>
      <c r="E1135" s="13" t="str">
        <f>+HYPERLINK("http://trademark.i-assist.jp/data/china/image_1915th/80979304.pdf","80979304")</f>
        <v>80979304</v>
      </c>
      <c r="F1135" s="9" t="s">
        <v>3179</v>
      </c>
      <c r="G1135" s="12" t="s">
        <v>3180</v>
      </c>
      <c r="H1135" s="9" t="s">
        <v>3181</v>
      </c>
      <c r="I1135" s="10">
        <v>45553</v>
      </c>
    </row>
    <row r="1136" spans="1:9" x14ac:dyDescent="0.15">
      <c r="A1136" s="9">
        <v>1135</v>
      </c>
      <c r="B1136" s="9" t="s">
        <v>9</v>
      </c>
      <c r="C1136" s="9">
        <v>1915</v>
      </c>
      <c r="D1136" s="10">
        <v>45639</v>
      </c>
      <c r="E1136" s="13" t="str">
        <f>+HYPERLINK("http://trademark.i-assist.jp/data/china/image_1915th/80979509.pdf","80979509")</f>
        <v>80979509</v>
      </c>
      <c r="F1136" s="9" t="s">
        <v>3182</v>
      </c>
      <c r="G1136" s="9" t="s">
        <v>3183</v>
      </c>
      <c r="H1136" s="9" t="s">
        <v>3184</v>
      </c>
      <c r="I1136" s="10">
        <v>45553</v>
      </c>
    </row>
    <row r="1137" spans="1:9" x14ac:dyDescent="0.15">
      <c r="A1137" s="9">
        <v>1136</v>
      </c>
      <c r="B1137" s="9" t="s">
        <v>9</v>
      </c>
      <c r="C1137" s="9">
        <v>1915</v>
      </c>
      <c r="D1137" s="10">
        <v>45639</v>
      </c>
      <c r="E1137" s="13" t="str">
        <f>+HYPERLINK("http://trademark.i-assist.jp/data/china/image_1915th/80979571.pdf","80979571")</f>
        <v>80979571</v>
      </c>
      <c r="F1137" s="9" t="s">
        <v>3185</v>
      </c>
      <c r="G1137" s="9" t="s">
        <v>3186</v>
      </c>
      <c r="H1137" s="12" t="s">
        <v>3187</v>
      </c>
      <c r="I1137" s="10">
        <v>45553</v>
      </c>
    </row>
    <row r="1138" spans="1:9" x14ac:dyDescent="0.15">
      <c r="A1138" s="9">
        <v>1137</v>
      </c>
      <c r="B1138" s="9" t="s">
        <v>9</v>
      </c>
      <c r="C1138" s="9">
        <v>1915</v>
      </c>
      <c r="D1138" s="10">
        <v>45639</v>
      </c>
      <c r="E1138" s="13" t="str">
        <f>+HYPERLINK("http://trademark.i-assist.jp/data/china/image_1915th/80979999.pdf","80979999")</f>
        <v>80979999</v>
      </c>
      <c r="F1138" s="9" t="s">
        <v>3188</v>
      </c>
      <c r="G1138" s="9" t="s">
        <v>3189</v>
      </c>
      <c r="H1138" s="12" t="s">
        <v>3190</v>
      </c>
      <c r="I1138" s="10">
        <v>45553</v>
      </c>
    </row>
    <row r="1139" spans="1:9" x14ac:dyDescent="0.15">
      <c r="A1139" s="9">
        <v>1138</v>
      </c>
      <c r="B1139" s="9" t="s">
        <v>9</v>
      </c>
      <c r="C1139" s="9">
        <v>1915</v>
      </c>
      <c r="D1139" s="10">
        <v>45639</v>
      </c>
      <c r="E1139" s="13" t="str">
        <f>+HYPERLINK("http://trademark.i-assist.jp/data/china/image_1915th/80980443.pdf","80980443")</f>
        <v>80980443</v>
      </c>
      <c r="F1139" s="9" t="s">
        <v>3191</v>
      </c>
      <c r="G1139" s="12" t="s">
        <v>3058</v>
      </c>
      <c r="H1139" s="9" t="s">
        <v>3192</v>
      </c>
      <c r="I1139" s="10">
        <v>45553</v>
      </c>
    </row>
    <row r="1140" spans="1:9" x14ac:dyDescent="0.15">
      <c r="A1140" s="9">
        <v>1139</v>
      </c>
      <c r="B1140" s="9" t="s">
        <v>9</v>
      </c>
      <c r="C1140" s="9">
        <v>1915</v>
      </c>
      <c r="D1140" s="10">
        <v>45639</v>
      </c>
      <c r="E1140" s="13" t="str">
        <f>+HYPERLINK("http://trademark.i-assist.jp/data/china/image_1915th/80980502.pdf","80980502")</f>
        <v>80980502</v>
      </c>
      <c r="F1140" s="12" t="s">
        <v>3193</v>
      </c>
      <c r="G1140" s="9" t="s">
        <v>3194</v>
      </c>
      <c r="H1140" s="9" t="s">
        <v>3195</v>
      </c>
      <c r="I1140" s="10">
        <v>45553</v>
      </c>
    </row>
    <row r="1141" spans="1:9" x14ac:dyDescent="0.15">
      <c r="A1141" s="9">
        <v>1140</v>
      </c>
      <c r="B1141" s="9" t="s">
        <v>9</v>
      </c>
      <c r="C1141" s="9">
        <v>1915</v>
      </c>
      <c r="D1141" s="10">
        <v>45639</v>
      </c>
      <c r="E1141" s="13" t="str">
        <f>+HYPERLINK("http://trademark.i-assist.jp/data/china/image_1915th/80980567.pdf","80980567")</f>
        <v>80980567</v>
      </c>
      <c r="F1141" s="9" t="s">
        <v>3196</v>
      </c>
      <c r="G1141" s="9" t="s">
        <v>2996</v>
      </c>
      <c r="H1141" s="12" t="s">
        <v>3197</v>
      </c>
      <c r="I1141" s="10">
        <v>45553</v>
      </c>
    </row>
    <row r="1142" spans="1:9" x14ac:dyDescent="0.15">
      <c r="A1142" s="9">
        <v>1141</v>
      </c>
      <c r="B1142" s="9" t="s">
        <v>9</v>
      </c>
      <c r="C1142" s="9">
        <v>1915</v>
      </c>
      <c r="D1142" s="10">
        <v>45639</v>
      </c>
      <c r="E1142" s="13" t="str">
        <f>+HYPERLINK("http://trademark.i-assist.jp/data/china/image_1915th/80981211.pdf","80981211")</f>
        <v>80981211</v>
      </c>
      <c r="F1142" s="9" t="s">
        <v>3198</v>
      </c>
      <c r="G1142" s="9" t="s">
        <v>3199</v>
      </c>
      <c r="H1142" s="9" t="s">
        <v>3200</v>
      </c>
      <c r="I1142" s="10">
        <v>45554</v>
      </c>
    </row>
    <row r="1143" spans="1:9" x14ac:dyDescent="0.15">
      <c r="A1143" s="9">
        <v>1142</v>
      </c>
      <c r="B1143" s="9" t="s">
        <v>9</v>
      </c>
      <c r="C1143" s="9">
        <v>1915</v>
      </c>
      <c r="D1143" s="10">
        <v>45639</v>
      </c>
      <c r="E1143" s="13" t="str">
        <f>+HYPERLINK("http://trademark.i-assist.jp/data/china/image_1915th/80981356.pdf","80981356")</f>
        <v>80981356</v>
      </c>
      <c r="F1143" s="9" t="s">
        <v>3201</v>
      </c>
      <c r="G1143" s="12" t="s">
        <v>3202</v>
      </c>
      <c r="H1143" s="9" t="s">
        <v>3203</v>
      </c>
      <c r="I1143" s="10">
        <v>45554</v>
      </c>
    </row>
    <row r="1144" spans="1:9" x14ac:dyDescent="0.15">
      <c r="A1144" s="9">
        <v>1143</v>
      </c>
      <c r="B1144" s="9" t="s">
        <v>9</v>
      </c>
      <c r="C1144" s="9">
        <v>1915</v>
      </c>
      <c r="D1144" s="10">
        <v>45639</v>
      </c>
      <c r="E1144" s="13" t="str">
        <f>+HYPERLINK("http://trademark.i-assist.jp/data/china/image_1915th/80981538.pdf","80981538")</f>
        <v>80981538</v>
      </c>
      <c r="F1144" s="12" t="s">
        <v>3204</v>
      </c>
      <c r="G1144" s="9" t="s">
        <v>3205</v>
      </c>
      <c r="H1144" s="9" t="s">
        <v>3206</v>
      </c>
      <c r="I1144" s="10">
        <v>45554</v>
      </c>
    </row>
    <row r="1145" spans="1:9" x14ac:dyDescent="0.15">
      <c r="A1145" s="9">
        <v>1144</v>
      </c>
      <c r="B1145" s="9" t="s">
        <v>9</v>
      </c>
      <c r="C1145" s="9">
        <v>1915</v>
      </c>
      <c r="D1145" s="10">
        <v>45639</v>
      </c>
      <c r="E1145" s="13" t="str">
        <f>+HYPERLINK("http://trademark.i-assist.jp/data/china/image_1915th/80981699.pdf","80981699")</f>
        <v>80981699</v>
      </c>
      <c r="F1145" s="9" t="s">
        <v>3207</v>
      </c>
      <c r="G1145" s="9" t="s">
        <v>3208</v>
      </c>
      <c r="H1145" s="9" t="s">
        <v>3209</v>
      </c>
      <c r="I1145" s="10">
        <v>45554</v>
      </c>
    </row>
    <row r="1146" spans="1:9" x14ac:dyDescent="0.15">
      <c r="A1146" s="9">
        <v>1145</v>
      </c>
      <c r="B1146" s="9" t="s">
        <v>9</v>
      </c>
      <c r="C1146" s="9">
        <v>1915</v>
      </c>
      <c r="D1146" s="10">
        <v>45639</v>
      </c>
      <c r="E1146" s="13" t="str">
        <f>+HYPERLINK("http://trademark.i-assist.jp/data/china/image_1915th/80981738.pdf","80981738")</f>
        <v>80981738</v>
      </c>
      <c r="F1146" s="9" t="s">
        <v>3210</v>
      </c>
      <c r="G1146" s="9" t="s">
        <v>3211</v>
      </c>
      <c r="H1146" s="9" t="s">
        <v>3212</v>
      </c>
      <c r="I1146" s="10">
        <v>45554</v>
      </c>
    </row>
    <row r="1147" spans="1:9" x14ac:dyDescent="0.15">
      <c r="A1147" s="9">
        <v>1146</v>
      </c>
      <c r="B1147" s="9" t="s">
        <v>9</v>
      </c>
      <c r="C1147" s="9">
        <v>1915</v>
      </c>
      <c r="D1147" s="10">
        <v>45639</v>
      </c>
      <c r="E1147" s="13" t="str">
        <f>+HYPERLINK("http://trademark.i-assist.jp/data/china/image_1915th/80981903.pdf","80981903")</f>
        <v>80981903</v>
      </c>
      <c r="F1147" s="9" t="s">
        <v>3213</v>
      </c>
      <c r="G1147" s="9" t="s">
        <v>1834</v>
      </c>
      <c r="H1147" s="9" t="s">
        <v>3214</v>
      </c>
      <c r="I1147" s="10">
        <v>45554</v>
      </c>
    </row>
    <row r="1148" spans="1:9" x14ac:dyDescent="0.15">
      <c r="A1148" s="9">
        <v>1147</v>
      </c>
      <c r="B1148" s="9" t="s">
        <v>9</v>
      </c>
      <c r="C1148" s="9">
        <v>1915</v>
      </c>
      <c r="D1148" s="10">
        <v>45639</v>
      </c>
      <c r="E1148" s="13" t="str">
        <f>+HYPERLINK("http://trademark.i-assist.jp/data/china/image_1915th/80982079.pdf","80982079")</f>
        <v>80982079</v>
      </c>
      <c r="F1148" s="12" t="s">
        <v>3215</v>
      </c>
      <c r="G1148" s="9" t="s">
        <v>3216</v>
      </c>
      <c r="H1148" s="9" t="s">
        <v>3217</v>
      </c>
      <c r="I1148" s="10">
        <v>45554</v>
      </c>
    </row>
    <row r="1149" spans="1:9" x14ac:dyDescent="0.15">
      <c r="A1149" s="9">
        <v>1148</v>
      </c>
      <c r="B1149" s="9" t="s">
        <v>9</v>
      </c>
      <c r="C1149" s="9">
        <v>1915</v>
      </c>
      <c r="D1149" s="10">
        <v>45639</v>
      </c>
      <c r="E1149" s="13" t="str">
        <f>+HYPERLINK("http://trademark.i-assist.jp/data/china/image_1915th/80982171.pdf","80982171")</f>
        <v>80982171</v>
      </c>
      <c r="F1149" s="12" t="s">
        <v>15</v>
      </c>
      <c r="G1149" s="9" t="s">
        <v>3218</v>
      </c>
      <c r="H1149" s="9" t="s">
        <v>3219</v>
      </c>
      <c r="I1149" s="10">
        <v>45554</v>
      </c>
    </row>
    <row r="1150" spans="1:9" x14ac:dyDescent="0.15">
      <c r="A1150" s="9">
        <v>1149</v>
      </c>
      <c r="B1150" s="9" t="s">
        <v>9</v>
      </c>
      <c r="C1150" s="9">
        <v>1915</v>
      </c>
      <c r="D1150" s="10">
        <v>45639</v>
      </c>
      <c r="E1150" s="13" t="str">
        <f>+HYPERLINK("http://trademark.i-assist.jp/data/china/image_1915th/80982247.pdf","80982247")</f>
        <v>80982247</v>
      </c>
      <c r="F1150" s="9" t="s">
        <v>3220</v>
      </c>
      <c r="G1150" s="12" t="s">
        <v>3221</v>
      </c>
      <c r="H1150" s="9" t="s">
        <v>3222</v>
      </c>
      <c r="I1150" s="10">
        <v>45554</v>
      </c>
    </row>
    <row r="1151" spans="1:9" x14ac:dyDescent="0.15">
      <c r="A1151" s="9">
        <v>1150</v>
      </c>
      <c r="B1151" s="9" t="s">
        <v>9</v>
      </c>
      <c r="C1151" s="9">
        <v>1915</v>
      </c>
      <c r="D1151" s="10">
        <v>45639</v>
      </c>
      <c r="E1151" s="13" t="str">
        <f>+HYPERLINK("http://trademark.i-assist.jp/data/china/image_1915th/80982388.pdf","80982388")</f>
        <v>80982388</v>
      </c>
      <c r="F1151" s="9" t="s">
        <v>3223</v>
      </c>
      <c r="G1151" s="9" t="s">
        <v>87</v>
      </c>
      <c r="H1151" s="9" t="s">
        <v>3224</v>
      </c>
      <c r="I1151" s="10">
        <v>45554</v>
      </c>
    </row>
    <row r="1152" spans="1:9" x14ac:dyDescent="0.15">
      <c r="A1152" s="9">
        <v>1151</v>
      </c>
      <c r="B1152" s="9" t="s">
        <v>9</v>
      </c>
      <c r="C1152" s="9">
        <v>1915</v>
      </c>
      <c r="D1152" s="10">
        <v>45639</v>
      </c>
      <c r="E1152" s="13" t="str">
        <f>+HYPERLINK("http://trademark.i-assist.jp/data/china/image_1915th/80982772.pdf","80982772")</f>
        <v>80982772</v>
      </c>
      <c r="F1152" s="9" t="s">
        <v>3225</v>
      </c>
      <c r="G1152" s="9" t="s">
        <v>3226</v>
      </c>
      <c r="H1152" s="9" t="s">
        <v>3227</v>
      </c>
      <c r="I1152" s="10">
        <v>45554</v>
      </c>
    </row>
    <row r="1153" spans="1:9" x14ac:dyDescent="0.15">
      <c r="A1153" s="9">
        <v>1152</v>
      </c>
      <c r="B1153" s="9" t="s">
        <v>9</v>
      </c>
      <c r="C1153" s="9">
        <v>1915</v>
      </c>
      <c r="D1153" s="10">
        <v>45639</v>
      </c>
      <c r="E1153" s="13" t="str">
        <f>+HYPERLINK("http://trademark.i-assist.jp/data/china/image_1915th/80982783.pdf","80982783")</f>
        <v>80982783</v>
      </c>
      <c r="F1153" s="9" t="s">
        <v>3228</v>
      </c>
      <c r="G1153" s="9" t="s">
        <v>3229</v>
      </c>
      <c r="H1153" s="9" t="s">
        <v>3230</v>
      </c>
      <c r="I1153" s="10">
        <v>45554</v>
      </c>
    </row>
    <row r="1154" spans="1:9" x14ac:dyDescent="0.15">
      <c r="A1154" s="9">
        <v>1153</v>
      </c>
      <c r="B1154" s="9" t="s">
        <v>9</v>
      </c>
      <c r="C1154" s="9">
        <v>1915</v>
      </c>
      <c r="D1154" s="10">
        <v>45639</v>
      </c>
      <c r="E1154" s="13" t="str">
        <f>+HYPERLINK("http://trademark.i-assist.jp/data/china/image_1915th/80982829.pdf","80982829")</f>
        <v>80982829</v>
      </c>
      <c r="F1154" s="9" t="s">
        <v>3231</v>
      </c>
      <c r="G1154" s="12" t="s">
        <v>3232</v>
      </c>
      <c r="H1154" s="9" t="s">
        <v>3233</v>
      </c>
      <c r="I1154" s="10">
        <v>45554</v>
      </c>
    </row>
    <row r="1155" spans="1:9" x14ac:dyDescent="0.15">
      <c r="A1155" s="9">
        <v>1154</v>
      </c>
      <c r="B1155" s="9" t="s">
        <v>9</v>
      </c>
      <c r="C1155" s="9">
        <v>1915</v>
      </c>
      <c r="D1155" s="10">
        <v>45639</v>
      </c>
      <c r="E1155" s="13" t="str">
        <f>+HYPERLINK("http://trademark.i-assist.jp/data/china/image_1915th/80983166.pdf","80983166")</f>
        <v>80983166</v>
      </c>
      <c r="F1155" s="9" t="s">
        <v>3234</v>
      </c>
      <c r="G1155" s="12" t="s">
        <v>3235</v>
      </c>
      <c r="H1155" s="9" t="s">
        <v>3236</v>
      </c>
      <c r="I1155" s="10">
        <v>45554</v>
      </c>
    </row>
    <row r="1156" spans="1:9" x14ac:dyDescent="0.15">
      <c r="A1156" s="9">
        <v>1155</v>
      </c>
      <c r="B1156" s="9" t="s">
        <v>9</v>
      </c>
      <c r="C1156" s="9">
        <v>1915</v>
      </c>
      <c r="D1156" s="10">
        <v>45639</v>
      </c>
      <c r="E1156" s="13" t="str">
        <f>+HYPERLINK("http://trademark.i-assist.jp/data/china/image_1915th/80983656.pdf","80983656")</f>
        <v>80983656</v>
      </c>
      <c r="F1156" s="9" t="s">
        <v>3237</v>
      </c>
      <c r="G1156" s="9" t="s">
        <v>87</v>
      </c>
      <c r="H1156" s="9" t="s">
        <v>3238</v>
      </c>
      <c r="I1156" s="10">
        <v>45554</v>
      </c>
    </row>
    <row r="1157" spans="1:9" x14ac:dyDescent="0.15">
      <c r="A1157" s="9">
        <v>1156</v>
      </c>
      <c r="B1157" s="9" t="s">
        <v>9</v>
      </c>
      <c r="C1157" s="9">
        <v>1915</v>
      </c>
      <c r="D1157" s="10">
        <v>45639</v>
      </c>
      <c r="E1157" s="13" t="str">
        <f>+HYPERLINK("http://trademark.i-assist.jp/data/china/image_1915th/80983707.pdf","80983707")</f>
        <v>80983707</v>
      </c>
      <c r="F1157" s="9" t="s">
        <v>3239</v>
      </c>
      <c r="G1157" s="9" t="s">
        <v>3240</v>
      </c>
      <c r="H1157" s="9" t="s">
        <v>3241</v>
      </c>
      <c r="I1157" s="10">
        <v>45554</v>
      </c>
    </row>
    <row r="1158" spans="1:9" x14ac:dyDescent="0.15">
      <c r="A1158" s="9">
        <v>1157</v>
      </c>
      <c r="B1158" s="9" t="s">
        <v>9</v>
      </c>
      <c r="C1158" s="9">
        <v>1915</v>
      </c>
      <c r="D1158" s="10">
        <v>45639</v>
      </c>
      <c r="E1158" s="13" t="str">
        <f>+HYPERLINK("http://trademark.i-assist.jp/data/china/image_1915th/80983793.pdf","80983793")</f>
        <v>80983793</v>
      </c>
      <c r="F1158" s="9" t="s">
        <v>3242</v>
      </c>
      <c r="G1158" s="12" t="s">
        <v>1623</v>
      </c>
      <c r="H1158" s="9" t="s">
        <v>3243</v>
      </c>
      <c r="I1158" s="10">
        <v>45554</v>
      </c>
    </row>
    <row r="1159" spans="1:9" x14ac:dyDescent="0.15">
      <c r="A1159" s="9">
        <v>1158</v>
      </c>
      <c r="B1159" s="9" t="s">
        <v>9</v>
      </c>
      <c r="C1159" s="9">
        <v>1915</v>
      </c>
      <c r="D1159" s="10">
        <v>45639</v>
      </c>
      <c r="E1159" s="13" t="str">
        <f>+HYPERLINK("http://trademark.i-assist.jp/data/china/image_1915th/80983865.pdf","80983865")</f>
        <v>80983865</v>
      </c>
      <c r="F1159" s="9" t="s">
        <v>3244</v>
      </c>
      <c r="G1159" s="9" t="s">
        <v>3245</v>
      </c>
      <c r="H1159" s="9" t="s">
        <v>3246</v>
      </c>
      <c r="I1159" s="10">
        <v>45554</v>
      </c>
    </row>
    <row r="1160" spans="1:9" x14ac:dyDescent="0.15">
      <c r="A1160" s="9">
        <v>1159</v>
      </c>
      <c r="B1160" s="9" t="s">
        <v>9</v>
      </c>
      <c r="C1160" s="9">
        <v>1915</v>
      </c>
      <c r="D1160" s="10">
        <v>45639</v>
      </c>
      <c r="E1160" s="13" t="str">
        <f>+HYPERLINK("http://trademark.i-assist.jp/data/china/image_1915th/80983900.pdf","80983900")</f>
        <v>80983900</v>
      </c>
      <c r="F1160" s="9" t="s">
        <v>3247</v>
      </c>
      <c r="G1160" s="9" t="s">
        <v>3248</v>
      </c>
      <c r="H1160" s="12" t="s">
        <v>3249</v>
      </c>
      <c r="I1160" s="10">
        <v>45554</v>
      </c>
    </row>
    <row r="1161" spans="1:9" x14ac:dyDescent="0.15">
      <c r="A1161" s="9">
        <v>1160</v>
      </c>
      <c r="B1161" s="9" t="s">
        <v>9</v>
      </c>
      <c r="C1161" s="9">
        <v>1915</v>
      </c>
      <c r="D1161" s="10">
        <v>45639</v>
      </c>
      <c r="E1161" s="13" t="str">
        <f>+HYPERLINK("http://trademark.i-assist.jp/data/china/image_1915th/80984437.pdf","80984437")</f>
        <v>80984437</v>
      </c>
      <c r="F1161" s="9" t="s">
        <v>3250</v>
      </c>
      <c r="G1161" s="9" t="s">
        <v>3251</v>
      </c>
      <c r="H1161" s="9" t="s">
        <v>3252</v>
      </c>
      <c r="I1161" s="10">
        <v>45554</v>
      </c>
    </row>
    <row r="1162" spans="1:9" x14ac:dyDescent="0.15">
      <c r="A1162" s="9">
        <v>1161</v>
      </c>
      <c r="B1162" s="9" t="s">
        <v>9</v>
      </c>
      <c r="C1162" s="9">
        <v>1915</v>
      </c>
      <c r="D1162" s="10">
        <v>45639</v>
      </c>
      <c r="E1162" s="13" t="str">
        <f>+HYPERLINK("http://trademark.i-assist.jp/data/china/image_1915th/80984546.pdf","80984546")</f>
        <v>80984546</v>
      </c>
      <c r="F1162" s="12" t="s">
        <v>3253</v>
      </c>
      <c r="G1162" s="9" t="s">
        <v>3254</v>
      </c>
      <c r="H1162" s="12" t="s">
        <v>3255</v>
      </c>
      <c r="I1162" s="10">
        <v>45554</v>
      </c>
    </row>
    <row r="1163" spans="1:9" x14ac:dyDescent="0.15">
      <c r="A1163" s="9">
        <v>1162</v>
      </c>
      <c r="B1163" s="9" t="s">
        <v>9</v>
      </c>
      <c r="C1163" s="9">
        <v>1915</v>
      </c>
      <c r="D1163" s="10">
        <v>45639</v>
      </c>
      <c r="E1163" s="13" t="str">
        <f>+HYPERLINK("http://trademark.i-assist.jp/data/china/image_1915th/80984555.pdf","80984555")</f>
        <v>80984555</v>
      </c>
      <c r="F1163" s="9" t="s">
        <v>3256</v>
      </c>
      <c r="G1163" s="9" t="s">
        <v>3257</v>
      </c>
      <c r="H1163" s="9" t="s">
        <v>3258</v>
      </c>
      <c r="I1163" s="10">
        <v>45554</v>
      </c>
    </row>
    <row r="1164" spans="1:9" x14ac:dyDescent="0.15">
      <c r="A1164" s="9">
        <v>1163</v>
      </c>
      <c r="B1164" s="9" t="s">
        <v>9</v>
      </c>
      <c r="C1164" s="9">
        <v>1915</v>
      </c>
      <c r="D1164" s="10">
        <v>45639</v>
      </c>
      <c r="E1164" s="13" t="str">
        <f>+HYPERLINK("http://trademark.i-assist.jp/data/china/image_1915th/80984742.pdf","80984742")</f>
        <v>80984742</v>
      </c>
      <c r="F1164" s="9" t="s">
        <v>3259</v>
      </c>
      <c r="G1164" s="12" t="s">
        <v>29</v>
      </c>
      <c r="H1164" s="9" t="s">
        <v>3260</v>
      </c>
      <c r="I1164" s="10">
        <v>45554</v>
      </c>
    </row>
    <row r="1165" spans="1:9" x14ac:dyDescent="0.15">
      <c r="A1165" s="9">
        <v>1164</v>
      </c>
      <c r="B1165" s="9" t="s">
        <v>9</v>
      </c>
      <c r="C1165" s="9">
        <v>1915</v>
      </c>
      <c r="D1165" s="10">
        <v>45639</v>
      </c>
      <c r="E1165" s="13" t="str">
        <f>+HYPERLINK("http://trademark.i-assist.jp/data/china/image_1915th/80984800.pdf","80984800")</f>
        <v>80984800</v>
      </c>
      <c r="F1165" s="9" t="s">
        <v>3261</v>
      </c>
      <c r="G1165" s="9" t="s">
        <v>3262</v>
      </c>
      <c r="H1165" s="9" t="s">
        <v>3263</v>
      </c>
      <c r="I1165" s="10">
        <v>45554</v>
      </c>
    </row>
    <row r="1166" spans="1:9" x14ac:dyDescent="0.15">
      <c r="A1166" s="9">
        <v>1165</v>
      </c>
      <c r="B1166" s="9" t="s">
        <v>9</v>
      </c>
      <c r="C1166" s="9">
        <v>1915</v>
      </c>
      <c r="D1166" s="10">
        <v>45639</v>
      </c>
      <c r="E1166" s="13" t="str">
        <f>+HYPERLINK("http://trademark.i-assist.jp/data/china/image_1915th/80984957.pdf","80984957")</f>
        <v>80984957</v>
      </c>
      <c r="F1166" s="9" t="s">
        <v>3264</v>
      </c>
      <c r="G1166" s="9" t="s">
        <v>3265</v>
      </c>
      <c r="H1166" s="9" t="s">
        <v>3266</v>
      </c>
      <c r="I1166" s="10">
        <v>45554</v>
      </c>
    </row>
    <row r="1167" spans="1:9" x14ac:dyDescent="0.15">
      <c r="A1167" s="9">
        <v>1166</v>
      </c>
      <c r="B1167" s="9" t="s">
        <v>9</v>
      </c>
      <c r="C1167" s="9">
        <v>1915</v>
      </c>
      <c r="D1167" s="10">
        <v>45639</v>
      </c>
      <c r="E1167" s="13" t="str">
        <f>+HYPERLINK("http://trademark.i-assist.jp/data/china/image_1915th/80984980.pdf","80984980")</f>
        <v>80984980</v>
      </c>
      <c r="F1167" s="9" t="s">
        <v>3267</v>
      </c>
      <c r="G1167" s="9" t="s">
        <v>3268</v>
      </c>
      <c r="H1167" s="9" t="s">
        <v>3269</v>
      </c>
      <c r="I1167" s="10">
        <v>45554</v>
      </c>
    </row>
    <row r="1168" spans="1:9" x14ac:dyDescent="0.15">
      <c r="A1168" s="9">
        <v>1167</v>
      </c>
      <c r="B1168" s="9" t="s">
        <v>9</v>
      </c>
      <c r="C1168" s="9">
        <v>1915</v>
      </c>
      <c r="D1168" s="10">
        <v>45639</v>
      </c>
      <c r="E1168" s="13" t="str">
        <f>+HYPERLINK("http://trademark.i-assist.jp/data/china/image_1915th/80985078.pdf","80985078")</f>
        <v>80985078</v>
      </c>
      <c r="F1168" s="9" t="s">
        <v>3270</v>
      </c>
      <c r="G1168" s="9" t="s">
        <v>3271</v>
      </c>
      <c r="H1168" s="9" t="s">
        <v>3272</v>
      </c>
      <c r="I1168" s="10">
        <v>45554</v>
      </c>
    </row>
    <row r="1169" spans="1:9" x14ac:dyDescent="0.15">
      <c r="A1169" s="9">
        <v>1168</v>
      </c>
      <c r="B1169" s="9" t="s">
        <v>9</v>
      </c>
      <c r="C1169" s="9">
        <v>1915</v>
      </c>
      <c r="D1169" s="10">
        <v>45639</v>
      </c>
      <c r="E1169" s="13" t="str">
        <f>+HYPERLINK("http://trademark.i-assist.jp/data/china/image_1915th/80985085.pdf","80985085")</f>
        <v>80985085</v>
      </c>
      <c r="F1169" s="12" t="s">
        <v>3273</v>
      </c>
      <c r="G1169" s="9" t="s">
        <v>57</v>
      </c>
      <c r="H1169" s="9" t="s">
        <v>3274</v>
      </c>
      <c r="I1169" s="10">
        <v>45554</v>
      </c>
    </row>
    <row r="1170" spans="1:9" x14ac:dyDescent="0.15">
      <c r="A1170" s="9">
        <v>1169</v>
      </c>
      <c r="B1170" s="9" t="s">
        <v>9</v>
      </c>
      <c r="C1170" s="9">
        <v>1915</v>
      </c>
      <c r="D1170" s="10">
        <v>45639</v>
      </c>
      <c r="E1170" s="13" t="str">
        <f>+HYPERLINK("http://trademark.i-assist.jp/data/china/image_1915th/80985118.pdf","80985118")</f>
        <v>80985118</v>
      </c>
      <c r="F1170" s="9" t="s">
        <v>3275</v>
      </c>
      <c r="G1170" s="9" t="s">
        <v>3276</v>
      </c>
      <c r="H1170" s="9" t="s">
        <v>3277</v>
      </c>
      <c r="I1170" s="10">
        <v>45554</v>
      </c>
    </row>
    <row r="1171" spans="1:9" x14ac:dyDescent="0.15">
      <c r="A1171" s="9">
        <v>1170</v>
      </c>
      <c r="B1171" s="9" t="s">
        <v>9</v>
      </c>
      <c r="C1171" s="9">
        <v>1915</v>
      </c>
      <c r="D1171" s="10">
        <v>45639</v>
      </c>
      <c r="E1171" s="13" t="str">
        <f>+HYPERLINK("http://trademark.i-assist.jp/data/china/image_1915th/80985364.pdf","80985364")</f>
        <v>80985364</v>
      </c>
      <c r="F1171" s="9" t="s">
        <v>3278</v>
      </c>
      <c r="G1171" s="9" t="s">
        <v>3279</v>
      </c>
      <c r="H1171" s="9" t="s">
        <v>3280</v>
      </c>
      <c r="I1171" s="10">
        <v>45554</v>
      </c>
    </row>
    <row r="1172" spans="1:9" x14ac:dyDescent="0.15">
      <c r="A1172" s="9">
        <v>1171</v>
      </c>
      <c r="B1172" s="9" t="s">
        <v>9</v>
      </c>
      <c r="C1172" s="9">
        <v>1915</v>
      </c>
      <c r="D1172" s="10">
        <v>45639</v>
      </c>
      <c r="E1172" s="13" t="str">
        <f>+HYPERLINK("http://trademark.i-assist.jp/data/china/image_1915th/80985375.pdf","80985375")</f>
        <v>80985375</v>
      </c>
      <c r="F1172" s="9" t="s">
        <v>3281</v>
      </c>
      <c r="G1172" s="9" t="s">
        <v>3199</v>
      </c>
      <c r="H1172" s="9" t="s">
        <v>3282</v>
      </c>
      <c r="I1172" s="10">
        <v>45554</v>
      </c>
    </row>
    <row r="1173" spans="1:9" x14ac:dyDescent="0.15">
      <c r="A1173" s="9">
        <v>1172</v>
      </c>
      <c r="B1173" s="9" t="s">
        <v>9</v>
      </c>
      <c r="C1173" s="9">
        <v>1915</v>
      </c>
      <c r="D1173" s="10">
        <v>45639</v>
      </c>
      <c r="E1173" s="13" t="str">
        <f>+HYPERLINK("http://trademark.i-assist.jp/data/china/image_1915th/80985508.pdf","80985508")</f>
        <v>80985508</v>
      </c>
      <c r="F1173" s="9" t="s">
        <v>3283</v>
      </c>
      <c r="G1173" s="9" t="s">
        <v>3284</v>
      </c>
      <c r="H1173" s="9" t="s">
        <v>3285</v>
      </c>
      <c r="I1173" s="10">
        <v>45554</v>
      </c>
    </row>
    <row r="1174" spans="1:9" x14ac:dyDescent="0.15">
      <c r="A1174" s="9">
        <v>1173</v>
      </c>
      <c r="B1174" s="9" t="s">
        <v>9</v>
      </c>
      <c r="C1174" s="9">
        <v>1915</v>
      </c>
      <c r="D1174" s="10">
        <v>45639</v>
      </c>
      <c r="E1174" s="13" t="str">
        <f>+HYPERLINK("http://trademark.i-assist.jp/data/china/image_1915th/80985572.pdf","80985572")</f>
        <v>80985572</v>
      </c>
      <c r="F1174" s="9" t="s">
        <v>3286</v>
      </c>
      <c r="G1174" s="9" t="s">
        <v>3287</v>
      </c>
      <c r="H1174" s="12" t="s">
        <v>3288</v>
      </c>
      <c r="I1174" s="10">
        <v>45554</v>
      </c>
    </row>
    <row r="1175" spans="1:9" x14ac:dyDescent="0.15">
      <c r="A1175" s="9">
        <v>1174</v>
      </c>
      <c r="B1175" s="9" t="s">
        <v>9</v>
      </c>
      <c r="C1175" s="9">
        <v>1915</v>
      </c>
      <c r="D1175" s="10">
        <v>45639</v>
      </c>
      <c r="E1175" s="13" t="str">
        <f>+HYPERLINK("http://trademark.i-assist.jp/data/china/image_1915th/80985632.pdf","80985632")</f>
        <v>80985632</v>
      </c>
      <c r="F1175" s="9" t="s">
        <v>3289</v>
      </c>
      <c r="G1175" s="9" t="s">
        <v>87</v>
      </c>
      <c r="H1175" s="9" t="s">
        <v>3290</v>
      </c>
      <c r="I1175" s="10">
        <v>45554</v>
      </c>
    </row>
    <row r="1176" spans="1:9" x14ac:dyDescent="0.15">
      <c r="A1176" s="9">
        <v>1175</v>
      </c>
      <c r="B1176" s="9" t="s">
        <v>9</v>
      </c>
      <c r="C1176" s="9">
        <v>1915</v>
      </c>
      <c r="D1176" s="10">
        <v>45639</v>
      </c>
      <c r="E1176" s="13" t="str">
        <f>+HYPERLINK("http://trademark.i-assist.jp/data/china/image_1915th/80985653.pdf","80985653")</f>
        <v>80985653</v>
      </c>
      <c r="F1176" s="11" t="s">
        <v>3291</v>
      </c>
      <c r="G1176" s="12" t="s">
        <v>3292</v>
      </c>
      <c r="H1176" s="9" t="s">
        <v>3293</v>
      </c>
      <c r="I1176" s="10">
        <v>45554</v>
      </c>
    </row>
    <row r="1177" spans="1:9" x14ac:dyDescent="0.15">
      <c r="A1177" s="9">
        <v>1176</v>
      </c>
      <c r="B1177" s="9" t="s">
        <v>9</v>
      </c>
      <c r="C1177" s="9">
        <v>1915</v>
      </c>
      <c r="D1177" s="10">
        <v>45639</v>
      </c>
      <c r="E1177" s="13" t="str">
        <f>+HYPERLINK("http://trademark.i-assist.jp/data/china/image_1915th/80985660.pdf","80985660")</f>
        <v>80985660</v>
      </c>
      <c r="F1177" s="9" t="s">
        <v>3294</v>
      </c>
      <c r="G1177" s="9" t="s">
        <v>3295</v>
      </c>
      <c r="H1177" s="9" t="s">
        <v>3296</v>
      </c>
      <c r="I1177" s="10">
        <v>45554</v>
      </c>
    </row>
    <row r="1178" spans="1:9" x14ac:dyDescent="0.15">
      <c r="A1178" s="9">
        <v>1177</v>
      </c>
      <c r="B1178" s="9" t="s">
        <v>9</v>
      </c>
      <c r="C1178" s="9">
        <v>1915</v>
      </c>
      <c r="D1178" s="10">
        <v>45639</v>
      </c>
      <c r="E1178" s="13" t="str">
        <f>+HYPERLINK("http://trademark.i-assist.jp/data/china/image_1915th/80985754.pdf","80985754")</f>
        <v>80985754</v>
      </c>
      <c r="F1178" s="9" t="s">
        <v>3297</v>
      </c>
      <c r="G1178" s="12" t="s">
        <v>3298</v>
      </c>
      <c r="H1178" s="9" t="s">
        <v>3299</v>
      </c>
      <c r="I1178" s="10">
        <v>45554</v>
      </c>
    </row>
    <row r="1179" spans="1:9" x14ac:dyDescent="0.15">
      <c r="A1179" s="9">
        <v>1178</v>
      </c>
      <c r="B1179" s="9" t="s">
        <v>9</v>
      </c>
      <c r="C1179" s="9">
        <v>1915</v>
      </c>
      <c r="D1179" s="10">
        <v>45639</v>
      </c>
      <c r="E1179" s="13" t="str">
        <f>+HYPERLINK("http://trademark.i-assist.jp/data/china/image_1915th/80985840.pdf","80985840")</f>
        <v>80985840</v>
      </c>
      <c r="F1179" s="9" t="s">
        <v>3300</v>
      </c>
      <c r="G1179" s="9" t="s">
        <v>3301</v>
      </c>
      <c r="H1179" s="9" t="s">
        <v>3302</v>
      </c>
      <c r="I1179" s="10">
        <v>45554</v>
      </c>
    </row>
    <row r="1180" spans="1:9" x14ac:dyDescent="0.15">
      <c r="A1180" s="9">
        <v>1179</v>
      </c>
      <c r="B1180" s="9" t="s">
        <v>9</v>
      </c>
      <c r="C1180" s="9">
        <v>1915</v>
      </c>
      <c r="D1180" s="10">
        <v>45639</v>
      </c>
      <c r="E1180" s="13" t="str">
        <f>+HYPERLINK("http://trademark.i-assist.jp/data/china/image_1915th/80985924.pdf","80985924")</f>
        <v>80985924</v>
      </c>
      <c r="F1180" s="9" t="s">
        <v>3303</v>
      </c>
      <c r="G1180" s="9" t="s">
        <v>3304</v>
      </c>
      <c r="H1180" s="9" t="s">
        <v>3305</v>
      </c>
      <c r="I1180" s="10">
        <v>45554</v>
      </c>
    </row>
    <row r="1181" spans="1:9" x14ac:dyDescent="0.15">
      <c r="A1181" s="9">
        <v>1180</v>
      </c>
      <c r="B1181" s="9" t="s">
        <v>9</v>
      </c>
      <c r="C1181" s="9">
        <v>1915</v>
      </c>
      <c r="D1181" s="10">
        <v>45639</v>
      </c>
      <c r="E1181" s="13" t="str">
        <f>+HYPERLINK("http://trademark.i-assist.jp/data/china/image_1915th/80986123.pdf","80986123")</f>
        <v>80986123</v>
      </c>
      <c r="F1181" s="9" t="s">
        <v>3306</v>
      </c>
      <c r="G1181" s="12" t="s">
        <v>3307</v>
      </c>
      <c r="H1181" s="9" t="s">
        <v>3308</v>
      </c>
      <c r="I1181" s="10">
        <v>45554</v>
      </c>
    </row>
    <row r="1182" spans="1:9" x14ac:dyDescent="0.15">
      <c r="A1182" s="9">
        <v>1181</v>
      </c>
      <c r="B1182" s="9" t="s">
        <v>9</v>
      </c>
      <c r="C1182" s="9">
        <v>1915</v>
      </c>
      <c r="D1182" s="10">
        <v>45639</v>
      </c>
      <c r="E1182" s="13" t="str">
        <f>+HYPERLINK("http://trademark.i-assist.jp/data/china/image_1915th/80986338.pdf","80986338")</f>
        <v>80986338</v>
      </c>
      <c r="F1182" s="9" t="s">
        <v>3309</v>
      </c>
      <c r="G1182" s="9" t="s">
        <v>3310</v>
      </c>
      <c r="H1182" s="9" t="s">
        <v>3311</v>
      </c>
      <c r="I1182" s="10">
        <v>45554</v>
      </c>
    </row>
    <row r="1183" spans="1:9" x14ac:dyDescent="0.15">
      <c r="A1183" s="9">
        <v>1182</v>
      </c>
      <c r="B1183" s="9" t="s">
        <v>9</v>
      </c>
      <c r="C1183" s="9">
        <v>1915</v>
      </c>
      <c r="D1183" s="10">
        <v>45639</v>
      </c>
      <c r="E1183" s="13" t="str">
        <f>+HYPERLINK("http://trademark.i-assist.jp/data/china/image_1915th/80987183.pdf","80987183")</f>
        <v>80987183</v>
      </c>
      <c r="F1183" s="12" t="s">
        <v>3312</v>
      </c>
      <c r="G1183" s="9" t="s">
        <v>532</v>
      </c>
      <c r="H1183" s="9" t="s">
        <v>3313</v>
      </c>
      <c r="I1183" s="10">
        <v>45554</v>
      </c>
    </row>
    <row r="1184" spans="1:9" x14ac:dyDescent="0.15">
      <c r="A1184" s="9">
        <v>1183</v>
      </c>
      <c r="B1184" s="9" t="s">
        <v>9</v>
      </c>
      <c r="C1184" s="9">
        <v>1915</v>
      </c>
      <c r="D1184" s="10">
        <v>45639</v>
      </c>
      <c r="E1184" s="13" t="str">
        <f>+HYPERLINK("http://trademark.i-assist.jp/data/china/image_1915th/80987216.pdf","80987216")</f>
        <v>80987216</v>
      </c>
      <c r="F1184" s="9" t="s">
        <v>3314</v>
      </c>
      <c r="G1184" s="9" t="s">
        <v>3315</v>
      </c>
      <c r="H1184" s="9" t="s">
        <v>3316</v>
      </c>
      <c r="I1184" s="10">
        <v>45554</v>
      </c>
    </row>
    <row r="1185" spans="1:9" x14ac:dyDescent="0.15">
      <c r="A1185" s="9">
        <v>1184</v>
      </c>
      <c r="B1185" s="9" t="s">
        <v>9</v>
      </c>
      <c r="C1185" s="9">
        <v>1915</v>
      </c>
      <c r="D1185" s="10">
        <v>45639</v>
      </c>
      <c r="E1185" s="13" t="str">
        <f>+HYPERLINK("http://trademark.i-assist.jp/data/china/image_1915th/80987297.pdf","80987297")</f>
        <v>80987297</v>
      </c>
      <c r="F1185" s="12" t="s">
        <v>15</v>
      </c>
      <c r="G1185" s="12" t="s">
        <v>384</v>
      </c>
      <c r="H1185" s="9" t="s">
        <v>3317</v>
      </c>
      <c r="I1185" s="10">
        <v>45554</v>
      </c>
    </row>
    <row r="1186" spans="1:9" x14ac:dyDescent="0.15">
      <c r="A1186" s="9">
        <v>1185</v>
      </c>
      <c r="B1186" s="9" t="s">
        <v>9</v>
      </c>
      <c r="C1186" s="9">
        <v>1915</v>
      </c>
      <c r="D1186" s="10">
        <v>45639</v>
      </c>
      <c r="E1186" s="13" t="str">
        <f>+HYPERLINK("http://trademark.i-assist.jp/data/china/image_1915th/80987371.pdf","80987371")</f>
        <v>80987371</v>
      </c>
      <c r="F1186" s="9" t="s">
        <v>3318</v>
      </c>
      <c r="G1186" s="9" t="s">
        <v>3319</v>
      </c>
      <c r="H1186" s="9" t="s">
        <v>3320</v>
      </c>
      <c r="I1186" s="10">
        <v>45554</v>
      </c>
    </row>
    <row r="1187" spans="1:9" x14ac:dyDescent="0.15">
      <c r="A1187" s="9">
        <v>1186</v>
      </c>
      <c r="B1187" s="9" t="s">
        <v>9</v>
      </c>
      <c r="C1187" s="9">
        <v>1915</v>
      </c>
      <c r="D1187" s="10">
        <v>45639</v>
      </c>
      <c r="E1187" s="13" t="str">
        <f>+HYPERLINK("http://trademark.i-assist.jp/data/china/image_1915th/80987374.pdf","80987374")</f>
        <v>80987374</v>
      </c>
      <c r="F1187" s="9" t="s">
        <v>3321</v>
      </c>
      <c r="G1187" s="9" t="s">
        <v>3322</v>
      </c>
      <c r="H1187" s="9" t="s">
        <v>3323</v>
      </c>
      <c r="I1187" s="10">
        <v>45554</v>
      </c>
    </row>
    <row r="1188" spans="1:9" x14ac:dyDescent="0.15">
      <c r="A1188" s="9">
        <v>1187</v>
      </c>
      <c r="B1188" s="9" t="s">
        <v>9</v>
      </c>
      <c r="C1188" s="9">
        <v>1915</v>
      </c>
      <c r="D1188" s="10">
        <v>45639</v>
      </c>
      <c r="E1188" s="13" t="str">
        <f>+HYPERLINK("http://trademark.i-assist.jp/data/china/image_1915th/80987501.pdf","80987501")</f>
        <v>80987501</v>
      </c>
      <c r="F1188" s="9" t="s">
        <v>3324</v>
      </c>
      <c r="G1188" s="9" t="s">
        <v>3276</v>
      </c>
      <c r="H1188" s="12" t="s">
        <v>3325</v>
      </c>
      <c r="I1188" s="10">
        <v>45554</v>
      </c>
    </row>
    <row r="1189" spans="1:9" x14ac:dyDescent="0.15">
      <c r="A1189" s="9">
        <v>1188</v>
      </c>
      <c r="B1189" s="9" t="s">
        <v>9</v>
      </c>
      <c r="C1189" s="9">
        <v>1915</v>
      </c>
      <c r="D1189" s="10">
        <v>45639</v>
      </c>
      <c r="E1189" s="13" t="str">
        <f>+HYPERLINK("http://trademark.i-assist.jp/data/china/image_1915th/80987571.pdf","80987571")</f>
        <v>80987571</v>
      </c>
      <c r="F1189" s="9" t="s">
        <v>3326</v>
      </c>
      <c r="G1189" s="12" t="s">
        <v>3327</v>
      </c>
      <c r="H1189" s="9" t="s">
        <v>3328</v>
      </c>
      <c r="I1189" s="10">
        <v>45554</v>
      </c>
    </row>
    <row r="1190" spans="1:9" x14ac:dyDescent="0.15">
      <c r="A1190" s="9">
        <v>1189</v>
      </c>
      <c r="B1190" s="9" t="s">
        <v>9</v>
      </c>
      <c r="C1190" s="9">
        <v>1915</v>
      </c>
      <c r="D1190" s="10">
        <v>45639</v>
      </c>
      <c r="E1190" s="13" t="str">
        <f>+HYPERLINK("http://trademark.i-assist.jp/data/china/image_1915th/80987613.pdf","80987613")</f>
        <v>80987613</v>
      </c>
      <c r="F1190" s="9" t="s">
        <v>3329</v>
      </c>
      <c r="G1190" s="12" t="s">
        <v>3330</v>
      </c>
      <c r="H1190" s="9" t="s">
        <v>3331</v>
      </c>
      <c r="I1190" s="10">
        <v>45554</v>
      </c>
    </row>
    <row r="1191" spans="1:9" x14ac:dyDescent="0.15">
      <c r="A1191" s="9">
        <v>1190</v>
      </c>
      <c r="B1191" s="9" t="s">
        <v>9</v>
      </c>
      <c r="C1191" s="9">
        <v>1915</v>
      </c>
      <c r="D1191" s="10">
        <v>45639</v>
      </c>
      <c r="E1191" s="13" t="str">
        <f>+HYPERLINK("http://trademark.i-assist.jp/data/china/image_1915th/80987684.pdf","80987684")</f>
        <v>80987684</v>
      </c>
      <c r="F1191" s="9" t="s">
        <v>3332</v>
      </c>
      <c r="G1191" s="9" t="s">
        <v>3333</v>
      </c>
      <c r="H1191" s="9" t="s">
        <v>3334</v>
      </c>
      <c r="I1191" s="10">
        <v>45554</v>
      </c>
    </row>
    <row r="1192" spans="1:9" x14ac:dyDescent="0.15">
      <c r="A1192" s="9">
        <v>1191</v>
      </c>
      <c r="B1192" s="9" t="s">
        <v>9</v>
      </c>
      <c r="C1192" s="9">
        <v>1915</v>
      </c>
      <c r="D1192" s="10">
        <v>45639</v>
      </c>
      <c r="E1192" s="13" t="str">
        <f>+HYPERLINK("http://trademark.i-assist.jp/data/china/image_1915th/80987723.pdf","80987723")</f>
        <v>80987723</v>
      </c>
      <c r="F1192" s="9" t="s">
        <v>3335</v>
      </c>
      <c r="G1192" s="9" t="s">
        <v>3336</v>
      </c>
      <c r="H1192" s="9" t="s">
        <v>3337</v>
      </c>
      <c r="I1192" s="10">
        <v>45554</v>
      </c>
    </row>
    <row r="1193" spans="1:9" x14ac:dyDescent="0.15">
      <c r="A1193" s="9">
        <v>1192</v>
      </c>
      <c r="B1193" s="9" t="s">
        <v>9</v>
      </c>
      <c r="C1193" s="9">
        <v>1915</v>
      </c>
      <c r="D1193" s="10">
        <v>45639</v>
      </c>
      <c r="E1193" s="13" t="str">
        <f>+HYPERLINK("http://trademark.i-assist.jp/data/china/image_1915th/80988120.pdf","80988120")</f>
        <v>80988120</v>
      </c>
      <c r="F1193" s="12" t="s">
        <v>3338</v>
      </c>
      <c r="G1193" s="12" t="s">
        <v>877</v>
      </c>
      <c r="H1193" s="9" t="s">
        <v>3339</v>
      </c>
      <c r="I1193" s="10">
        <v>45554</v>
      </c>
    </row>
    <row r="1194" spans="1:9" x14ac:dyDescent="0.15">
      <c r="A1194" s="9">
        <v>1193</v>
      </c>
      <c r="B1194" s="9" t="s">
        <v>9</v>
      </c>
      <c r="C1194" s="9">
        <v>1915</v>
      </c>
      <c r="D1194" s="10">
        <v>45639</v>
      </c>
      <c r="E1194" s="13" t="str">
        <f>+HYPERLINK("http://trademark.i-assist.jp/data/china/image_1915th/80988210.pdf","80988210")</f>
        <v>80988210</v>
      </c>
      <c r="F1194" s="12" t="s">
        <v>3340</v>
      </c>
      <c r="G1194" s="9" t="s">
        <v>3341</v>
      </c>
      <c r="H1194" s="12" t="s">
        <v>3342</v>
      </c>
      <c r="I1194" s="10">
        <v>45554</v>
      </c>
    </row>
    <row r="1195" spans="1:9" x14ac:dyDescent="0.15">
      <c r="A1195" s="9">
        <v>1194</v>
      </c>
      <c r="B1195" s="9" t="s">
        <v>9</v>
      </c>
      <c r="C1195" s="9">
        <v>1915</v>
      </c>
      <c r="D1195" s="10">
        <v>45639</v>
      </c>
      <c r="E1195" s="13" t="str">
        <f>+HYPERLINK("http://trademark.i-assist.jp/data/china/image_1915th/80988277.pdf","80988277")</f>
        <v>80988277</v>
      </c>
      <c r="F1195" s="12" t="s">
        <v>3343</v>
      </c>
      <c r="G1195" s="9" t="s">
        <v>3344</v>
      </c>
      <c r="H1195" s="9" t="s">
        <v>3345</v>
      </c>
      <c r="I1195" s="10">
        <v>45554</v>
      </c>
    </row>
    <row r="1196" spans="1:9" x14ac:dyDescent="0.15">
      <c r="A1196" s="9">
        <v>1195</v>
      </c>
      <c r="B1196" s="9" t="s">
        <v>9</v>
      </c>
      <c r="C1196" s="9">
        <v>1915</v>
      </c>
      <c r="D1196" s="10">
        <v>45639</v>
      </c>
      <c r="E1196" s="13" t="str">
        <f>+HYPERLINK("http://trademark.i-assist.jp/data/china/image_1915th/80988663.pdf","80988663")</f>
        <v>80988663</v>
      </c>
      <c r="F1196" s="9" t="s">
        <v>3346</v>
      </c>
      <c r="G1196" s="9" t="s">
        <v>3347</v>
      </c>
      <c r="H1196" s="12" t="s">
        <v>3348</v>
      </c>
      <c r="I1196" s="10">
        <v>45554</v>
      </c>
    </row>
    <row r="1197" spans="1:9" x14ac:dyDescent="0.15">
      <c r="A1197" s="9">
        <v>1196</v>
      </c>
      <c r="B1197" s="9" t="s">
        <v>9</v>
      </c>
      <c r="C1197" s="9">
        <v>1915</v>
      </c>
      <c r="D1197" s="10">
        <v>45639</v>
      </c>
      <c r="E1197" s="13" t="str">
        <f>+HYPERLINK("http://trademark.i-assist.jp/data/china/image_1915th/80988686.pdf","80988686")</f>
        <v>80988686</v>
      </c>
      <c r="F1197" s="9" t="s">
        <v>3349</v>
      </c>
      <c r="G1197" s="9" t="s">
        <v>3350</v>
      </c>
      <c r="H1197" s="9" t="s">
        <v>3351</v>
      </c>
      <c r="I1197" s="10">
        <v>45554</v>
      </c>
    </row>
    <row r="1198" spans="1:9" x14ac:dyDescent="0.15">
      <c r="A1198" s="9">
        <v>1197</v>
      </c>
      <c r="B1198" s="9" t="s">
        <v>9</v>
      </c>
      <c r="C1198" s="9">
        <v>1915</v>
      </c>
      <c r="D1198" s="10">
        <v>45639</v>
      </c>
      <c r="E1198" s="13" t="str">
        <f>+HYPERLINK("http://trademark.i-assist.jp/data/china/image_1915th/80988738.pdf","80988738")</f>
        <v>80988738</v>
      </c>
      <c r="F1198" s="9" t="s">
        <v>3352</v>
      </c>
      <c r="G1198" s="9" t="s">
        <v>3353</v>
      </c>
      <c r="H1198" s="9" t="s">
        <v>3354</v>
      </c>
      <c r="I1198" s="10">
        <v>45554</v>
      </c>
    </row>
    <row r="1199" spans="1:9" x14ac:dyDescent="0.15">
      <c r="A1199" s="9">
        <v>1198</v>
      </c>
      <c r="B1199" s="9" t="s">
        <v>9</v>
      </c>
      <c r="C1199" s="9">
        <v>1915</v>
      </c>
      <c r="D1199" s="10">
        <v>45639</v>
      </c>
      <c r="E1199" s="13" t="str">
        <f>+HYPERLINK("http://trademark.i-assist.jp/data/china/image_1915th/80988788.pdf","80988788")</f>
        <v>80988788</v>
      </c>
      <c r="F1199" s="9" t="s">
        <v>3355</v>
      </c>
      <c r="G1199" s="12" t="s">
        <v>3356</v>
      </c>
      <c r="H1199" s="9" t="s">
        <v>3357</v>
      </c>
      <c r="I1199" s="10">
        <v>45554</v>
      </c>
    </row>
    <row r="1200" spans="1:9" x14ac:dyDescent="0.15">
      <c r="A1200" s="9">
        <v>1199</v>
      </c>
      <c r="B1200" s="9" t="s">
        <v>9</v>
      </c>
      <c r="C1200" s="9">
        <v>1915</v>
      </c>
      <c r="D1200" s="10">
        <v>45639</v>
      </c>
      <c r="E1200" s="13" t="str">
        <f>+HYPERLINK("http://trademark.i-assist.jp/data/china/image_1915th/80988814.pdf","80988814")</f>
        <v>80988814</v>
      </c>
      <c r="F1200" s="9" t="s">
        <v>3358</v>
      </c>
      <c r="G1200" s="12" t="s">
        <v>29</v>
      </c>
      <c r="H1200" s="9" t="s">
        <v>3359</v>
      </c>
      <c r="I1200" s="10">
        <v>45554</v>
      </c>
    </row>
    <row r="1201" spans="1:9" x14ac:dyDescent="0.15">
      <c r="A1201" s="9">
        <v>1200</v>
      </c>
      <c r="B1201" s="9" t="s">
        <v>9</v>
      </c>
      <c r="C1201" s="9">
        <v>1915</v>
      </c>
      <c r="D1201" s="10">
        <v>45639</v>
      </c>
      <c r="E1201" s="13" t="str">
        <f>+HYPERLINK("http://trademark.i-assist.jp/data/china/image_1915th/80989084.pdf","80989084")</f>
        <v>80989084</v>
      </c>
      <c r="F1201" s="9" t="s">
        <v>3360</v>
      </c>
      <c r="G1201" s="9" t="s">
        <v>3361</v>
      </c>
      <c r="H1201" s="9" t="s">
        <v>3362</v>
      </c>
      <c r="I1201" s="10">
        <v>45554</v>
      </c>
    </row>
    <row r="1202" spans="1:9" x14ac:dyDescent="0.15">
      <c r="A1202" s="9">
        <v>1201</v>
      </c>
      <c r="B1202" s="9" t="s">
        <v>9</v>
      </c>
      <c r="C1202" s="9">
        <v>1915</v>
      </c>
      <c r="D1202" s="10">
        <v>45639</v>
      </c>
      <c r="E1202" s="13" t="str">
        <f>+HYPERLINK("http://trademark.i-assist.jp/data/china/image_1915th/80989325.pdf","80989325")</f>
        <v>80989325</v>
      </c>
      <c r="F1202" s="12" t="s">
        <v>3363</v>
      </c>
      <c r="G1202" s="9" t="s">
        <v>3364</v>
      </c>
      <c r="H1202" s="9" t="s">
        <v>3365</v>
      </c>
      <c r="I1202" s="10">
        <v>45554</v>
      </c>
    </row>
    <row r="1203" spans="1:9" x14ac:dyDescent="0.15">
      <c r="A1203" s="9">
        <v>1202</v>
      </c>
      <c r="B1203" s="9" t="s">
        <v>9</v>
      </c>
      <c r="C1203" s="9">
        <v>1915</v>
      </c>
      <c r="D1203" s="10">
        <v>45639</v>
      </c>
      <c r="E1203" s="13" t="str">
        <f>+HYPERLINK("http://trademark.i-assist.jp/data/china/image_1915th/80989506.pdf","80989506")</f>
        <v>80989506</v>
      </c>
      <c r="F1203" s="9" t="s">
        <v>3366</v>
      </c>
      <c r="G1203" s="9" t="s">
        <v>3367</v>
      </c>
      <c r="H1203" s="9" t="s">
        <v>3368</v>
      </c>
      <c r="I1203" s="10">
        <v>45554</v>
      </c>
    </row>
    <row r="1204" spans="1:9" x14ac:dyDescent="0.15">
      <c r="A1204" s="9">
        <v>1203</v>
      </c>
      <c r="B1204" s="9" t="s">
        <v>9</v>
      </c>
      <c r="C1204" s="9">
        <v>1915</v>
      </c>
      <c r="D1204" s="10">
        <v>45639</v>
      </c>
      <c r="E1204" s="13" t="str">
        <f>+HYPERLINK("http://trademark.i-assist.jp/data/china/image_1915th/80989633.pdf","80989633")</f>
        <v>80989633</v>
      </c>
      <c r="F1204" s="9" t="s">
        <v>3369</v>
      </c>
      <c r="G1204" s="9" t="s">
        <v>3370</v>
      </c>
      <c r="H1204" s="9" t="s">
        <v>3371</v>
      </c>
      <c r="I1204" s="10">
        <v>45554</v>
      </c>
    </row>
    <row r="1205" spans="1:9" x14ac:dyDescent="0.15">
      <c r="A1205" s="9">
        <v>1204</v>
      </c>
      <c r="B1205" s="9" t="s">
        <v>9</v>
      </c>
      <c r="C1205" s="9">
        <v>1915</v>
      </c>
      <c r="D1205" s="10">
        <v>45639</v>
      </c>
      <c r="E1205" s="13" t="str">
        <f>+HYPERLINK("http://trademark.i-assist.jp/data/china/image_1915th/80989840.pdf","80989840")</f>
        <v>80989840</v>
      </c>
      <c r="F1205" s="12" t="s">
        <v>3372</v>
      </c>
      <c r="G1205" s="12" t="s">
        <v>3373</v>
      </c>
      <c r="H1205" s="9" t="s">
        <v>3374</v>
      </c>
      <c r="I1205" s="10">
        <v>45554</v>
      </c>
    </row>
    <row r="1206" spans="1:9" x14ac:dyDescent="0.15">
      <c r="A1206" s="9">
        <v>1205</v>
      </c>
      <c r="B1206" s="9" t="s">
        <v>9</v>
      </c>
      <c r="C1206" s="9">
        <v>1915</v>
      </c>
      <c r="D1206" s="10">
        <v>45639</v>
      </c>
      <c r="E1206" s="13" t="str">
        <f>+HYPERLINK("http://trademark.i-assist.jp/data/china/image_1915th/80989868.pdf","80989868")</f>
        <v>80989868</v>
      </c>
      <c r="F1206" s="12" t="s">
        <v>3375</v>
      </c>
      <c r="G1206" s="9" t="s">
        <v>3376</v>
      </c>
      <c r="H1206" s="9" t="s">
        <v>3377</v>
      </c>
      <c r="I1206" s="10">
        <v>45554</v>
      </c>
    </row>
    <row r="1207" spans="1:9" x14ac:dyDescent="0.15">
      <c r="A1207" s="9">
        <v>1206</v>
      </c>
      <c r="B1207" s="9" t="s">
        <v>9</v>
      </c>
      <c r="C1207" s="9">
        <v>1915</v>
      </c>
      <c r="D1207" s="10">
        <v>45639</v>
      </c>
      <c r="E1207" s="13" t="str">
        <f>+HYPERLINK("http://trademark.i-assist.jp/data/china/image_1915th/80990286.pdf","80990286")</f>
        <v>80990286</v>
      </c>
      <c r="F1207" s="9" t="s">
        <v>3378</v>
      </c>
      <c r="G1207" s="9" t="s">
        <v>3379</v>
      </c>
      <c r="H1207" s="9" t="s">
        <v>3380</v>
      </c>
      <c r="I1207" s="10">
        <v>45554</v>
      </c>
    </row>
    <row r="1208" spans="1:9" x14ac:dyDescent="0.15">
      <c r="A1208" s="9">
        <v>1207</v>
      </c>
      <c r="B1208" s="9" t="s">
        <v>9</v>
      </c>
      <c r="C1208" s="9">
        <v>1915</v>
      </c>
      <c r="D1208" s="10">
        <v>45639</v>
      </c>
      <c r="E1208" s="13" t="str">
        <f>+HYPERLINK("http://trademark.i-assist.jp/data/china/image_1915th/80990463.pdf","80990463")</f>
        <v>80990463</v>
      </c>
      <c r="F1208" s="9" t="s">
        <v>3381</v>
      </c>
      <c r="G1208" s="9" t="s">
        <v>87</v>
      </c>
      <c r="H1208" s="9" t="s">
        <v>3382</v>
      </c>
      <c r="I1208" s="10">
        <v>45554</v>
      </c>
    </row>
    <row r="1209" spans="1:9" x14ac:dyDescent="0.15">
      <c r="A1209" s="9">
        <v>1208</v>
      </c>
      <c r="B1209" s="9" t="s">
        <v>9</v>
      </c>
      <c r="C1209" s="9">
        <v>1915</v>
      </c>
      <c r="D1209" s="10">
        <v>45639</v>
      </c>
      <c r="E1209" s="13" t="str">
        <f>+HYPERLINK("http://trademark.i-assist.jp/data/china/image_1915th/80990951.pdf","80990951")</f>
        <v>80990951</v>
      </c>
      <c r="F1209" s="9" t="s">
        <v>3383</v>
      </c>
      <c r="G1209" s="9" t="s">
        <v>3384</v>
      </c>
      <c r="H1209" s="9" t="s">
        <v>3385</v>
      </c>
      <c r="I1209" s="10">
        <v>45554</v>
      </c>
    </row>
    <row r="1210" spans="1:9" x14ac:dyDescent="0.15">
      <c r="A1210" s="9">
        <v>1209</v>
      </c>
      <c r="B1210" s="9" t="s">
        <v>9</v>
      </c>
      <c r="C1210" s="9">
        <v>1915</v>
      </c>
      <c r="D1210" s="10">
        <v>45639</v>
      </c>
      <c r="E1210" s="13" t="str">
        <f>+HYPERLINK("http://trademark.i-assist.jp/data/china/image_1915th/80990963.pdf","80990963")</f>
        <v>80990963</v>
      </c>
      <c r="F1210" s="9" t="s">
        <v>3386</v>
      </c>
      <c r="G1210" s="9" t="s">
        <v>3384</v>
      </c>
      <c r="H1210" s="9" t="s">
        <v>3387</v>
      </c>
      <c r="I1210" s="10">
        <v>45554</v>
      </c>
    </row>
    <row r="1211" spans="1:9" x14ac:dyDescent="0.15">
      <c r="A1211" s="9">
        <v>1210</v>
      </c>
      <c r="B1211" s="9" t="s">
        <v>9</v>
      </c>
      <c r="C1211" s="9">
        <v>1915</v>
      </c>
      <c r="D1211" s="10">
        <v>45639</v>
      </c>
      <c r="E1211" s="13" t="str">
        <f>+HYPERLINK("http://trademark.i-assist.jp/data/china/image_1915th/80991021.pdf","80991021")</f>
        <v>80991021</v>
      </c>
      <c r="F1211" s="12" t="s">
        <v>3388</v>
      </c>
      <c r="G1211" s="9" t="s">
        <v>3389</v>
      </c>
      <c r="H1211" s="9" t="s">
        <v>3390</v>
      </c>
      <c r="I1211" s="10">
        <v>45554</v>
      </c>
    </row>
    <row r="1212" spans="1:9" x14ac:dyDescent="0.15">
      <c r="A1212" s="9">
        <v>1211</v>
      </c>
      <c r="B1212" s="9" t="s">
        <v>9</v>
      </c>
      <c r="C1212" s="9">
        <v>1915</v>
      </c>
      <c r="D1212" s="10">
        <v>45639</v>
      </c>
      <c r="E1212" s="13" t="str">
        <f>+HYPERLINK("http://trademark.i-assist.jp/data/china/image_1915th/80991081.pdf","80991081")</f>
        <v>80991081</v>
      </c>
      <c r="F1212" s="9" t="s">
        <v>3391</v>
      </c>
      <c r="G1212" s="9" t="s">
        <v>3392</v>
      </c>
      <c r="H1212" s="9" t="s">
        <v>3393</v>
      </c>
      <c r="I1212" s="10">
        <v>45554</v>
      </c>
    </row>
    <row r="1213" spans="1:9" x14ac:dyDescent="0.15">
      <c r="A1213" s="9">
        <v>1212</v>
      </c>
      <c r="B1213" s="9" t="s">
        <v>9</v>
      </c>
      <c r="C1213" s="9">
        <v>1915</v>
      </c>
      <c r="D1213" s="10">
        <v>45639</v>
      </c>
      <c r="E1213" s="13" t="str">
        <f>+HYPERLINK("http://trademark.i-assist.jp/data/china/image_1915th/80991230.pdf","80991230")</f>
        <v>80991230</v>
      </c>
      <c r="F1213" s="9" t="s">
        <v>3394</v>
      </c>
      <c r="G1213" s="12" t="s">
        <v>3395</v>
      </c>
      <c r="H1213" s="9" t="s">
        <v>3396</v>
      </c>
      <c r="I1213" s="10">
        <v>45554</v>
      </c>
    </row>
    <row r="1214" spans="1:9" x14ac:dyDescent="0.15">
      <c r="A1214" s="9">
        <v>1213</v>
      </c>
      <c r="B1214" s="9" t="s">
        <v>9</v>
      </c>
      <c r="C1214" s="9">
        <v>1915</v>
      </c>
      <c r="D1214" s="10">
        <v>45639</v>
      </c>
      <c r="E1214" s="13" t="str">
        <f>+HYPERLINK("http://trademark.i-assist.jp/data/china/image_1915th/80991276.pdf","80991276")</f>
        <v>80991276</v>
      </c>
      <c r="F1214" s="9" t="s">
        <v>3397</v>
      </c>
      <c r="G1214" s="12" t="s">
        <v>3398</v>
      </c>
      <c r="H1214" s="12" t="s">
        <v>3399</v>
      </c>
      <c r="I1214" s="10">
        <v>45554</v>
      </c>
    </row>
    <row r="1215" spans="1:9" x14ac:dyDescent="0.15">
      <c r="A1215" s="9">
        <v>1214</v>
      </c>
      <c r="B1215" s="9" t="s">
        <v>9</v>
      </c>
      <c r="C1215" s="9">
        <v>1915</v>
      </c>
      <c r="D1215" s="10">
        <v>45639</v>
      </c>
      <c r="E1215" s="13" t="str">
        <f>+HYPERLINK("http://trademark.i-assist.jp/data/china/image_1915th/80991320.pdf","80991320")</f>
        <v>80991320</v>
      </c>
      <c r="F1215" s="9" t="s">
        <v>3400</v>
      </c>
      <c r="G1215" s="9" t="s">
        <v>3401</v>
      </c>
      <c r="H1215" s="9" t="s">
        <v>3402</v>
      </c>
      <c r="I1215" s="10">
        <v>45554</v>
      </c>
    </row>
    <row r="1216" spans="1:9" x14ac:dyDescent="0.15">
      <c r="A1216" s="9">
        <v>1215</v>
      </c>
      <c r="B1216" s="9" t="s">
        <v>9</v>
      </c>
      <c r="C1216" s="9">
        <v>1915</v>
      </c>
      <c r="D1216" s="10">
        <v>45639</v>
      </c>
      <c r="E1216" s="13" t="str">
        <f>+HYPERLINK("http://trademark.i-assist.jp/data/china/image_1915th/80991334.pdf","80991334")</f>
        <v>80991334</v>
      </c>
      <c r="F1216" s="12" t="s">
        <v>3403</v>
      </c>
      <c r="G1216" s="12" t="s">
        <v>3404</v>
      </c>
      <c r="H1216" s="9" t="s">
        <v>3405</v>
      </c>
      <c r="I1216" s="10">
        <v>45554</v>
      </c>
    </row>
    <row r="1217" spans="1:9" x14ac:dyDescent="0.15">
      <c r="A1217" s="9">
        <v>1216</v>
      </c>
      <c r="B1217" s="9" t="s">
        <v>9</v>
      </c>
      <c r="C1217" s="9">
        <v>1915</v>
      </c>
      <c r="D1217" s="10">
        <v>45639</v>
      </c>
      <c r="E1217" s="13" t="str">
        <f>+HYPERLINK("http://trademark.i-assist.jp/data/china/image_1915th/80991944.pdf","80991944")</f>
        <v>80991944</v>
      </c>
      <c r="F1217" s="9" t="s">
        <v>3406</v>
      </c>
      <c r="G1217" s="9" t="s">
        <v>87</v>
      </c>
      <c r="H1217" s="9" t="s">
        <v>3407</v>
      </c>
      <c r="I1217" s="10">
        <v>45554</v>
      </c>
    </row>
    <row r="1218" spans="1:9" x14ac:dyDescent="0.15">
      <c r="A1218" s="9">
        <v>1217</v>
      </c>
      <c r="B1218" s="9" t="s">
        <v>9</v>
      </c>
      <c r="C1218" s="9">
        <v>1915</v>
      </c>
      <c r="D1218" s="10">
        <v>45639</v>
      </c>
      <c r="E1218" s="13" t="str">
        <f>+HYPERLINK("http://trademark.i-assist.jp/data/china/image_1915th/80991954.pdf","80991954")</f>
        <v>80991954</v>
      </c>
      <c r="F1218" s="12" t="s">
        <v>3408</v>
      </c>
      <c r="G1218" s="9" t="s">
        <v>87</v>
      </c>
      <c r="H1218" s="9" t="s">
        <v>3409</v>
      </c>
      <c r="I1218" s="10">
        <v>45554</v>
      </c>
    </row>
    <row r="1219" spans="1:9" x14ac:dyDescent="0.15">
      <c r="A1219" s="9">
        <v>1218</v>
      </c>
      <c r="B1219" s="9" t="s">
        <v>9</v>
      </c>
      <c r="C1219" s="9">
        <v>1915</v>
      </c>
      <c r="D1219" s="10">
        <v>45639</v>
      </c>
      <c r="E1219" s="13" t="str">
        <f>+HYPERLINK("http://trademark.i-assist.jp/data/china/image_1915th/80992107.pdf","80992107")</f>
        <v>80992107</v>
      </c>
      <c r="F1219" s="11" t="s">
        <v>3410</v>
      </c>
      <c r="G1219" s="12" t="s">
        <v>3411</v>
      </c>
      <c r="H1219" s="9" t="s">
        <v>3412</v>
      </c>
      <c r="I1219" s="10">
        <v>45554</v>
      </c>
    </row>
    <row r="1220" spans="1:9" x14ac:dyDescent="0.15">
      <c r="A1220" s="9">
        <v>1219</v>
      </c>
      <c r="B1220" s="9" t="s">
        <v>9</v>
      </c>
      <c r="C1220" s="9">
        <v>1915</v>
      </c>
      <c r="D1220" s="10">
        <v>45639</v>
      </c>
      <c r="E1220" s="13" t="str">
        <f>+HYPERLINK("http://trademark.i-assist.jp/data/china/image_1915th/80992211.pdf","80992211")</f>
        <v>80992211</v>
      </c>
      <c r="F1220" s="9" t="s">
        <v>3413</v>
      </c>
      <c r="G1220" s="12" t="s">
        <v>3292</v>
      </c>
      <c r="H1220" s="9" t="s">
        <v>3414</v>
      </c>
      <c r="I1220" s="10">
        <v>45554</v>
      </c>
    </row>
    <row r="1221" spans="1:9" x14ac:dyDescent="0.15">
      <c r="A1221" s="9">
        <v>1220</v>
      </c>
      <c r="B1221" s="9" t="s">
        <v>9</v>
      </c>
      <c r="C1221" s="9">
        <v>1915</v>
      </c>
      <c r="D1221" s="10">
        <v>45639</v>
      </c>
      <c r="E1221" s="13" t="str">
        <f>+HYPERLINK("http://trademark.i-assist.jp/data/china/image_1915th/80992493.pdf","80992493")</f>
        <v>80992493</v>
      </c>
      <c r="F1221" s="9" t="s">
        <v>3415</v>
      </c>
      <c r="G1221" s="9" t="s">
        <v>3416</v>
      </c>
      <c r="H1221" s="9" t="s">
        <v>3417</v>
      </c>
      <c r="I1221" s="10">
        <v>45554</v>
      </c>
    </row>
    <row r="1222" spans="1:9" x14ac:dyDescent="0.15">
      <c r="A1222" s="9">
        <v>1221</v>
      </c>
      <c r="B1222" s="9" t="s">
        <v>9</v>
      </c>
      <c r="C1222" s="9">
        <v>1915</v>
      </c>
      <c r="D1222" s="10">
        <v>45639</v>
      </c>
      <c r="E1222" s="13" t="str">
        <f>+HYPERLINK("http://trademark.i-assist.jp/data/china/image_1915th/80992853.pdf","80992853")</f>
        <v>80992853</v>
      </c>
      <c r="F1222" s="9" t="s">
        <v>3418</v>
      </c>
      <c r="G1222" s="12" t="s">
        <v>3419</v>
      </c>
      <c r="H1222" s="9" t="s">
        <v>3420</v>
      </c>
      <c r="I1222" s="10">
        <v>45554</v>
      </c>
    </row>
    <row r="1223" spans="1:9" x14ac:dyDescent="0.15">
      <c r="A1223" s="9">
        <v>1222</v>
      </c>
      <c r="B1223" s="9" t="s">
        <v>9</v>
      </c>
      <c r="C1223" s="9">
        <v>1915</v>
      </c>
      <c r="D1223" s="10">
        <v>45639</v>
      </c>
      <c r="E1223" s="13" t="str">
        <f>+HYPERLINK("http://trademark.i-assist.jp/data/china/image_1915th/80992878.pdf","80992878")</f>
        <v>80992878</v>
      </c>
      <c r="F1223" s="9" t="s">
        <v>3421</v>
      </c>
      <c r="G1223" s="9" t="s">
        <v>3422</v>
      </c>
      <c r="H1223" s="9" t="s">
        <v>3423</v>
      </c>
      <c r="I1223" s="10">
        <v>45554</v>
      </c>
    </row>
    <row r="1224" spans="1:9" x14ac:dyDescent="0.15">
      <c r="A1224" s="9">
        <v>1223</v>
      </c>
      <c r="B1224" s="9" t="s">
        <v>9</v>
      </c>
      <c r="C1224" s="9">
        <v>1915</v>
      </c>
      <c r="D1224" s="10">
        <v>45639</v>
      </c>
      <c r="E1224" s="13" t="str">
        <f>+HYPERLINK("http://trademark.i-assist.jp/data/china/image_1915th/80992931.pdf","80992931")</f>
        <v>80992931</v>
      </c>
      <c r="F1224" s="12" t="s">
        <v>15</v>
      </c>
      <c r="G1224" s="9" t="s">
        <v>3424</v>
      </c>
      <c r="H1224" s="9" t="s">
        <v>3425</v>
      </c>
      <c r="I1224" s="10">
        <v>45554</v>
      </c>
    </row>
    <row r="1225" spans="1:9" x14ac:dyDescent="0.15">
      <c r="A1225" s="9">
        <v>1224</v>
      </c>
      <c r="B1225" s="9" t="s">
        <v>9</v>
      </c>
      <c r="C1225" s="9">
        <v>1915</v>
      </c>
      <c r="D1225" s="10">
        <v>45639</v>
      </c>
      <c r="E1225" s="13" t="str">
        <f>+HYPERLINK("http://trademark.i-assist.jp/data/china/image_1915th/80993019.pdf","80993019")</f>
        <v>80993019</v>
      </c>
      <c r="F1225" s="9" t="s">
        <v>3426</v>
      </c>
      <c r="G1225" s="9" t="s">
        <v>3427</v>
      </c>
      <c r="H1225" s="9" t="s">
        <v>3428</v>
      </c>
      <c r="I1225" s="10">
        <v>45554</v>
      </c>
    </row>
    <row r="1226" spans="1:9" x14ac:dyDescent="0.15">
      <c r="A1226" s="9">
        <v>1225</v>
      </c>
      <c r="B1226" s="9" t="s">
        <v>9</v>
      </c>
      <c r="C1226" s="9">
        <v>1915</v>
      </c>
      <c r="D1226" s="10">
        <v>45639</v>
      </c>
      <c r="E1226" s="13" t="str">
        <f>+HYPERLINK("http://trademark.i-assist.jp/data/china/image_1915th/80993157.pdf","80993157")</f>
        <v>80993157</v>
      </c>
      <c r="F1226" s="9" t="s">
        <v>3429</v>
      </c>
      <c r="G1226" s="9" t="s">
        <v>3430</v>
      </c>
      <c r="H1226" s="9" t="s">
        <v>3431</v>
      </c>
      <c r="I1226" s="10">
        <v>45554</v>
      </c>
    </row>
    <row r="1227" spans="1:9" x14ac:dyDescent="0.15">
      <c r="A1227" s="9">
        <v>1226</v>
      </c>
      <c r="B1227" s="9" t="s">
        <v>9</v>
      </c>
      <c r="C1227" s="9">
        <v>1915</v>
      </c>
      <c r="D1227" s="10">
        <v>45639</v>
      </c>
      <c r="E1227" s="13" t="str">
        <f>+HYPERLINK("http://trademark.i-assist.jp/data/china/image_1915th/80993389.pdf","80993389")</f>
        <v>80993389</v>
      </c>
      <c r="F1227" s="9" t="s">
        <v>3432</v>
      </c>
      <c r="G1227" s="9" t="s">
        <v>3433</v>
      </c>
      <c r="H1227" s="9" t="s">
        <v>3434</v>
      </c>
      <c r="I1227" s="10">
        <v>45554</v>
      </c>
    </row>
    <row r="1228" spans="1:9" x14ac:dyDescent="0.15">
      <c r="A1228" s="9">
        <v>1227</v>
      </c>
      <c r="B1228" s="9" t="s">
        <v>9</v>
      </c>
      <c r="C1228" s="9">
        <v>1915</v>
      </c>
      <c r="D1228" s="10">
        <v>45639</v>
      </c>
      <c r="E1228" s="13" t="str">
        <f>+HYPERLINK("http://trademark.i-assist.jp/data/china/image_1915th/80993427.pdf","80993427")</f>
        <v>80993427</v>
      </c>
      <c r="F1228" s="9" t="s">
        <v>3435</v>
      </c>
      <c r="G1228" s="9" t="s">
        <v>3199</v>
      </c>
      <c r="H1228" s="9" t="s">
        <v>3436</v>
      </c>
      <c r="I1228" s="10">
        <v>45554</v>
      </c>
    </row>
    <row r="1229" spans="1:9" x14ac:dyDescent="0.15">
      <c r="A1229" s="9">
        <v>1228</v>
      </c>
      <c r="B1229" s="9" t="s">
        <v>9</v>
      </c>
      <c r="C1229" s="9">
        <v>1915</v>
      </c>
      <c r="D1229" s="10">
        <v>45639</v>
      </c>
      <c r="E1229" s="13" t="str">
        <f>+HYPERLINK("http://trademark.i-assist.jp/data/china/image_1915th/80993568.pdf","80993568")</f>
        <v>80993568</v>
      </c>
      <c r="F1229" s="12" t="s">
        <v>15</v>
      </c>
      <c r="G1229" s="9" t="s">
        <v>3211</v>
      </c>
      <c r="H1229" s="9" t="s">
        <v>3437</v>
      </c>
      <c r="I1229" s="10">
        <v>45554</v>
      </c>
    </row>
    <row r="1230" spans="1:9" x14ac:dyDescent="0.15">
      <c r="A1230" s="9">
        <v>1229</v>
      </c>
      <c r="B1230" s="9" t="s">
        <v>9</v>
      </c>
      <c r="C1230" s="9">
        <v>1915</v>
      </c>
      <c r="D1230" s="10">
        <v>45639</v>
      </c>
      <c r="E1230" s="13" t="str">
        <f>+HYPERLINK("http://trademark.i-assist.jp/data/china/image_1915th/80994100.pdf","80994100")</f>
        <v>80994100</v>
      </c>
      <c r="F1230" s="9" t="s">
        <v>3438</v>
      </c>
      <c r="G1230" s="12" t="s">
        <v>3439</v>
      </c>
      <c r="H1230" s="9" t="s">
        <v>3440</v>
      </c>
      <c r="I1230" s="10">
        <v>45554</v>
      </c>
    </row>
    <row r="1231" spans="1:9" x14ac:dyDescent="0.15">
      <c r="A1231" s="9">
        <v>1230</v>
      </c>
      <c r="B1231" s="9" t="s">
        <v>9</v>
      </c>
      <c r="C1231" s="9">
        <v>1915</v>
      </c>
      <c r="D1231" s="10">
        <v>45639</v>
      </c>
      <c r="E1231" s="13" t="str">
        <f>+HYPERLINK("http://trademark.i-assist.jp/data/china/image_1915th/80994338.pdf","80994338")</f>
        <v>80994338</v>
      </c>
      <c r="F1231" s="9" t="s">
        <v>3441</v>
      </c>
      <c r="G1231" s="9" t="s">
        <v>3442</v>
      </c>
      <c r="H1231" s="9" t="s">
        <v>3443</v>
      </c>
      <c r="I1231" s="10">
        <v>45554</v>
      </c>
    </row>
    <row r="1232" spans="1:9" x14ac:dyDescent="0.15">
      <c r="A1232" s="9">
        <v>1231</v>
      </c>
      <c r="B1232" s="9" t="s">
        <v>9</v>
      </c>
      <c r="C1232" s="9">
        <v>1915</v>
      </c>
      <c r="D1232" s="10">
        <v>45639</v>
      </c>
      <c r="E1232" s="13" t="str">
        <f>+HYPERLINK("http://trademark.i-assist.jp/data/china/image_1915th/80994577.pdf","80994577")</f>
        <v>80994577</v>
      </c>
      <c r="F1232" s="12" t="s">
        <v>15</v>
      </c>
      <c r="G1232" s="12" t="s">
        <v>384</v>
      </c>
      <c r="H1232" s="9" t="s">
        <v>3444</v>
      </c>
      <c r="I1232" s="10">
        <v>45554</v>
      </c>
    </row>
    <row r="1233" spans="1:9" x14ac:dyDescent="0.15">
      <c r="A1233" s="9">
        <v>1232</v>
      </c>
      <c r="B1233" s="9" t="s">
        <v>9</v>
      </c>
      <c r="C1233" s="9">
        <v>1915</v>
      </c>
      <c r="D1233" s="10">
        <v>45639</v>
      </c>
      <c r="E1233" s="13" t="str">
        <f>+HYPERLINK("http://trademark.i-assist.jp/data/china/image_1915th/80994788.pdf","80994788")</f>
        <v>80994788</v>
      </c>
      <c r="F1233" s="9" t="s">
        <v>3445</v>
      </c>
      <c r="G1233" s="12" t="s">
        <v>3446</v>
      </c>
      <c r="H1233" s="9" t="s">
        <v>3447</v>
      </c>
      <c r="I1233" s="10">
        <v>45554</v>
      </c>
    </row>
    <row r="1234" spans="1:9" x14ac:dyDescent="0.15">
      <c r="A1234" s="9">
        <v>1233</v>
      </c>
      <c r="B1234" s="9" t="s">
        <v>9</v>
      </c>
      <c r="C1234" s="9">
        <v>1915</v>
      </c>
      <c r="D1234" s="10">
        <v>45639</v>
      </c>
      <c r="E1234" s="13" t="str">
        <f>+HYPERLINK("http://trademark.i-assist.jp/data/china/image_1915th/80995040.pdf","80995040")</f>
        <v>80995040</v>
      </c>
      <c r="F1234" s="12" t="s">
        <v>3448</v>
      </c>
      <c r="G1234" s="9" t="s">
        <v>3199</v>
      </c>
      <c r="H1234" s="9" t="s">
        <v>3449</v>
      </c>
      <c r="I1234" s="10">
        <v>45554</v>
      </c>
    </row>
    <row r="1235" spans="1:9" x14ac:dyDescent="0.15">
      <c r="A1235" s="9">
        <v>1234</v>
      </c>
      <c r="B1235" s="9" t="s">
        <v>9</v>
      </c>
      <c r="C1235" s="9">
        <v>1915</v>
      </c>
      <c r="D1235" s="10">
        <v>45639</v>
      </c>
      <c r="E1235" s="13" t="str">
        <f>+HYPERLINK("http://trademark.i-assist.jp/data/china/image_1915th/80995459.pdf","80995459")</f>
        <v>80995459</v>
      </c>
      <c r="F1235" s="9" t="s">
        <v>3450</v>
      </c>
      <c r="G1235" s="9" t="s">
        <v>3451</v>
      </c>
      <c r="H1235" s="9" t="s">
        <v>3452</v>
      </c>
      <c r="I1235" s="10">
        <v>45554</v>
      </c>
    </row>
    <row r="1236" spans="1:9" x14ac:dyDescent="0.15">
      <c r="A1236" s="9">
        <v>1235</v>
      </c>
      <c r="B1236" s="9" t="s">
        <v>9</v>
      </c>
      <c r="C1236" s="9">
        <v>1915</v>
      </c>
      <c r="D1236" s="10">
        <v>45639</v>
      </c>
      <c r="E1236" s="13" t="str">
        <f>+HYPERLINK("http://trademark.i-assist.jp/data/china/image_1915th/80995660.pdf","80995660")</f>
        <v>80995660</v>
      </c>
      <c r="F1236" s="9" t="s">
        <v>3453</v>
      </c>
      <c r="G1236" s="9" t="s">
        <v>3454</v>
      </c>
      <c r="H1236" s="9" t="s">
        <v>3455</v>
      </c>
      <c r="I1236" s="10">
        <v>45554</v>
      </c>
    </row>
    <row r="1237" spans="1:9" x14ac:dyDescent="0.15">
      <c r="A1237" s="9">
        <v>1236</v>
      </c>
      <c r="B1237" s="9" t="s">
        <v>9</v>
      </c>
      <c r="C1237" s="9">
        <v>1915</v>
      </c>
      <c r="D1237" s="10">
        <v>45639</v>
      </c>
      <c r="E1237" s="13" t="str">
        <f>+HYPERLINK("http://trademark.i-assist.jp/data/china/image_1915th/80995750.pdf","80995750")</f>
        <v>80995750</v>
      </c>
      <c r="F1237" s="9" t="s">
        <v>3456</v>
      </c>
      <c r="G1237" s="9" t="s">
        <v>3457</v>
      </c>
      <c r="H1237" s="9" t="s">
        <v>3458</v>
      </c>
      <c r="I1237" s="10">
        <v>45554</v>
      </c>
    </row>
    <row r="1238" spans="1:9" x14ac:dyDescent="0.15">
      <c r="A1238" s="9">
        <v>1237</v>
      </c>
      <c r="B1238" s="9" t="s">
        <v>9</v>
      </c>
      <c r="C1238" s="9">
        <v>1915</v>
      </c>
      <c r="D1238" s="10">
        <v>45639</v>
      </c>
      <c r="E1238" s="13" t="str">
        <f>+HYPERLINK("http://trademark.i-assist.jp/data/china/image_1915th/80996005.pdf","80996005")</f>
        <v>80996005</v>
      </c>
      <c r="F1238" s="9" t="s">
        <v>3459</v>
      </c>
      <c r="G1238" s="9" t="s">
        <v>3460</v>
      </c>
      <c r="H1238" s="9" t="s">
        <v>3461</v>
      </c>
      <c r="I1238" s="10">
        <v>45554</v>
      </c>
    </row>
    <row r="1239" spans="1:9" x14ac:dyDescent="0.15">
      <c r="A1239" s="9">
        <v>1238</v>
      </c>
      <c r="B1239" s="9" t="s">
        <v>9</v>
      </c>
      <c r="C1239" s="9">
        <v>1915</v>
      </c>
      <c r="D1239" s="10">
        <v>45639</v>
      </c>
      <c r="E1239" s="13" t="str">
        <f>+HYPERLINK("http://trademark.i-assist.jp/data/china/image_1915th/80996262.pdf","80996262")</f>
        <v>80996262</v>
      </c>
      <c r="F1239" s="9" t="s">
        <v>3462</v>
      </c>
      <c r="G1239" s="12" t="s">
        <v>3463</v>
      </c>
      <c r="H1239" s="9" t="s">
        <v>3464</v>
      </c>
      <c r="I1239" s="10">
        <v>45554</v>
      </c>
    </row>
    <row r="1240" spans="1:9" x14ac:dyDescent="0.15">
      <c r="A1240" s="9">
        <v>1239</v>
      </c>
      <c r="B1240" s="9" t="s">
        <v>9</v>
      </c>
      <c r="C1240" s="9">
        <v>1915</v>
      </c>
      <c r="D1240" s="10">
        <v>45639</v>
      </c>
      <c r="E1240" s="13" t="str">
        <f>+HYPERLINK("http://trademark.i-assist.jp/data/china/image_1915th/80996409.pdf","80996409")</f>
        <v>80996409</v>
      </c>
      <c r="F1240" s="12" t="s">
        <v>3465</v>
      </c>
      <c r="G1240" s="9" t="s">
        <v>3466</v>
      </c>
      <c r="H1240" s="9" t="s">
        <v>3467</v>
      </c>
      <c r="I1240" s="10">
        <v>45554</v>
      </c>
    </row>
    <row r="1241" spans="1:9" x14ac:dyDescent="0.15">
      <c r="A1241" s="9">
        <v>1240</v>
      </c>
      <c r="B1241" s="9" t="s">
        <v>9</v>
      </c>
      <c r="C1241" s="9">
        <v>1915</v>
      </c>
      <c r="D1241" s="10">
        <v>45639</v>
      </c>
      <c r="E1241" s="13" t="str">
        <f>+HYPERLINK("http://trademark.i-assist.jp/data/china/image_1915th/80996471.pdf","80996471")</f>
        <v>80996471</v>
      </c>
      <c r="F1241" s="12" t="s">
        <v>3468</v>
      </c>
      <c r="G1241" s="9" t="s">
        <v>3469</v>
      </c>
      <c r="H1241" s="9" t="s">
        <v>3470</v>
      </c>
      <c r="I1241" s="10">
        <v>45554</v>
      </c>
    </row>
    <row r="1242" spans="1:9" x14ac:dyDescent="0.15">
      <c r="A1242" s="9">
        <v>1241</v>
      </c>
      <c r="B1242" s="9" t="s">
        <v>9</v>
      </c>
      <c r="C1242" s="9">
        <v>1915</v>
      </c>
      <c r="D1242" s="10">
        <v>45639</v>
      </c>
      <c r="E1242" s="13" t="str">
        <f>+HYPERLINK("http://trademark.i-assist.jp/data/china/image_1915th/80996622.pdf","80996622")</f>
        <v>80996622</v>
      </c>
      <c r="F1242" s="12" t="s">
        <v>3471</v>
      </c>
      <c r="G1242" s="9" t="s">
        <v>3472</v>
      </c>
      <c r="H1242" s="9" t="s">
        <v>3473</v>
      </c>
      <c r="I1242" s="10">
        <v>45554</v>
      </c>
    </row>
    <row r="1243" spans="1:9" x14ac:dyDescent="0.15">
      <c r="A1243" s="9">
        <v>1242</v>
      </c>
      <c r="B1243" s="9" t="s">
        <v>9</v>
      </c>
      <c r="C1243" s="9">
        <v>1915</v>
      </c>
      <c r="D1243" s="10">
        <v>45639</v>
      </c>
      <c r="E1243" s="13" t="str">
        <f>+HYPERLINK("http://trademark.i-assist.jp/data/china/image_1915th/80996710.pdf","80996710")</f>
        <v>80996710</v>
      </c>
      <c r="F1243" s="9" t="s">
        <v>3474</v>
      </c>
      <c r="G1243" s="9" t="s">
        <v>3475</v>
      </c>
      <c r="H1243" s="9" t="s">
        <v>3476</v>
      </c>
      <c r="I1243" s="10">
        <v>45554</v>
      </c>
    </row>
    <row r="1244" spans="1:9" x14ac:dyDescent="0.15">
      <c r="A1244" s="9">
        <v>1243</v>
      </c>
      <c r="B1244" s="9" t="s">
        <v>9</v>
      </c>
      <c r="C1244" s="9">
        <v>1915</v>
      </c>
      <c r="D1244" s="10">
        <v>45639</v>
      </c>
      <c r="E1244" s="13" t="str">
        <f>+HYPERLINK("http://trademark.i-assist.jp/data/china/image_1915th/80996741.pdf","80996741")</f>
        <v>80996741</v>
      </c>
      <c r="F1244" s="9" t="s">
        <v>3477</v>
      </c>
      <c r="G1244" s="12" t="s">
        <v>3478</v>
      </c>
      <c r="H1244" s="9" t="s">
        <v>3479</v>
      </c>
      <c r="I1244" s="10">
        <v>45554</v>
      </c>
    </row>
    <row r="1245" spans="1:9" x14ac:dyDescent="0.15">
      <c r="A1245" s="9">
        <v>1244</v>
      </c>
      <c r="B1245" s="9" t="s">
        <v>9</v>
      </c>
      <c r="C1245" s="9">
        <v>1915</v>
      </c>
      <c r="D1245" s="10">
        <v>45639</v>
      </c>
      <c r="E1245" s="13" t="str">
        <f>+HYPERLINK("http://trademark.i-assist.jp/data/china/image_1915th/80996787.pdf","80996787")</f>
        <v>80996787</v>
      </c>
      <c r="F1245" s="12" t="s">
        <v>3480</v>
      </c>
      <c r="G1245" s="9" t="s">
        <v>3481</v>
      </c>
      <c r="H1245" s="9" t="s">
        <v>3482</v>
      </c>
      <c r="I1245" s="10">
        <v>45554</v>
      </c>
    </row>
    <row r="1246" spans="1:9" x14ac:dyDescent="0.15">
      <c r="A1246" s="9">
        <v>1245</v>
      </c>
      <c r="B1246" s="9" t="s">
        <v>9</v>
      </c>
      <c r="C1246" s="9">
        <v>1915</v>
      </c>
      <c r="D1246" s="10">
        <v>45639</v>
      </c>
      <c r="E1246" s="13" t="str">
        <f>+HYPERLINK("http://trademark.i-assist.jp/data/china/image_1915th/80996885.pdf","80996885")</f>
        <v>80996885</v>
      </c>
      <c r="F1246" s="9" t="s">
        <v>3483</v>
      </c>
      <c r="G1246" s="12" t="s">
        <v>29</v>
      </c>
      <c r="H1246" s="9" t="s">
        <v>3484</v>
      </c>
      <c r="I1246" s="10">
        <v>45554</v>
      </c>
    </row>
    <row r="1247" spans="1:9" x14ac:dyDescent="0.15">
      <c r="A1247" s="9">
        <v>1246</v>
      </c>
      <c r="B1247" s="9" t="s">
        <v>9</v>
      </c>
      <c r="C1247" s="9">
        <v>1915</v>
      </c>
      <c r="D1247" s="10">
        <v>45639</v>
      </c>
      <c r="E1247" s="13" t="str">
        <f>+HYPERLINK("http://trademark.i-assist.jp/data/china/image_1915th/80996914.pdf","80996914")</f>
        <v>80996914</v>
      </c>
      <c r="F1247" s="9" t="s">
        <v>3485</v>
      </c>
      <c r="G1247" s="12" t="s">
        <v>29</v>
      </c>
      <c r="H1247" s="9" t="s">
        <v>3486</v>
      </c>
      <c r="I1247" s="10">
        <v>45554</v>
      </c>
    </row>
    <row r="1248" spans="1:9" x14ac:dyDescent="0.15">
      <c r="A1248" s="9">
        <v>1247</v>
      </c>
      <c r="B1248" s="9" t="s">
        <v>9</v>
      </c>
      <c r="C1248" s="9">
        <v>1915</v>
      </c>
      <c r="D1248" s="10">
        <v>45639</v>
      </c>
      <c r="E1248" s="13" t="str">
        <f>+HYPERLINK("http://trademark.i-assist.jp/data/china/image_1915th/80997140.pdf","80997140")</f>
        <v>80997140</v>
      </c>
      <c r="F1248" s="9" t="s">
        <v>3487</v>
      </c>
      <c r="G1248" s="9" t="s">
        <v>3488</v>
      </c>
      <c r="H1248" s="12" t="s">
        <v>3489</v>
      </c>
      <c r="I1248" s="10">
        <v>45554</v>
      </c>
    </row>
    <row r="1249" spans="1:9" x14ac:dyDescent="0.15">
      <c r="A1249" s="9">
        <v>1248</v>
      </c>
      <c r="B1249" s="9" t="s">
        <v>9</v>
      </c>
      <c r="C1249" s="9">
        <v>1915</v>
      </c>
      <c r="D1249" s="10">
        <v>45639</v>
      </c>
      <c r="E1249" s="13" t="str">
        <f>+HYPERLINK("http://trademark.i-assist.jp/data/china/image_1915th/80997886.pdf","80997886")</f>
        <v>80997886</v>
      </c>
      <c r="F1249" s="9" t="s">
        <v>3490</v>
      </c>
      <c r="G1249" s="9" t="s">
        <v>3491</v>
      </c>
      <c r="H1249" s="9" t="s">
        <v>3492</v>
      </c>
      <c r="I1249" s="10">
        <v>45554</v>
      </c>
    </row>
    <row r="1250" spans="1:9" x14ac:dyDescent="0.15">
      <c r="A1250" s="9">
        <v>1249</v>
      </c>
      <c r="B1250" s="9" t="s">
        <v>9</v>
      </c>
      <c r="C1250" s="9">
        <v>1915</v>
      </c>
      <c r="D1250" s="10">
        <v>45639</v>
      </c>
      <c r="E1250" s="13" t="str">
        <f>+HYPERLINK("http://trademark.i-assist.jp/data/china/image_1915th/80997980.pdf","80997980")</f>
        <v>80997980</v>
      </c>
      <c r="F1250" s="12" t="s">
        <v>3493</v>
      </c>
      <c r="G1250" s="12" t="s">
        <v>2116</v>
      </c>
      <c r="H1250" s="9" t="s">
        <v>3494</v>
      </c>
      <c r="I1250" s="10">
        <v>45554</v>
      </c>
    </row>
    <row r="1251" spans="1:9" x14ac:dyDescent="0.15">
      <c r="A1251" s="9">
        <v>1250</v>
      </c>
      <c r="B1251" s="9" t="s">
        <v>9</v>
      </c>
      <c r="C1251" s="9">
        <v>1915</v>
      </c>
      <c r="D1251" s="10">
        <v>45639</v>
      </c>
      <c r="E1251" s="13" t="str">
        <f>+HYPERLINK("http://trademark.i-assist.jp/data/china/image_1915th/80998109.pdf","80998109")</f>
        <v>80998109</v>
      </c>
      <c r="F1251" s="9" t="s">
        <v>3495</v>
      </c>
      <c r="G1251" s="12" t="s">
        <v>3373</v>
      </c>
      <c r="H1251" s="9" t="s">
        <v>3496</v>
      </c>
      <c r="I1251" s="10">
        <v>45554</v>
      </c>
    </row>
    <row r="1252" spans="1:9" x14ac:dyDescent="0.15">
      <c r="A1252" s="9">
        <v>1251</v>
      </c>
      <c r="B1252" s="9" t="s">
        <v>9</v>
      </c>
      <c r="C1252" s="9">
        <v>1915</v>
      </c>
      <c r="D1252" s="10">
        <v>45639</v>
      </c>
      <c r="E1252" s="13" t="str">
        <f>+HYPERLINK("http://trademark.i-assist.jp/data/china/image_1915th/80998122.pdf","80998122")</f>
        <v>80998122</v>
      </c>
      <c r="F1252" s="9" t="s">
        <v>3497</v>
      </c>
      <c r="G1252" s="12" t="s">
        <v>3498</v>
      </c>
      <c r="H1252" s="9" t="s">
        <v>3499</v>
      </c>
      <c r="I1252" s="10">
        <v>45554</v>
      </c>
    </row>
    <row r="1253" spans="1:9" x14ac:dyDescent="0.15">
      <c r="A1253" s="9">
        <v>1252</v>
      </c>
      <c r="B1253" s="9" t="s">
        <v>9</v>
      </c>
      <c r="C1253" s="9">
        <v>1915</v>
      </c>
      <c r="D1253" s="10">
        <v>45639</v>
      </c>
      <c r="E1253" s="13" t="str">
        <f>+HYPERLINK("http://trademark.i-assist.jp/data/china/image_1915th/80998130.pdf","80998130")</f>
        <v>80998130</v>
      </c>
      <c r="F1253" s="9" t="s">
        <v>3500</v>
      </c>
      <c r="G1253" s="9" t="s">
        <v>3501</v>
      </c>
      <c r="H1253" s="9" t="s">
        <v>3502</v>
      </c>
      <c r="I1253" s="10">
        <v>45554</v>
      </c>
    </row>
    <row r="1254" spans="1:9" x14ac:dyDescent="0.15">
      <c r="A1254" s="9">
        <v>1253</v>
      </c>
      <c r="B1254" s="9" t="s">
        <v>9</v>
      </c>
      <c r="C1254" s="9">
        <v>1915</v>
      </c>
      <c r="D1254" s="10">
        <v>45639</v>
      </c>
      <c r="E1254" s="13" t="str">
        <f>+HYPERLINK("http://trademark.i-assist.jp/data/china/image_1915th/80998330.pdf","80998330")</f>
        <v>80998330</v>
      </c>
      <c r="F1254" s="9" t="s">
        <v>3503</v>
      </c>
      <c r="G1254" s="12" t="s">
        <v>3504</v>
      </c>
      <c r="H1254" s="9" t="s">
        <v>3505</v>
      </c>
      <c r="I1254" s="10">
        <v>45554</v>
      </c>
    </row>
    <row r="1255" spans="1:9" x14ac:dyDescent="0.15">
      <c r="A1255" s="9">
        <v>1254</v>
      </c>
      <c r="B1255" s="9" t="s">
        <v>9</v>
      </c>
      <c r="C1255" s="9">
        <v>1915</v>
      </c>
      <c r="D1255" s="10">
        <v>45639</v>
      </c>
      <c r="E1255" s="13" t="str">
        <f>+HYPERLINK("http://trademark.i-assist.jp/data/china/image_1915th/80998416.pdf","80998416")</f>
        <v>80998416</v>
      </c>
      <c r="F1255" s="9" t="s">
        <v>3506</v>
      </c>
      <c r="G1255" s="12" t="s">
        <v>3507</v>
      </c>
      <c r="H1255" s="9" t="s">
        <v>3508</v>
      </c>
      <c r="I1255" s="10">
        <v>45554</v>
      </c>
    </row>
    <row r="1256" spans="1:9" x14ac:dyDescent="0.15">
      <c r="A1256" s="9">
        <v>1255</v>
      </c>
      <c r="B1256" s="9" t="s">
        <v>9</v>
      </c>
      <c r="C1256" s="9">
        <v>1915</v>
      </c>
      <c r="D1256" s="10">
        <v>45639</v>
      </c>
      <c r="E1256" s="13" t="str">
        <f>+HYPERLINK("http://trademark.i-assist.jp/data/china/image_1915th/80998464.pdf","80998464")</f>
        <v>80998464</v>
      </c>
      <c r="F1256" s="9" t="s">
        <v>3509</v>
      </c>
      <c r="G1256" s="9" t="s">
        <v>3510</v>
      </c>
      <c r="H1256" s="9" t="s">
        <v>3511</v>
      </c>
      <c r="I1256" s="10">
        <v>45554</v>
      </c>
    </row>
    <row r="1257" spans="1:9" x14ac:dyDescent="0.15">
      <c r="A1257" s="9">
        <v>1256</v>
      </c>
      <c r="B1257" s="9" t="s">
        <v>9</v>
      </c>
      <c r="C1257" s="9">
        <v>1915</v>
      </c>
      <c r="D1257" s="10">
        <v>45639</v>
      </c>
      <c r="E1257" s="13" t="str">
        <f>+HYPERLINK("http://trademark.i-assist.jp/data/china/image_1915th/80998473.pdf","80998473")</f>
        <v>80998473</v>
      </c>
      <c r="F1257" s="9" t="s">
        <v>3512</v>
      </c>
      <c r="G1257" s="9" t="s">
        <v>3510</v>
      </c>
      <c r="H1257" s="12" t="s">
        <v>3513</v>
      </c>
      <c r="I1257" s="10">
        <v>45554</v>
      </c>
    </row>
    <row r="1258" spans="1:9" x14ac:dyDescent="0.15">
      <c r="A1258" s="9">
        <v>1257</v>
      </c>
      <c r="B1258" s="9" t="s">
        <v>9</v>
      </c>
      <c r="C1258" s="9">
        <v>1915</v>
      </c>
      <c r="D1258" s="10">
        <v>45639</v>
      </c>
      <c r="E1258" s="13" t="str">
        <f>+HYPERLINK("http://trademark.i-assist.jp/data/china/image_1915th/80998565.pdf","80998565")</f>
        <v>80998565</v>
      </c>
      <c r="F1258" s="12" t="s">
        <v>3514</v>
      </c>
      <c r="G1258" s="9" t="s">
        <v>3515</v>
      </c>
      <c r="H1258" s="9" t="s">
        <v>3516</v>
      </c>
      <c r="I1258" s="10">
        <v>45554</v>
      </c>
    </row>
    <row r="1259" spans="1:9" x14ac:dyDescent="0.15">
      <c r="A1259" s="9">
        <v>1258</v>
      </c>
      <c r="B1259" s="9" t="s">
        <v>9</v>
      </c>
      <c r="C1259" s="9">
        <v>1915</v>
      </c>
      <c r="D1259" s="10">
        <v>45639</v>
      </c>
      <c r="E1259" s="13" t="str">
        <f>+HYPERLINK("http://trademark.i-assist.jp/data/china/image_1915th/80998581.pdf","80998581")</f>
        <v>80998581</v>
      </c>
      <c r="F1259" s="12" t="s">
        <v>15</v>
      </c>
      <c r="G1259" s="9" t="s">
        <v>3517</v>
      </c>
      <c r="H1259" s="9" t="s">
        <v>3518</v>
      </c>
      <c r="I1259" s="10">
        <v>45554</v>
      </c>
    </row>
    <row r="1260" spans="1:9" x14ac:dyDescent="0.15">
      <c r="A1260" s="9">
        <v>1259</v>
      </c>
      <c r="B1260" s="9" t="s">
        <v>9</v>
      </c>
      <c r="C1260" s="9">
        <v>1915</v>
      </c>
      <c r="D1260" s="10">
        <v>45639</v>
      </c>
      <c r="E1260" s="13" t="str">
        <f>+HYPERLINK("http://trademark.i-assist.jp/data/china/image_1915th/80998586.pdf","80998586")</f>
        <v>80998586</v>
      </c>
      <c r="F1260" s="9" t="s">
        <v>3519</v>
      </c>
      <c r="G1260" s="9" t="s">
        <v>87</v>
      </c>
      <c r="H1260" s="9" t="s">
        <v>3520</v>
      </c>
      <c r="I1260" s="10">
        <v>45554</v>
      </c>
    </row>
    <row r="1261" spans="1:9" x14ac:dyDescent="0.15">
      <c r="A1261" s="9">
        <v>1260</v>
      </c>
      <c r="B1261" s="9" t="s">
        <v>9</v>
      </c>
      <c r="C1261" s="9">
        <v>1915</v>
      </c>
      <c r="D1261" s="10">
        <v>45639</v>
      </c>
      <c r="E1261" s="13" t="str">
        <f>+HYPERLINK("http://trademark.i-assist.jp/data/china/image_1915th/80998617.pdf","80998617")</f>
        <v>80998617</v>
      </c>
      <c r="F1261" s="9" t="s">
        <v>3521</v>
      </c>
      <c r="G1261" s="9" t="s">
        <v>87</v>
      </c>
      <c r="H1261" s="9" t="s">
        <v>3522</v>
      </c>
      <c r="I1261" s="10">
        <v>45554</v>
      </c>
    </row>
    <row r="1262" spans="1:9" x14ac:dyDescent="0.15">
      <c r="A1262" s="9">
        <v>1261</v>
      </c>
      <c r="B1262" s="9" t="s">
        <v>9</v>
      </c>
      <c r="C1262" s="9">
        <v>1915</v>
      </c>
      <c r="D1262" s="10">
        <v>45639</v>
      </c>
      <c r="E1262" s="13" t="str">
        <f>+HYPERLINK("http://trademark.i-assist.jp/data/china/image_1915th/80998675.pdf","80998675")</f>
        <v>80998675</v>
      </c>
      <c r="F1262" s="9" t="s">
        <v>3523</v>
      </c>
      <c r="G1262" s="9" t="s">
        <v>3524</v>
      </c>
      <c r="H1262" s="12" t="s">
        <v>3525</v>
      </c>
      <c r="I1262" s="10">
        <v>45554</v>
      </c>
    </row>
    <row r="1263" spans="1:9" x14ac:dyDescent="0.15">
      <c r="A1263" s="9">
        <v>1262</v>
      </c>
      <c r="B1263" s="9" t="s">
        <v>9</v>
      </c>
      <c r="C1263" s="9">
        <v>1915</v>
      </c>
      <c r="D1263" s="10">
        <v>45639</v>
      </c>
      <c r="E1263" s="13" t="str">
        <f>+HYPERLINK("http://trademark.i-assist.jp/data/china/image_1915th/80998727.pdf","80998727")</f>
        <v>80998727</v>
      </c>
      <c r="F1263" s="9" t="s">
        <v>3526</v>
      </c>
      <c r="G1263" s="9" t="s">
        <v>3304</v>
      </c>
      <c r="H1263" s="9" t="s">
        <v>3527</v>
      </c>
      <c r="I1263" s="10">
        <v>45554</v>
      </c>
    </row>
    <row r="1264" spans="1:9" x14ac:dyDescent="0.15">
      <c r="A1264" s="9">
        <v>1263</v>
      </c>
      <c r="B1264" s="9" t="s">
        <v>9</v>
      </c>
      <c r="C1264" s="9">
        <v>1915</v>
      </c>
      <c r="D1264" s="10">
        <v>45639</v>
      </c>
      <c r="E1264" s="13" t="str">
        <f>+HYPERLINK("http://trademark.i-assist.jp/data/china/image_1915th/80998895.pdf","80998895")</f>
        <v>80998895</v>
      </c>
      <c r="F1264" s="9" t="s">
        <v>3528</v>
      </c>
      <c r="G1264" s="12" t="s">
        <v>3529</v>
      </c>
      <c r="H1264" s="12" t="s">
        <v>3530</v>
      </c>
      <c r="I1264" s="10">
        <v>45554</v>
      </c>
    </row>
    <row r="1265" spans="1:9" x14ac:dyDescent="0.15">
      <c r="A1265" s="9">
        <v>1264</v>
      </c>
      <c r="B1265" s="9" t="s">
        <v>9</v>
      </c>
      <c r="C1265" s="9">
        <v>1915</v>
      </c>
      <c r="D1265" s="10">
        <v>45639</v>
      </c>
      <c r="E1265" s="13" t="str">
        <f>+HYPERLINK("http://trademark.i-assist.jp/data/china/image_1915th/80998931.pdf","80998931")</f>
        <v>80998931</v>
      </c>
      <c r="F1265" s="9" t="s">
        <v>3531</v>
      </c>
      <c r="G1265" s="9" t="s">
        <v>3384</v>
      </c>
      <c r="H1265" s="9" t="s">
        <v>3532</v>
      </c>
      <c r="I1265" s="10">
        <v>45554</v>
      </c>
    </row>
    <row r="1266" spans="1:9" x14ac:dyDescent="0.15">
      <c r="A1266" s="9">
        <v>1265</v>
      </c>
      <c r="B1266" s="9" t="s">
        <v>9</v>
      </c>
      <c r="C1266" s="9">
        <v>1915</v>
      </c>
      <c r="D1266" s="10">
        <v>45639</v>
      </c>
      <c r="E1266" s="13" t="str">
        <f>+HYPERLINK("http://trademark.i-assist.jp/data/china/image_1915th/80998953.pdf","80998953")</f>
        <v>80998953</v>
      </c>
      <c r="F1266" s="9" t="s">
        <v>3533</v>
      </c>
      <c r="G1266" s="9" t="s">
        <v>3240</v>
      </c>
      <c r="H1266" s="9" t="s">
        <v>3534</v>
      </c>
      <c r="I1266" s="10">
        <v>45554</v>
      </c>
    </row>
    <row r="1267" spans="1:9" x14ac:dyDescent="0.15">
      <c r="A1267" s="9">
        <v>1266</v>
      </c>
      <c r="B1267" s="9" t="s">
        <v>9</v>
      </c>
      <c r="C1267" s="9">
        <v>1915</v>
      </c>
      <c r="D1267" s="10">
        <v>45639</v>
      </c>
      <c r="E1267" s="13" t="str">
        <f>+HYPERLINK("http://trademark.i-assist.jp/data/china/image_1915th/80999030.pdf","80999030")</f>
        <v>80999030</v>
      </c>
      <c r="F1267" s="9" t="s">
        <v>3535</v>
      </c>
      <c r="G1267" s="9" t="s">
        <v>3536</v>
      </c>
      <c r="H1267" s="9" t="s">
        <v>3537</v>
      </c>
      <c r="I1267" s="10">
        <v>45554</v>
      </c>
    </row>
    <row r="1268" spans="1:9" x14ac:dyDescent="0.15">
      <c r="A1268" s="9">
        <v>1267</v>
      </c>
      <c r="B1268" s="9" t="s">
        <v>9</v>
      </c>
      <c r="C1268" s="9">
        <v>1915</v>
      </c>
      <c r="D1268" s="10">
        <v>45639</v>
      </c>
      <c r="E1268" s="13" t="str">
        <f>+HYPERLINK("http://trademark.i-assist.jp/data/china/image_1915th/80999543.pdf","80999543")</f>
        <v>80999543</v>
      </c>
      <c r="F1268" s="12" t="s">
        <v>3538</v>
      </c>
      <c r="G1268" s="9" t="s">
        <v>3333</v>
      </c>
      <c r="H1268" s="9" t="s">
        <v>3539</v>
      </c>
      <c r="I1268" s="10">
        <v>45554</v>
      </c>
    </row>
    <row r="1269" spans="1:9" x14ac:dyDescent="0.15">
      <c r="A1269" s="9">
        <v>1268</v>
      </c>
      <c r="B1269" s="9" t="s">
        <v>9</v>
      </c>
      <c r="C1269" s="9">
        <v>1915</v>
      </c>
      <c r="D1269" s="10">
        <v>45639</v>
      </c>
      <c r="E1269" s="13" t="str">
        <f>+HYPERLINK("http://trademark.i-assist.jp/data/china/image_1915th/81000168.pdf","81000168")</f>
        <v>81000168</v>
      </c>
      <c r="F1269" s="9" t="s">
        <v>3540</v>
      </c>
      <c r="G1269" s="9" t="s">
        <v>3430</v>
      </c>
      <c r="H1269" s="9" t="s">
        <v>3541</v>
      </c>
      <c r="I1269" s="10">
        <v>45554</v>
      </c>
    </row>
    <row r="1270" spans="1:9" x14ac:dyDescent="0.15">
      <c r="A1270" s="9">
        <v>1269</v>
      </c>
      <c r="B1270" s="9" t="s">
        <v>9</v>
      </c>
      <c r="C1270" s="9">
        <v>1915</v>
      </c>
      <c r="D1270" s="10">
        <v>45639</v>
      </c>
      <c r="E1270" s="13" t="str">
        <f>+HYPERLINK("http://trademark.i-assist.jp/data/china/image_1915th/81000245.pdf","81000245")</f>
        <v>81000245</v>
      </c>
      <c r="F1270" s="9" t="s">
        <v>3542</v>
      </c>
      <c r="G1270" s="9" t="s">
        <v>3543</v>
      </c>
      <c r="H1270" s="9" t="s">
        <v>3544</v>
      </c>
      <c r="I1270" s="10">
        <v>45554</v>
      </c>
    </row>
    <row r="1271" spans="1:9" x14ac:dyDescent="0.15">
      <c r="A1271" s="9">
        <v>1270</v>
      </c>
      <c r="B1271" s="9" t="s">
        <v>9</v>
      </c>
      <c r="C1271" s="9">
        <v>1915</v>
      </c>
      <c r="D1271" s="10">
        <v>45639</v>
      </c>
      <c r="E1271" s="13" t="str">
        <f>+HYPERLINK("http://trademark.i-assist.jp/data/china/image_1915th/81000271.pdf","81000271")</f>
        <v>81000271</v>
      </c>
      <c r="F1271" s="9" t="s">
        <v>3545</v>
      </c>
      <c r="G1271" s="9" t="s">
        <v>3226</v>
      </c>
      <c r="H1271" s="9" t="s">
        <v>3546</v>
      </c>
      <c r="I1271" s="10">
        <v>45554</v>
      </c>
    </row>
    <row r="1272" spans="1:9" x14ac:dyDescent="0.15">
      <c r="A1272" s="9">
        <v>1271</v>
      </c>
      <c r="B1272" s="9" t="s">
        <v>9</v>
      </c>
      <c r="C1272" s="9">
        <v>1915</v>
      </c>
      <c r="D1272" s="10">
        <v>45639</v>
      </c>
      <c r="E1272" s="13" t="str">
        <f>+HYPERLINK("http://trademark.i-assist.jp/data/china/image_1915th/81000925.pdf","81000925")</f>
        <v>81000925</v>
      </c>
      <c r="F1272" s="9" t="s">
        <v>3547</v>
      </c>
      <c r="G1272" s="9" t="s">
        <v>3279</v>
      </c>
      <c r="H1272" s="9" t="s">
        <v>3548</v>
      </c>
      <c r="I1272" s="10">
        <v>45554</v>
      </c>
    </row>
    <row r="1273" spans="1:9" x14ac:dyDescent="0.15">
      <c r="A1273" s="9">
        <v>1272</v>
      </c>
      <c r="B1273" s="9" t="s">
        <v>9</v>
      </c>
      <c r="C1273" s="9">
        <v>1915</v>
      </c>
      <c r="D1273" s="10">
        <v>45639</v>
      </c>
      <c r="E1273" s="13" t="str">
        <f>+HYPERLINK("http://trademark.i-assist.jp/data/china/image_1915th/81000973.pdf","81000973")</f>
        <v>81000973</v>
      </c>
      <c r="F1273" s="9" t="s">
        <v>3549</v>
      </c>
      <c r="G1273" s="9" t="s">
        <v>3550</v>
      </c>
      <c r="H1273" s="9" t="s">
        <v>3551</v>
      </c>
      <c r="I1273" s="10">
        <v>45554</v>
      </c>
    </row>
    <row r="1274" spans="1:9" x14ac:dyDescent="0.15">
      <c r="A1274" s="9">
        <v>1273</v>
      </c>
      <c r="B1274" s="9" t="s">
        <v>9</v>
      </c>
      <c r="C1274" s="9">
        <v>1915</v>
      </c>
      <c r="D1274" s="10">
        <v>45639</v>
      </c>
      <c r="E1274" s="13" t="str">
        <f>+HYPERLINK("http://trademark.i-assist.jp/data/china/image_1915th/81001625.pdf","81001625")</f>
        <v>81001625</v>
      </c>
      <c r="F1274" s="9" t="s">
        <v>3552</v>
      </c>
      <c r="G1274" s="9" t="s">
        <v>3553</v>
      </c>
      <c r="H1274" s="12" t="s">
        <v>3554</v>
      </c>
      <c r="I1274" s="10">
        <v>45554</v>
      </c>
    </row>
    <row r="1275" spans="1:9" x14ac:dyDescent="0.15">
      <c r="A1275" s="9">
        <v>1274</v>
      </c>
      <c r="B1275" s="9" t="s">
        <v>9</v>
      </c>
      <c r="C1275" s="9">
        <v>1915</v>
      </c>
      <c r="D1275" s="10">
        <v>45639</v>
      </c>
      <c r="E1275" s="13" t="str">
        <f>+HYPERLINK("http://trademark.i-assist.jp/data/china/image_1915th/81001662.pdf","81001662")</f>
        <v>81001662</v>
      </c>
      <c r="F1275" s="9" t="s">
        <v>3555</v>
      </c>
      <c r="G1275" s="9" t="s">
        <v>3240</v>
      </c>
      <c r="H1275" s="9" t="s">
        <v>3556</v>
      </c>
      <c r="I1275" s="10">
        <v>45554</v>
      </c>
    </row>
    <row r="1276" spans="1:9" x14ac:dyDescent="0.15">
      <c r="A1276" s="9">
        <v>1275</v>
      </c>
      <c r="B1276" s="9" t="s">
        <v>9</v>
      </c>
      <c r="C1276" s="9">
        <v>1915</v>
      </c>
      <c r="D1276" s="10">
        <v>45639</v>
      </c>
      <c r="E1276" s="13" t="str">
        <f>+HYPERLINK("http://trademark.i-assist.jp/data/china/image_1915th/81001670.pdf","81001670")</f>
        <v>81001670</v>
      </c>
      <c r="F1276" s="9" t="s">
        <v>3557</v>
      </c>
      <c r="G1276" s="9" t="s">
        <v>3240</v>
      </c>
      <c r="H1276" s="9" t="s">
        <v>3558</v>
      </c>
      <c r="I1276" s="10">
        <v>45554</v>
      </c>
    </row>
    <row r="1277" spans="1:9" x14ac:dyDescent="0.15">
      <c r="A1277" s="9">
        <v>1276</v>
      </c>
      <c r="B1277" s="9" t="s">
        <v>9</v>
      </c>
      <c r="C1277" s="9">
        <v>1915</v>
      </c>
      <c r="D1277" s="10">
        <v>45639</v>
      </c>
      <c r="E1277" s="13" t="str">
        <f>+HYPERLINK("http://trademark.i-assist.jp/data/china/image_1915th/81001999.pdf","81001999")</f>
        <v>81001999</v>
      </c>
      <c r="F1277" s="11" t="s">
        <v>3559</v>
      </c>
      <c r="G1277" s="12" t="s">
        <v>3411</v>
      </c>
      <c r="H1277" s="12" t="s">
        <v>3560</v>
      </c>
      <c r="I1277" s="10">
        <v>45554</v>
      </c>
    </row>
    <row r="1278" spans="1:9" x14ac:dyDescent="0.15">
      <c r="A1278" s="9">
        <v>1277</v>
      </c>
      <c r="B1278" s="9" t="s">
        <v>9</v>
      </c>
      <c r="C1278" s="9">
        <v>1915</v>
      </c>
      <c r="D1278" s="10">
        <v>45639</v>
      </c>
      <c r="E1278" s="13" t="str">
        <f>+HYPERLINK("http://trademark.i-assist.jp/data/china/image_1915th/81002140.pdf","81002140")</f>
        <v>81002140</v>
      </c>
      <c r="F1278" s="9" t="s">
        <v>3561</v>
      </c>
      <c r="G1278" s="12" t="s">
        <v>3562</v>
      </c>
      <c r="H1278" s="9" t="s">
        <v>3563</v>
      </c>
      <c r="I1278" s="10">
        <v>45554</v>
      </c>
    </row>
    <row r="1279" spans="1:9" x14ac:dyDescent="0.15">
      <c r="A1279" s="9">
        <v>1278</v>
      </c>
      <c r="B1279" s="9" t="s">
        <v>9</v>
      </c>
      <c r="C1279" s="9">
        <v>1915</v>
      </c>
      <c r="D1279" s="10">
        <v>45639</v>
      </c>
      <c r="E1279" s="13" t="str">
        <f>+HYPERLINK("http://trademark.i-assist.jp/data/china/image_1915th/81002153.pdf","81002153")</f>
        <v>81002153</v>
      </c>
      <c r="F1279" s="9" t="s">
        <v>3564</v>
      </c>
      <c r="G1279" s="9" t="s">
        <v>3565</v>
      </c>
      <c r="H1279" s="9" t="s">
        <v>3566</v>
      </c>
      <c r="I1279" s="10">
        <v>45554</v>
      </c>
    </row>
    <row r="1280" spans="1:9" x14ac:dyDescent="0.15">
      <c r="A1280" s="9">
        <v>1279</v>
      </c>
      <c r="B1280" s="9" t="s">
        <v>9</v>
      </c>
      <c r="C1280" s="9">
        <v>1915</v>
      </c>
      <c r="D1280" s="10">
        <v>45639</v>
      </c>
      <c r="E1280" s="13" t="str">
        <f>+HYPERLINK("http://trademark.i-assist.jp/data/china/image_1915th/81002354.pdf","81002354")</f>
        <v>81002354</v>
      </c>
      <c r="F1280" s="9" t="s">
        <v>3567</v>
      </c>
      <c r="G1280" s="12" t="s">
        <v>3292</v>
      </c>
      <c r="H1280" s="9" t="s">
        <v>3568</v>
      </c>
      <c r="I1280" s="10">
        <v>45554</v>
      </c>
    </row>
    <row r="1281" spans="1:9" x14ac:dyDescent="0.15">
      <c r="A1281" s="9">
        <v>1280</v>
      </c>
      <c r="B1281" s="9" t="s">
        <v>9</v>
      </c>
      <c r="C1281" s="9">
        <v>1915</v>
      </c>
      <c r="D1281" s="10">
        <v>45639</v>
      </c>
      <c r="E1281" s="13" t="str">
        <f>+HYPERLINK("http://trademark.i-assist.jp/data/china/image_1915th/81002550.pdf","81002550")</f>
        <v>81002550</v>
      </c>
      <c r="F1281" s="12" t="s">
        <v>3569</v>
      </c>
      <c r="G1281" s="9" t="s">
        <v>3570</v>
      </c>
      <c r="H1281" s="9" t="s">
        <v>3571</v>
      </c>
      <c r="I1281" s="10">
        <v>45554</v>
      </c>
    </row>
    <row r="1282" spans="1:9" x14ac:dyDescent="0.15">
      <c r="A1282" s="9">
        <v>1281</v>
      </c>
      <c r="B1282" s="9" t="s">
        <v>9</v>
      </c>
      <c r="C1282" s="9">
        <v>1915</v>
      </c>
      <c r="D1282" s="10">
        <v>45639</v>
      </c>
      <c r="E1282" s="13" t="str">
        <f>+HYPERLINK("http://trademark.i-assist.jp/data/china/image_1915th/81002725.pdf","81002725")</f>
        <v>81002725</v>
      </c>
      <c r="F1282" s="9" t="s">
        <v>3572</v>
      </c>
      <c r="G1282" s="9" t="s">
        <v>3573</v>
      </c>
      <c r="H1282" s="9" t="s">
        <v>3574</v>
      </c>
      <c r="I1282" s="10">
        <v>45554</v>
      </c>
    </row>
    <row r="1283" spans="1:9" x14ac:dyDescent="0.15">
      <c r="A1283" s="9">
        <v>1282</v>
      </c>
      <c r="B1283" s="9" t="s">
        <v>9</v>
      </c>
      <c r="C1283" s="9">
        <v>1915</v>
      </c>
      <c r="D1283" s="10">
        <v>45639</v>
      </c>
      <c r="E1283" s="13" t="str">
        <f>+HYPERLINK("http://trademark.i-assist.jp/data/china/image_1915th/81003147.pdf","81003147")</f>
        <v>81003147</v>
      </c>
      <c r="F1283" s="9" t="s">
        <v>3575</v>
      </c>
      <c r="G1283" s="9" t="s">
        <v>3576</v>
      </c>
      <c r="H1283" s="9" t="s">
        <v>3577</v>
      </c>
      <c r="I1283" s="10">
        <v>45554</v>
      </c>
    </row>
    <row r="1284" spans="1:9" x14ac:dyDescent="0.15">
      <c r="A1284" s="9">
        <v>1283</v>
      </c>
      <c r="B1284" s="9" t="s">
        <v>9</v>
      </c>
      <c r="C1284" s="9">
        <v>1915</v>
      </c>
      <c r="D1284" s="10">
        <v>45639</v>
      </c>
      <c r="E1284" s="13" t="str">
        <f>+HYPERLINK("http://trademark.i-assist.jp/data/china/image_1915th/81003195.pdf","81003195")</f>
        <v>81003195</v>
      </c>
      <c r="F1284" s="9" t="s">
        <v>3578</v>
      </c>
      <c r="G1284" s="9" t="s">
        <v>3333</v>
      </c>
      <c r="H1284" s="9" t="s">
        <v>3579</v>
      </c>
      <c r="I1284" s="10">
        <v>45554</v>
      </c>
    </row>
    <row r="1285" spans="1:9" x14ac:dyDescent="0.15">
      <c r="A1285" s="9">
        <v>1284</v>
      </c>
      <c r="B1285" s="9" t="s">
        <v>9</v>
      </c>
      <c r="C1285" s="9">
        <v>1915</v>
      </c>
      <c r="D1285" s="10">
        <v>45639</v>
      </c>
      <c r="E1285" s="13" t="str">
        <f>+HYPERLINK("http://trademark.i-assist.jp/data/china/image_1915th/81003337.pdf","81003337")</f>
        <v>81003337</v>
      </c>
      <c r="F1285" s="9" t="s">
        <v>3580</v>
      </c>
      <c r="G1285" s="9" t="s">
        <v>3581</v>
      </c>
      <c r="H1285" s="12" t="s">
        <v>3582</v>
      </c>
      <c r="I1285" s="10">
        <v>45554</v>
      </c>
    </row>
    <row r="1286" spans="1:9" x14ac:dyDescent="0.15">
      <c r="A1286" s="9">
        <v>1285</v>
      </c>
      <c r="B1286" s="9" t="s">
        <v>9</v>
      </c>
      <c r="C1286" s="9">
        <v>1915</v>
      </c>
      <c r="D1286" s="10">
        <v>45639</v>
      </c>
      <c r="E1286" s="13" t="str">
        <f>+HYPERLINK("http://trademark.i-assist.jp/data/china/image_1915th/81003576.pdf","81003576")</f>
        <v>81003576</v>
      </c>
      <c r="F1286" s="9" t="s">
        <v>3583</v>
      </c>
      <c r="G1286" s="9" t="s">
        <v>3469</v>
      </c>
      <c r="H1286" s="9" t="s">
        <v>3584</v>
      </c>
      <c r="I1286" s="10">
        <v>45554</v>
      </c>
    </row>
    <row r="1287" spans="1:9" x14ac:dyDescent="0.15">
      <c r="A1287" s="9">
        <v>1286</v>
      </c>
      <c r="B1287" s="9" t="s">
        <v>9</v>
      </c>
      <c r="C1287" s="9">
        <v>1915</v>
      </c>
      <c r="D1287" s="10">
        <v>45639</v>
      </c>
      <c r="E1287" s="13" t="str">
        <f>+HYPERLINK("http://trademark.i-assist.jp/data/china/image_1915th/81003635.pdf","81003635")</f>
        <v>81003635</v>
      </c>
      <c r="F1287" s="9" t="s">
        <v>3585</v>
      </c>
      <c r="G1287" s="12" t="s">
        <v>3586</v>
      </c>
      <c r="H1287" s="12" t="s">
        <v>3587</v>
      </c>
      <c r="I1287" s="10">
        <v>45554</v>
      </c>
    </row>
    <row r="1288" spans="1:9" x14ac:dyDescent="0.15">
      <c r="A1288" s="9">
        <v>1287</v>
      </c>
      <c r="B1288" s="9" t="s">
        <v>9</v>
      </c>
      <c r="C1288" s="9">
        <v>1915</v>
      </c>
      <c r="D1288" s="10">
        <v>45639</v>
      </c>
      <c r="E1288" s="13" t="str">
        <f>+HYPERLINK("http://trademark.i-assist.jp/data/china/image_1915th/81003955.pdf","81003955")</f>
        <v>81003955</v>
      </c>
      <c r="F1288" s="9" t="s">
        <v>3588</v>
      </c>
      <c r="G1288" s="9" t="s">
        <v>3240</v>
      </c>
      <c r="H1288" s="9" t="s">
        <v>3589</v>
      </c>
      <c r="I1288" s="10">
        <v>45554</v>
      </c>
    </row>
    <row r="1289" spans="1:9" x14ac:dyDescent="0.15">
      <c r="A1289" s="9">
        <v>1288</v>
      </c>
      <c r="B1289" s="9" t="s">
        <v>9</v>
      </c>
      <c r="C1289" s="9">
        <v>1915</v>
      </c>
      <c r="D1289" s="10">
        <v>45639</v>
      </c>
      <c r="E1289" s="13" t="str">
        <f>+HYPERLINK("http://trademark.i-assist.jp/data/china/image_1915th/81003968.pdf","81003968")</f>
        <v>81003968</v>
      </c>
      <c r="F1289" s="12" t="s">
        <v>3590</v>
      </c>
      <c r="G1289" s="9" t="s">
        <v>3491</v>
      </c>
      <c r="H1289" s="9" t="s">
        <v>3591</v>
      </c>
      <c r="I1289" s="10">
        <v>45554</v>
      </c>
    </row>
    <row r="1290" spans="1:9" x14ac:dyDescent="0.15">
      <c r="A1290" s="9">
        <v>1289</v>
      </c>
      <c r="B1290" s="9" t="s">
        <v>9</v>
      </c>
      <c r="C1290" s="9">
        <v>1915</v>
      </c>
      <c r="D1290" s="10">
        <v>45639</v>
      </c>
      <c r="E1290" s="13" t="str">
        <f>+HYPERLINK("http://trademark.i-assist.jp/data/china/image_1915th/81004616.pdf","81004616")</f>
        <v>81004616</v>
      </c>
      <c r="F1290" s="9" t="s">
        <v>3592</v>
      </c>
      <c r="G1290" s="12" t="s">
        <v>3593</v>
      </c>
      <c r="H1290" s="9" t="s">
        <v>3594</v>
      </c>
      <c r="I1290" s="10">
        <v>45554</v>
      </c>
    </row>
    <row r="1291" spans="1:9" x14ac:dyDescent="0.15">
      <c r="A1291" s="9">
        <v>1290</v>
      </c>
      <c r="B1291" s="9" t="s">
        <v>9</v>
      </c>
      <c r="C1291" s="9">
        <v>1915</v>
      </c>
      <c r="D1291" s="10">
        <v>45639</v>
      </c>
      <c r="E1291" s="13" t="str">
        <f>+HYPERLINK("http://trademark.i-assist.jp/data/china/image_1915th/81004790.pdf","81004790")</f>
        <v>81004790</v>
      </c>
      <c r="F1291" s="9" t="s">
        <v>3595</v>
      </c>
      <c r="G1291" s="12" t="s">
        <v>3596</v>
      </c>
      <c r="H1291" s="9" t="s">
        <v>3597</v>
      </c>
      <c r="I1291" s="10">
        <v>45554</v>
      </c>
    </row>
    <row r="1292" spans="1:9" x14ac:dyDescent="0.15">
      <c r="A1292" s="9">
        <v>1291</v>
      </c>
      <c r="B1292" s="9" t="s">
        <v>9</v>
      </c>
      <c r="C1292" s="9">
        <v>1915</v>
      </c>
      <c r="D1292" s="10">
        <v>45639</v>
      </c>
      <c r="E1292" s="13" t="str">
        <f>+HYPERLINK("http://trademark.i-assist.jp/data/china/image_1915th/81004900.pdf","81004900")</f>
        <v>81004900</v>
      </c>
      <c r="F1292" s="9" t="s">
        <v>3598</v>
      </c>
      <c r="G1292" s="9" t="s">
        <v>3599</v>
      </c>
      <c r="H1292" s="12" t="s">
        <v>3600</v>
      </c>
      <c r="I1292" s="10">
        <v>45554</v>
      </c>
    </row>
    <row r="1293" spans="1:9" x14ac:dyDescent="0.15">
      <c r="A1293" s="9">
        <v>1292</v>
      </c>
      <c r="B1293" s="9" t="s">
        <v>9</v>
      </c>
      <c r="C1293" s="9">
        <v>1915</v>
      </c>
      <c r="D1293" s="10">
        <v>45639</v>
      </c>
      <c r="E1293" s="13" t="str">
        <f>+HYPERLINK("http://trademark.i-assist.jp/data/china/image_1915th/81004911.pdf","81004911")</f>
        <v>81004911</v>
      </c>
      <c r="F1293" s="9" t="s">
        <v>3601</v>
      </c>
      <c r="G1293" s="12" t="s">
        <v>3602</v>
      </c>
      <c r="H1293" s="9" t="s">
        <v>3603</v>
      </c>
      <c r="I1293" s="10">
        <v>45554</v>
      </c>
    </row>
    <row r="1294" spans="1:9" x14ac:dyDescent="0.15">
      <c r="A1294" s="9">
        <v>1293</v>
      </c>
      <c r="B1294" s="9" t="s">
        <v>9</v>
      </c>
      <c r="C1294" s="9">
        <v>1915</v>
      </c>
      <c r="D1294" s="10">
        <v>45639</v>
      </c>
      <c r="E1294" s="13" t="str">
        <f>+HYPERLINK("http://trademark.i-assist.jp/data/china/image_1915th/81004920.pdf","81004920")</f>
        <v>81004920</v>
      </c>
      <c r="F1294" s="9" t="s">
        <v>3604</v>
      </c>
      <c r="G1294" s="9" t="s">
        <v>3605</v>
      </c>
      <c r="H1294" s="9" t="s">
        <v>3606</v>
      </c>
      <c r="I1294" s="10">
        <v>45554</v>
      </c>
    </row>
    <row r="1295" spans="1:9" x14ac:dyDescent="0.15">
      <c r="A1295" s="9">
        <v>1294</v>
      </c>
      <c r="B1295" s="9" t="s">
        <v>9</v>
      </c>
      <c r="C1295" s="9">
        <v>1915</v>
      </c>
      <c r="D1295" s="10">
        <v>45639</v>
      </c>
      <c r="E1295" s="13" t="str">
        <f>+HYPERLINK("http://trademark.i-assist.jp/data/china/image_1915th/81004950.pdf","81004950")</f>
        <v>81004950</v>
      </c>
      <c r="F1295" s="9" t="s">
        <v>3607</v>
      </c>
      <c r="G1295" s="9" t="s">
        <v>3608</v>
      </c>
      <c r="H1295" s="9" t="s">
        <v>3609</v>
      </c>
      <c r="I1295" s="10">
        <v>45554</v>
      </c>
    </row>
    <row r="1296" spans="1:9" x14ac:dyDescent="0.15">
      <c r="A1296" s="9">
        <v>1295</v>
      </c>
      <c r="B1296" s="9" t="s">
        <v>9</v>
      </c>
      <c r="C1296" s="9">
        <v>1915</v>
      </c>
      <c r="D1296" s="10">
        <v>45639</v>
      </c>
      <c r="E1296" s="13" t="str">
        <f>+HYPERLINK("http://trademark.i-assist.jp/data/china/image_1915th/81005150.pdf","81005150")</f>
        <v>81005150</v>
      </c>
      <c r="F1296" s="9" t="s">
        <v>3610</v>
      </c>
      <c r="G1296" s="9" t="s">
        <v>87</v>
      </c>
      <c r="H1296" s="9" t="s">
        <v>3611</v>
      </c>
      <c r="I1296" s="10">
        <v>45554</v>
      </c>
    </row>
    <row r="1297" spans="1:9" x14ac:dyDescent="0.15">
      <c r="A1297" s="9">
        <v>1296</v>
      </c>
      <c r="B1297" s="9" t="s">
        <v>9</v>
      </c>
      <c r="C1297" s="9">
        <v>1915</v>
      </c>
      <c r="D1297" s="10">
        <v>45639</v>
      </c>
      <c r="E1297" s="13" t="str">
        <f>+HYPERLINK("http://trademark.i-assist.jp/data/china/image_1915th/81005163.pdf","81005163")</f>
        <v>81005163</v>
      </c>
      <c r="F1297" s="12" t="s">
        <v>3612</v>
      </c>
      <c r="G1297" s="12" t="s">
        <v>3292</v>
      </c>
      <c r="H1297" s="9" t="s">
        <v>3613</v>
      </c>
      <c r="I1297" s="10">
        <v>45554</v>
      </c>
    </row>
    <row r="1298" spans="1:9" x14ac:dyDescent="0.15">
      <c r="A1298" s="9">
        <v>1297</v>
      </c>
      <c r="B1298" s="9" t="s">
        <v>9</v>
      </c>
      <c r="C1298" s="9">
        <v>1915</v>
      </c>
      <c r="D1298" s="10">
        <v>45639</v>
      </c>
      <c r="E1298" s="13" t="str">
        <f>+HYPERLINK("http://trademark.i-assist.jp/data/china/image_1915th/81005168.pdf","81005168")</f>
        <v>81005168</v>
      </c>
      <c r="F1298" s="9" t="s">
        <v>3614</v>
      </c>
      <c r="G1298" s="9" t="s">
        <v>87</v>
      </c>
      <c r="H1298" s="9" t="s">
        <v>3615</v>
      </c>
      <c r="I1298" s="10">
        <v>45554</v>
      </c>
    </row>
    <row r="1299" spans="1:9" x14ac:dyDescent="0.15">
      <c r="A1299" s="9">
        <v>1298</v>
      </c>
      <c r="B1299" s="9" t="s">
        <v>9</v>
      </c>
      <c r="C1299" s="9">
        <v>1915</v>
      </c>
      <c r="D1299" s="10">
        <v>45639</v>
      </c>
      <c r="E1299" s="13" t="str">
        <f>+HYPERLINK("http://trademark.i-assist.jp/data/china/image_1915th/81005177.pdf","81005177")</f>
        <v>81005177</v>
      </c>
      <c r="F1299" s="9" t="s">
        <v>3616</v>
      </c>
      <c r="G1299" s="9" t="s">
        <v>87</v>
      </c>
      <c r="H1299" s="9" t="s">
        <v>3617</v>
      </c>
      <c r="I1299" s="10">
        <v>45554</v>
      </c>
    </row>
    <row r="1300" spans="1:9" x14ac:dyDescent="0.15">
      <c r="A1300" s="9">
        <v>1299</v>
      </c>
      <c r="B1300" s="9" t="s">
        <v>9</v>
      </c>
      <c r="C1300" s="9">
        <v>1915</v>
      </c>
      <c r="D1300" s="10">
        <v>45639</v>
      </c>
      <c r="E1300" s="13" t="str">
        <f>+HYPERLINK("http://trademark.i-assist.jp/data/china/image_1915th/81005393.pdf","81005393")</f>
        <v>81005393</v>
      </c>
      <c r="F1300" s="9" t="s">
        <v>3618</v>
      </c>
      <c r="G1300" s="12" t="s">
        <v>3619</v>
      </c>
      <c r="H1300" s="9" t="s">
        <v>3620</v>
      </c>
      <c r="I1300" s="10">
        <v>45554</v>
      </c>
    </row>
    <row r="1301" spans="1:9" x14ac:dyDescent="0.15">
      <c r="A1301" s="9">
        <v>1300</v>
      </c>
      <c r="B1301" s="9" t="s">
        <v>9</v>
      </c>
      <c r="C1301" s="9">
        <v>1915</v>
      </c>
      <c r="D1301" s="10">
        <v>45639</v>
      </c>
      <c r="E1301" s="13" t="str">
        <f>+HYPERLINK("http://trademark.i-assist.jp/data/china/image_1915th/81005496.pdf","81005496")</f>
        <v>81005496</v>
      </c>
      <c r="F1301" s="12" t="s">
        <v>3621</v>
      </c>
      <c r="G1301" s="12" t="s">
        <v>3622</v>
      </c>
      <c r="H1301" s="9" t="s">
        <v>3623</v>
      </c>
      <c r="I1301" s="10">
        <v>45554</v>
      </c>
    </row>
    <row r="1302" spans="1:9" x14ac:dyDescent="0.15">
      <c r="A1302" s="9">
        <v>1301</v>
      </c>
      <c r="B1302" s="9" t="s">
        <v>9</v>
      </c>
      <c r="C1302" s="9">
        <v>1915</v>
      </c>
      <c r="D1302" s="10">
        <v>45639</v>
      </c>
      <c r="E1302" s="13" t="str">
        <f>+HYPERLINK("http://trademark.i-assist.jp/data/china/image_1915th/81005749.pdf","81005749")</f>
        <v>81005749</v>
      </c>
      <c r="F1302" s="9" t="s">
        <v>3624</v>
      </c>
      <c r="G1302" s="9" t="s">
        <v>3240</v>
      </c>
      <c r="H1302" s="9" t="s">
        <v>3625</v>
      </c>
      <c r="I1302" s="10">
        <v>45554</v>
      </c>
    </row>
    <row r="1303" spans="1:9" x14ac:dyDescent="0.15">
      <c r="A1303" s="9">
        <v>1302</v>
      </c>
      <c r="B1303" s="9" t="s">
        <v>9</v>
      </c>
      <c r="C1303" s="9">
        <v>1915</v>
      </c>
      <c r="D1303" s="10">
        <v>45639</v>
      </c>
      <c r="E1303" s="13" t="str">
        <f>+HYPERLINK("http://trademark.i-assist.jp/data/china/image_1915th/81005815.pdf","81005815")</f>
        <v>81005815</v>
      </c>
      <c r="F1303" s="12" t="s">
        <v>15</v>
      </c>
      <c r="G1303" s="9" t="s">
        <v>3211</v>
      </c>
      <c r="H1303" s="9" t="s">
        <v>3626</v>
      </c>
      <c r="I1303" s="10">
        <v>45554</v>
      </c>
    </row>
    <row r="1304" spans="1:9" x14ac:dyDescent="0.15">
      <c r="A1304" s="9">
        <v>1303</v>
      </c>
      <c r="B1304" s="9" t="s">
        <v>9</v>
      </c>
      <c r="C1304" s="9">
        <v>1915</v>
      </c>
      <c r="D1304" s="10">
        <v>45639</v>
      </c>
      <c r="E1304" s="13" t="str">
        <f>+HYPERLINK("http://trademark.i-assist.jp/data/china/image_1915th/81006043.pdf","81006043")</f>
        <v>81006043</v>
      </c>
      <c r="F1304" s="9" t="s">
        <v>3627</v>
      </c>
      <c r="G1304" s="12" t="s">
        <v>3628</v>
      </c>
      <c r="H1304" s="9" t="s">
        <v>3629</v>
      </c>
      <c r="I1304" s="10">
        <v>45554</v>
      </c>
    </row>
    <row r="1305" spans="1:9" x14ac:dyDescent="0.15">
      <c r="A1305" s="9">
        <v>1304</v>
      </c>
      <c r="B1305" s="9" t="s">
        <v>9</v>
      </c>
      <c r="C1305" s="9">
        <v>1915</v>
      </c>
      <c r="D1305" s="10">
        <v>45639</v>
      </c>
      <c r="E1305" s="13" t="str">
        <f>+HYPERLINK("http://trademark.i-assist.jp/data/china/image_1915th/81006063.pdf","81006063")</f>
        <v>81006063</v>
      </c>
      <c r="F1305" s="9" t="s">
        <v>3630</v>
      </c>
      <c r="G1305" s="9" t="s">
        <v>3630</v>
      </c>
      <c r="H1305" s="9" t="s">
        <v>3631</v>
      </c>
      <c r="I1305" s="10">
        <v>45554</v>
      </c>
    </row>
    <row r="1306" spans="1:9" x14ac:dyDescent="0.15">
      <c r="A1306" s="9">
        <v>1305</v>
      </c>
      <c r="B1306" s="9" t="s">
        <v>9</v>
      </c>
      <c r="C1306" s="9">
        <v>1915</v>
      </c>
      <c r="D1306" s="10">
        <v>45639</v>
      </c>
      <c r="E1306" s="13" t="str">
        <f>+HYPERLINK("http://trademark.i-assist.jp/data/china/image_1915th/81006417.pdf","81006417")</f>
        <v>81006417</v>
      </c>
      <c r="F1306" s="9" t="s">
        <v>3632</v>
      </c>
      <c r="G1306" s="9" t="s">
        <v>3633</v>
      </c>
      <c r="H1306" s="9" t="s">
        <v>3634</v>
      </c>
      <c r="I1306" s="10">
        <v>45555</v>
      </c>
    </row>
    <row r="1307" spans="1:9" x14ac:dyDescent="0.15">
      <c r="A1307" s="9">
        <v>1306</v>
      </c>
      <c r="B1307" s="9" t="s">
        <v>9</v>
      </c>
      <c r="C1307" s="9">
        <v>1915</v>
      </c>
      <c r="D1307" s="10">
        <v>45639</v>
      </c>
      <c r="E1307" s="13" t="str">
        <f>+HYPERLINK("http://trademark.i-assist.jp/data/china/image_1915th/81006428.pdf","81006428")</f>
        <v>81006428</v>
      </c>
      <c r="F1307" s="9" t="s">
        <v>3635</v>
      </c>
      <c r="G1307" s="9" t="s">
        <v>3633</v>
      </c>
      <c r="H1307" s="9" t="s">
        <v>3636</v>
      </c>
      <c r="I1307" s="10">
        <v>45555</v>
      </c>
    </row>
    <row r="1308" spans="1:9" x14ac:dyDescent="0.15">
      <c r="A1308" s="9">
        <v>1307</v>
      </c>
      <c r="B1308" s="9" t="s">
        <v>9</v>
      </c>
      <c r="C1308" s="9">
        <v>1915</v>
      </c>
      <c r="D1308" s="10">
        <v>45639</v>
      </c>
      <c r="E1308" s="13" t="str">
        <f>+HYPERLINK("http://trademark.i-assist.jp/data/china/image_1915th/81006550.pdf","81006550")</f>
        <v>81006550</v>
      </c>
      <c r="F1308" s="9" t="s">
        <v>3637</v>
      </c>
      <c r="G1308" s="12" t="s">
        <v>3638</v>
      </c>
      <c r="H1308" s="9" t="s">
        <v>3639</v>
      </c>
      <c r="I1308" s="10">
        <v>45555</v>
      </c>
    </row>
    <row r="1309" spans="1:9" x14ac:dyDescent="0.15">
      <c r="A1309" s="9">
        <v>1308</v>
      </c>
      <c r="B1309" s="9" t="s">
        <v>9</v>
      </c>
      <c r="C1309" s="9">
        <v>1915</v>
      </c>
      <c r="D1309" s="10">
        <v>45639</v>
      </c>
      <c r="E1309" s="13" t="str">
        <f>+HYPERLINK("http://trademark.i-assist.jp/data/china/image_1915th/81006589.pdf","81006589")</f>
        <v>81006589</v>
      </c>
      <c r="F1309" s="12" t="s">
        <v>3640</v>
      </c>
      <c r="G1309" s="9" t="s">
        <v>3641</v>
      </c>
      <c r="H1309" s="9" t="s">
        <v>3642</v>
      </c>
      <c r="I1309" s="10">
        <v>45555</v>
      </c>
    </row>
    <row r="1310" spans="1:9" x14ac:dyDescent="0.15">
      <c r="A1310" s="9">
        <v>1309</v>
      </c>
      <c r="B1310" s="9" t="s">
        <v>9</v>
      </c>
      <c r="C1310" s="9">
        <v>1915</v>
      </c>
      <c r="D1310" s="10">
        <v>45639</v>
      </c>
      <c r="E1310" s="13" t="str">
        <f>+HYPERLINK("http://trademark.i-assist.jp/data/china/image_1915th/81006650.pdf","81006650")</f>
        <v>81006650</v>
      </c>
      <c r="F1310" s="9" t="s">
        <v>3643</v>
      </c>
      <c r="G1310" s="9" t="s">
        <v>1782</v>
      </c>
      <c r="H1310" s="9" t="s">
        <v>3644</v>
      </c>
      <c r="I1310" s="10">
        <v>45555</v>
      </c>
    </row>
    <row r="1311" spans="1:9" x14ac:dyDescent="0.15">
      <c r="A1311" s="9">
        <v>1310</v>
      </c>
      <c r="B1311" s="9" t="s">
        <v>9</v>
      </c>
      <c r="C1311" s="9">
        <v>1915</v>
      </c>
      <c r="D1311" s="10">
        <v>45639</v>
      </c>
      <c r="E1311" s="13" t="str">
        <f>+HYPERLINK("http://trademark.i-assist.jp/data/china/image_1915th/81006760.pdf","81006760")</f>
        <v>81006760</v>
      </c>
      <c r="F1311" s="9" t="s">
        <v>3645</v>
      </c>
      <c r="G1311" s="9" t="s">
        <v>3646</v>
      </c>
      <c r="H1311" s="9" t="s">
        <v>3647</v>
      </c>
      <c r="I1311" s="10">
        <v>45555</v>
      </c>
    </row>
    <row r="1312" spans="1:9" x14ac:dyDescent="0.15">
      <c r="A1312" s="9">
        <v>1311</v>
      </c>
      <c r="B1312" s="9" t="s">
        <v>9</v>
      </c>
      <c r="C1312" s="9">
        <v>1915</v>
      </c>
      <c r="D1312" s="10">
        <v>45639</v>
      </c>
      <c r="E1312" s="13" t="str">
        <f>+HYPERLINK("http://trademark.i-assist.jp/data/china/image_1915th/81006791.pdf","81006791")</f>
        <v>81006791</v>
      </c>
      <c r="F1312" s="12" t="s">
        <v>15</v>
      </c>
      <c r="G1312" s="9" t="s">
        <v>3648</v>
      </c>
      <c r="H1312" s="9" t="s">
        <v>3649</v>
      </c>
      <c r="I1312" s="10">
        <v>45555</v>
      </c>
    </row>
    <row r="1313" spans="1:9" x14ac:dyDescent="0.15">
      <c r="A1313" s="9">
        <v>1312</v>
      </c>
      <c r="B1313" s="9" t="s">
        <v>9</v>
      </c>
      <c r="C1313" s="9">
        <v>1915</v>
      </c>
      <c r="D1313" s="10">
        <v>45639</v>
      </c>
      <c r="E1313" s="13" t="str">
        <f>+HYPERLINK("http://trademark.i-assist.jp/data/china/image_1915th/81007013.pdf","81007013")</f>
        <v>81007013</v>
      </c>
      <c r="F1313" s="12" t="s">
        <v>3650</v>
      </c>
      <c r="G1313" s="9" t="s">
        <v>3651</v>
      </c>
      <c r="H1313" s="9" t="s">
        <v>3652</v>
      </c>
      <c r="I1313" s="10">
        <v>45555</v>
      </c>
    </row>
    <row r="1314" spans="1:9" x14ac:dyDescent="0.15">
      <c r="A1314" s="9">
        <v>1313</v>
      </c>
      <c r="B1314" s="9" t="s">
        <v>9</v>
      </c>
      <c r="C1314" s="9">
        <v>1915</v>
      </c>
      <c r="D1314" s="10">
        <v>45639</v>
      </c>
      <c r="E1314" s="13" t="str">
        <f>+HYPERLINK("http://trademark.i-assist.jp/data/china/image_1915th/81007249.pdf","81007249")</f>
        <v>81007249</v>
      </c>
      <c r="F1314" s="9" t="s">
        <v>3653</v>
      </c>
      <c r="G1314" s="9" t="s">
        <v>3654</v>
      </c>
      <c r="H1314" s="9" t="s">
        <v>3655</v>
      </c>
      <c r="I1314" s="10">
        <v>45555</v>
      </c>
    </row>
    <row r="1315" spans="1:9" x14ac:dyDescent="0.15">
      <c r="A1315" s="9">
        <v>1314</v>
      </c>
      <c r="B1315" s="9" t="s">
        <v>9</v>
      </c>
      <c r="C1315" s="9">
        <v>1915</v>
      </c>
      <c r="D1315" s="10">
        <v>45639</v>
      </c>
      <c r="E1315" s="13" t="str">
        <f>+HYPERLINK("http://trademark.i-assist.jp/data/china/image_1915th/81007261.pdf","81007261")</f>
        <v>81007261</v>
      </c>
      <c r="F1315" s="9" t="s">
        <v>3656</v>
      </c>
      <c r="G1315" s="12" t="s">
        <v>3638</v>
      </c>
      <c r="H1315" s="9" t="s">
        <v>3657</v>
      </c>
      <c r="I1315" s="10">
        <v>45555</v>
      </c>
    </row>
    <row r="1316" spans="1:9" x14ac:dyDescent="0.15">
      <c r="A1316" s="9">
        <v>1315</v>
      </c>
      <c r="B1316" s="9" t="s">
        <v>9</v>
      </c>
      <c r="C1316" s="9">
        <v>1915</v>
      </c>
      <c r="D1316" s="10">
        <v>45639</v>
      </c>
      <c r="E1316" s="13" t="str">
        <f>+HYPERLINK("http://trademark.i-assist.jp/data/china/image_1915th/81007354.pdf","81007354")</f>
        <v>81007354</v>
      </c>
      <c r="F1316" s="9" t="s">
        <v>3658</v>
      </c>
      <c r="G1316" s="12" t="s">
        <v>3659</v>
      </c>
      <c r="H1316" s="9" t="s">
        <v>3660</v>
      </c>
      <c r="I1316" s="10">
        <v>45555</v>
      </c>
    </row>
    <row r="1317" spans="1:9" x14ac:dyDescent="0.15">
      <c r="A1317" s="9">
        <v>1316</v>
      </c>
      <c r="B1317" s="9" t="s">
        <v>9</v>
      </c>
      <c r="C1317" s="9">
        <v>1915</v>
      </c>
      <c r="D1317" s="10">
        <v>45639</v>
      </c>
      <c r="E1317" s="13" t="str">
        <f>+HYPERLINK("http://trademark.i-assist.jp/data/china/image_1915th/81007875.pdf","81007875")</f>
        <v>81007875</v>
      </c>
      <c r="F1317" s="9" t="s">
        <v>3661</v>
      </c>
      <c r="G1317" s="9" t="s">
        <v>3662</v>
      </c>
      <c r="H1317" s="9" t="s">
        <v>3663</v>
      </c>
      <c r="I1317" s="10">
        <v>45555</v>
      </c>
    </row>
    <row r="1318" spans="1:9" x14ac:dyDescent="0.15">
      <c r="A1318" s="9">
        <v>1317</v>
      </c>
      <c r="B1318" s="9" t="s">
        <v>9</v>
      </c>
      <c r="C1318" s="9">
        <v>1915</v>
      </c>
      <c r="D1318" s="10">
        <v>45639</v>
      </c>
      <c r="E1318" s="13" t="str">
        <f>+HYPERLINK("http://trademark.i-assist.jp/data/china/image_1915th/81007960.pdf","81007960")</f>
        <v>81007960</v>
      </c>
      <c r="F1318" s="9" t="s">
        <v>3664</v>
      </c>
      <c r="G1318" s="12" t="s">
        <v>3665</v>
      </c>
      <c r="H1318" s="9" t="s">
        <v>3666</v>
      </c>
      <c r="I1318" s="10">
        <v>45555</v>
      </c>
    </row>
    <row r="1319" spans="1:9" x14ac:dyDescent="0.15">
      <c r="A1319" s="9">
        <v>1318</v>
      </c>
      <c r="B1319" s="9" t="s">
        <v>9</v>
      </c>
      <c r="C1319" s="9">
        <v>1915</v>
      </c>
      <c r="D1319" s="10">
        <v>45639</v>
      </c>
      <c r="E1319" s="13" t="str">
        <f>+HYPERLINK("http://trademark.i-assist.jp/data/china/image_1915th/81008061.pdf","81008061")</f>
        <v>81008061</v>
      </c>
      <c r="F1319" s="9" t="s">
        <v>3667</v>
      </c>
      <c r="G1319" s="9" t="s">
        <v>3668</v>
      </c>
      <c r="H1319" s="9" t="s">
        <v>3669</v>
      </c>
      <c r="I1319" s="10">
        <v>45555</v>
      </c>
    </row>
    <row r="1320" spans="1:9" x14ac:dyDescent="0.15">
      <c r="A1320" s="9">
        <v>1319</v>
      </c>
      <c r="B1320" s="9" t="s">
        <v>9</v>
      </c>
      <c r="C1320" s="9">
        <v>1915</v>
      </c>
      <c r="D1320" s="10">
        <v>45639</v>
      </c>
      <c r="E1320" s="13" t="str">
        <f>+HYPERLINK("http://trademark.i-assist.jp/data/china/image_1915th/81008139.pdf","81008139")</f>
        <v>81008139</v>
      </c>
      <c r="F1320" s="9" t="s">
        <v>3670</v>
      </c>
      <c r="G1320" s="9" t="s">
        <v>3671</v>
      </c>
      <c r="H1320" s="9" t="s">
        <v>3672</v>
      </c>
      <c r="I1320" s="10">
        <v>45555</v>
      </c>
    </row>
    <row r="1321" spans="1:9" x14ac:dyDescent="0.15">
      <c r="A1321" s="9">
        <v>1320</v>
      </c>
      <c r="B1321" s="9" t="s">
        <v>9</v>
      </c>
      <c r="C1321" s="9">
        <v>1915</v>
      </c>
      <c r="D1321" s="10">
        <v>45639</v>
      </c>
      <c r="E1321" s="13" t="str">
        <f>+HYPERLINK("http://trademark.i-assist.jp/data/china/image_1915th/81008739.pdf","81008739")</f>
        <v>81008739</v>
      </c>
      <c r="F1321" s="9" t="s">
        <v>3673</v>
      </c>
      <c r="G1321" s="9" t="s">
        <v>3674</v>
      </c>
      <c r="H1321" s="9" t="s">
        <v>3675</v>
      </c>
      <c r="I1321" s="10">
        <v>45555</v>
      </c>
    </row>
    <row r="1322" spans="1:9" x14ac:dyDescent="0.15">
      <c r="A1322" s="9">
        <v>1321</v>
      </c>
      <c r="B1322" s="9" t="s">
        <v>9</v>
      </c>
      <c r="C1322" s="9">
        <v>1915</v>
      </c>
      <c r="D1322" s="10">
        <v>45639</v>
      </c>
      <c r="E1322" s="13" t="str">
        <f>+HYPERLINK("http://trademark.i-assist.jp/data/china/image_1915th/81009014.pdf","81009014")</f>
        <v>81009014</v>
      </c>
      <c r="F1322" s="9" t="s">
        <v>3676</v>
      </c>
      <c r="G1322" s="9" t="s">
        <v>3677</v>
      </c>
      <c r="H1322" s="9" t="s">
        <v>3678</v>
      </c>
      <c r="I1322" s="10">
        <v>45555</v>
      </c>
    </row>
    <row r="1323" spans="1:9" x14ac:dyDescent="0.15">
      <c r="A1323" s="9">
        <v>1322</v>
      </c>
      <c r="B1323" s="9" t="s">
        <v>9</v>
      </c>
      <c r="C1323" s="9">
        <v>1915</v>
      </c>
      <c r="D1323" s="10">
        <v>45639</v>
      </c>
      <c r="E1323" s="13" t="str">
        <f>+HYPERLINK("http://trademark.i-assist.jp/data/china/image_1915th/81009118.pdf","81009118")</f>
        <v>81009118</v>
      </c>
      <c r="F1323" s="9" t="s">
        <v>3679</v>
      </c>
      <c r="G1323" s="12" t="s">
        <v>3680</v>
      </c>
      <c r="H1323" s="9" t="s">
        <v>3681</v>
      </c>
      <c r="I1323" s="10">
        <v>45555</v>
      </c>
    </row>
    <row r="1324" spans="1:9" x14ac:dyDescent="0.15">
      <c r="A1324" s="9">
        <v>1323</v>
      </c>
      <c r="B1324" s="9" t="s">
        <v>9</v>
      </c>
      <c r="C1324" s="9">
        <v>1915</v>
      </c>
      <c r="D1324" s="10">
        <v>45639</v>
      </c>
      <c r="E1324" s="13" t="str">
        <f>+HYPERLINK("http://trademark.i-assist.jp/data/china/image_1915th/81009224.pdf","81009224")</f>
        <v>81009224</v>
      </c>
      <c r="F1324" s="9" t="s">
        <v>3682</v>
      </c>
      <c r="G1324" s="9" t="s">
        <v>3683</v>
      </c>
      <c r="H1324" s="12" t="s">
        <v>3684</v>
      </c>
      <c r="I1324" s="10">
        <v>45555</v>
      </c>
    </row>
    <row r="1325" spans="1:9" x14ac:dyDescent="0.15">
      <c r="A1325" s="9">
        <v>1324</v>
      </c>
      <c r="B1325" s="9" t="s">
        <v>9</v>
      </c>
      <c r="C1325" s="9">
        <v>1915</v>
      </c>
      <c r="D1325" s="10">
        <v>45639</v>
      </c>
      <c r="E1325" s="13" t="str">
        <f>+HYPERLINK("http://trademark.i-assist.jp/data/china/image_1915th/81009601.pdf","81009601")</f>
        <v>81009601</v>
      </c>
      <c r="F1325" s="9" t="s">
        <v>3685</v>
      </c>
      <c r="G1325" s="9" t="s">
        <v>3686</v>
      </c>
      <c r="H1325" s="9" t="s">
        <v>3687</v>
      </c>
      <c r="I1325" s="10">
        <v>45555</v>
      </c>
    </row>
    <row r="1326" spans="1:9" x14ac:dyDescent="0.15">
      <c r="A1326" s="9">
        <v>1325</v>
      </c>
      <c r="B1326" s="9" t="s">
        <v>9</v>
      </c>
      <c r="C1326" s="9">
        <v>1915</v>
      </c>
      <c r="D1326" s="10">
        <v>45639</v>
      </c>
      <c r="E1326" s="13" t="str">
        <f>+HYPERLINK("http://trademark.i-assist.jp/data/china/image_1915th/81009634.pdf","81009634")</f>
        <v>81009634</v>
      </c>
      <c r="F1326" s="9" t="s">
        <v>3688</v>
      </c>
      <c r="G1326" s="9" t="s">
        <v>3689</v>
      </c>
      <c r="H1326" s="9" t="s">
        <v>3690</v>
      </c>
      <c r="I1326" s="10">
        <v>45555</v>
      </c>
    </row>
    <row r="1327" spans="1:9" x14ac:dyDescent="0.15">
      <c r="A1327" s="9">
        <v>1326</v>
      </c>
      <c r="B1327" s="9" t="s">
        <v>9</v>
      </c>
      <c r="C1327" s="9">
        <v>1915</v>
      </c>
      <c r="D1327" s="10">
        <v>45639</v>
      </c>
      <c r="E1327" s="13" t="str">
        <f>+HYPERLINK("http://trademark.i-assist.jp/data/china/image_1915th/81009968.pdf","81009968")</f>
        <v>81009968</v>
      </c>
      <c r="F1327" s="12" t="s">
        <v>3691</v>
      </c>
      <c r="G1327" s="12" t="s">
        <v>3692</v>
      </c>
      <c r="H1327" s="9" t="s">
        <v>3693</v>
      </c>
      <c r="I1327" s="10">
        <v>45555</v>
      </c>
    </row>
    <row r="1328" spans="1:9" x14ac:dyDescent="0.15">
      <c r="A1328" s="9">
        <v>1327</v>
      </c>
      <c r="B1328" s="9" t="s">
        <v>9</v>
      </c>
      <c r="C1328" s="9">
        <v>1915</v>
      </c>
      <c r="D1328" s="10">
        <v>45639</v>
      </c>
      <c r="E1328" s="13" t="str">
        <f>+HYPERLINK("http://trademark.i-assist.jp/data/china/image_1915th/81010296.pdf","81010296")</f>
        <v>81010296</v>
      </c>
      <c r="F1328" s="9" t="s">
        <v>3694</v>
      </c>
      <c r="G1328" s="12" t="s">
        <v>3695</v>
      </c>
      <c r="H1328" s="9" t="s">
        <v>3696</v>
      </c>
      <c r="I1328" s="10">
        <v>45555</v>
      </c>
    </row>
    <row r="1329" spans="1:9" x14ac:dyDescent="0.15">
      <c r="A1329" s="9">
        <v>1328</v>
      </c>
      <c r="B1329" s="9" t="s">
        <v>9</v>
      </c>
      <c r="C1329" s="9">
        <v>1915</v>
      </c>
      <c r="D1329" s="10">
        <v>45639</v>
      </c>
      <c r="E1329" s="13" t="str">
        <f>+HYPERLINK("http://trademark.i-assist.jp/data/china/image_1915th/81010389.pdf","81010389")</f>
        <v>81010389</v>
      </c>
      <c r="F1329" s="9" t="s">
        <v>3697</v>
      </c>
      <c r="G1329" s="9" t="s">
        <v>3698</v>
      </c>
      <c r="H1329" s="9" t="s">
        <v>3699</v>
      </c>
      <c r="I1329" s="10">
        <v>45555</v>
      </c>
    </row>
    <row r="1330" spans="1:9" x14ac:dyDescent="0.15">
      <c r="A1330" s="9">
        <v>1329</v>
      </c>
      <c r="B1330" s="9" t="s">
        <v>9</v>
      </c>
      <c r="C1330" s="9">
        <v>1915</v>
      </c>
      <c r="D1330" s="10">
        <v>45639</v>
      </c>
      <c r="E1330" s="13" t="str">
        <f>+HYPERLINK("http://trademark.i-assist.jp/data/china/image_1915th/81011133.pdf","81011133")</f>
        <v>81011133</v>
      </c>
      <c r="F1330" s="9" t="s">
        <v>3700</v>
      </c>
      <c r="G1330" s="12" t="s">
        <v>3701</v>
      </c>
      <c r="H1330" s="9" t="s">
        <v>3702</v>
      </c>
      <c r="I1330" s="10">
        <v>45555</v>
      </c>
    </row>
    <row r="1331" spans="1:9" x14ac:dyDescent="0.15">
      <c r="A1331" s="9">
        <v>1330</v>
      </c>
      <c r="B1331" s="9" t="s">
        <v>9</v>
      </c>
      <c r="C1331" s="9">
        <v>1915</v>
      </c>
      <c r="D1331" s="10">
        <v>45639</v>
      </c>
      <c r="E1331" s="13" t="str">
        <f>+HYPERLINK("http://trademark.i-assist.jp/data/china/image_1915th/81011391.pdf","81011391")</f>
        <v>81011391</v>
      </c>
      <c r="F1331" s="9" t="s">
        <v>3703</v>
      </c>
      <c r="G1331" s="9" t="s">
        <v>3704</v>
      </c>
      <c r="H1331" s="9" t="s">
        <v>3705</v>
      </c>
      <c r="I1331" s="10">
        <v>45555</v>
      </c>
    </row>
    <row r="1332" spans="1:9" x14ac:dyDescent="0.15">
      <c r="A1332" s="9">
        <v>1331</v>
      </c>
      <c r="B1332" s="9" t="s">
        <v>9</v>
      </c>
      <c r="C1332" s="9">
        <v>1915</v>
      </c>
      <c r="D1332" s="10">
        <v>45639</v>
      </c>
      <c r="E1332" s="13" t="str">
        <f>+HYPERLINK("http://trademark.i-assist.jp/data/china/image_1915th/81011424.pdf","81011424")</f>
        <v>81011424</v>
      </c>
      <c r="F1332" s="9" t="s">
        <v>3706</v>
      </c>
      <c r="G1332" s="9" t="s">
        <v>3707</v>
      </c>
      <c r="H1332" s="9" t="s">
        <v>3708</v>
      </c>
      <c r="I1332" s="10">
        <v>45555</v>
      </c>
    </row>
    <row r="1333" spans="1:9" x14ac:dyDescent="0.15">
      <c r="A1333" s="9">
        <v>1332</v>
      </c>
      <c r="B1333" s="9" t="s">
        <v>9</v>
      </c>
      <c r="C1333" s="9">
        <v>1915</v>
      </c>
      <c r="D1333" s="10">
        <v>45639</v>
      </c>
      <c r="E1333" s="13" t="str">
        <f>+HYPERLINK("http://trademark.i-assist.jp/data/china/image_1915th/81011645.pdf","81011645")</f>
        <v>81011645</v>
      </c>
      <c r="F1333" s="9" t="s">
        <v>3709</v>
      </c>
      <c r="G1333" s="12" t="s">
        <v>3710</v>
      </c>
      <c r="H1333" s="9" t="s">
        <v>3711</v>
      </c>
      <c r="I1333" s="10">
        <v>45555</v>
      </c>
    </row>
    <row r="1334" spans="1:9" x14ac:dyDescent="0.15">
      <c r="A1334" s="9">
        <v>1333</v>
      </c>
      <c r="B1334" s="9" t="s">
        <v>9</v>
      </c>
      <c r="C1334" s="9">
        <v>1915</v>
      </c>
      <c r="D1334" s="10">
        <v>45639</v>
      </c>
      <c r="E1334" s="13" t="str">
        <f>+HYPERLINK("http://trademark.i-assist.jp/data/china/image_1915th/81011831.pdf","81011831")</f>
        <v>81011831</v>
      </c>
      <c r="F1334" s="9" t="s">
        <v>3712</v>
      </c>
      <c r="G1334" s="12" t="s">
        <v>3713</v>
      </c>
      <c r="H1334" s="9" t="s">
        <v>3714</v>
      </c>
      <c r="I1334" s="10">
        <v>45555</v>
      </c>
    </row>
    <row r="1335" spans="1:9" x14ac:dyDescent="0.15">
      <c r="A1335" s="9">
        <v>1334</v>
      </c>
      <c r="B1335" s="9" t="s">
        <v>9</v>
      </c>
      <c r="C1335" s="9">
        <v>1915</v>
      </c>
      <c r="D1335" s="10">
        <v>45639</v>
      </c>
      <c r="E1335" s="13" t="str">
        <f>+HYPERLINK("http://trademark.i-assist.jp/data/china/image_1915th/81011838.pdf","81011838")</f>
        <v>81011838</v>
      </c>
      <c r="F1335" s="9" t="s">
        <v>3715</v>
      </c>
      <c r="G1335" s="12" t="s">
        <v>3713</v>
      </c>
      <c r="H1335" s="9" t="s">
        <v>3716</v>
      </c>
      <c r="I1335" s="10">
        <v>45555</v>
      </c>
    </row>
    <row r="1336" spans="1:9" x14ac:dyDescent="0.15">
      <c r="A1336" s="9">
        <v>1335</v>
      </c>
      <c r="B1336" s="9" t="s">
        <v>9</v>
      </c>
      <c r="C1336" s="9">
        <v>1915</v>
      </c>
      <c r="D1336" s="10">
        <v>45639</v>
      </c>
      <c r="E1336" s="13" t="str">
        <f>+HYPERLINK("http://trademark.i-assist.jp/data/china/image_1915th/81011926.pdf","81011926")</f>
        <v>81011926</v>
      </c>
      <c r="F1336" s="9" t="s">
        <v>3717</v>
      </c>
      <c r="G1336" s="9" t="s">
        <v>3718</v>
      </c>
      <c r="H1336" s="9" t="s">
        <v>3719</v>
      </c>
      <c r="I1336" s="10">
        <v>45555</v>
      </c>
    </row>
    <row r="1337" spans="1:9" x14ac:dyDescent="0.15">
      <c r="A1337" s="9">
        <v>1336</v>
      </c>
      <c r="B1337" s="9" t="s">
        <v>9</v>
      </c>
      <c r="C1337" s="9">
        <v>1915</v>
      </c>
      <c r="D1337" s="10">
        <v>45639</v>
      </c>
      <c r="E1337" s="13" t="str">
        <f>+HYPERLINK("http://trademark.i-assist.jp/data/china/image_1915th/81011994.pdf","81011994")</f>
        <v>81011994</v>
      </c>
      <c r="F1337" s="9" t="s">
        <v>3720</v>
      </c>
      <c r="G1337" s="9" t="s">
        <v>3721</v>
      </c>
      <c r="H1337" s="9" t="s">
        <v>3722</v>
      </c>
      <c r="I1337" s="10">
        <v>45555</v>
      </c>
    </row>
    <row r="1338" spans="1:9" x14ac:dyDescent="0.15">
      <c r="A1338" s="9">
        <v>1337</v>
      </c>
      <c r="B1338" s="9" t="s">
        <v>9</v>
      </c>
      <c r="C1338" s="9">
        <v>1915</v>
      </c>
      <c r="D1338" s="10">
        <v>45639</v>
      </c>
      <c r="E1338" s="13" t="str">
        <f>+HYPERLINK("http://trademark.i-assist.jp/data/china/image_1915th/81012154.pdf","81012154")</f>
        <v>81012154</v>
      </c>
      <c r="F1338" s="12" t="s">
        <v>15</v>
      </c>
      <c r="G1338" s="9" t="s">
        <v>3723</v>
      </c>
      <c r="H1338" s="9" t="s">
        <v>3724</v>
      </c>
      <c r="I1338" s="10">
        <v>45555</v>
      </c>
    </row>
    <row r="1339" spans="1:9" x14ac:dyDescent="0.15">
      <c r="A1339" s="9">
        <v>1338</v>
      </c>
      <c r="B1339" s="9" t="s">
        <v>9</v>
      </c>
      <c r="C1339" s="9">
        <v>1915</v>
      </c>
      <c r="D1339" s="10">
        <v>45639</v>
      </c>
      <c r="E1339" s="13" t="str">
        <f>+HYPERLINK("http://trademark.i-assist.jp/data/china/image_1915th/81012366.pdf","81012366")</f>
        <v>81012366</v>
      </c>
      <c r="F1339" s="9" t="s">
        <v>3725</v>
      </c>
      <c r="G1339" s="9" t="s">
        <v>3726</v>
      </c>
      <c r="H1339" s="9" t="s">
        <v>3727</v>
      </c>
      <c r="I1339" s="10">
        <v>45555</v>
      </c>
    </row>
    <row r="1340" spans="1:9" x14ac:dyDescent="0.15">
      <c r="A1340" s="9">
        <v>1339</v>
      </c>
      <c r="B1340" s="9" t="s">
        <v>9</v>
      </c>
      <c r="C1340" s="9">
        <v>1915</v>
      </c>
      <c r="D1340" s="10">
        <v>45639</v>
      </c>
      <c r="E1340" s="13" t="str">
        <f>+HYPERLINK("http://trademark.i-assist.jp/data/china/image_1915th/81012501.pdf","81012501")</f>
        <v>81012501</v>
      </c>
      <c r="F1340" s="12" t="s">
        <v>3728</v>
      </c>
      <c r="G1340" s="9" t="s">
        <v>3729</v>
      </c>
      <c r="H1340" s="12" t="s">
        <v>3730</v>
      </c>
      <c r="I1340" s="10">
        <v>45555</v>
      </c>
    </row>
    <row r="1341" spans="1:9" x14ac:dyDescent="0.15">
      <c r="A1341" s="9">
        <v>1340</v>
      </c>
      <c r="B1341" s="9" t="s">
        <v>9</v>
      </c>
      <c r="C1341" s="9">
        <v>1915</v>
      </c>
      <c r="D1341" s="10">
        <v>45639</v>
      </c>
      <c r="E1341" s="13" t="str">
        <f>+HYPERLINK("http://trademark.i-assist.jp/data/china/image_1915th/81013233.pdf","81013233")</f>
        <v>81013233</v>
      </c>
      <c r="F1341" s="9" t="s">
        <v>3731</v>
      </c>
      <c r="G1341" s="12" t="s">
        <v>3732</v>
      </c>
      <c r="H1341" s="9" t="s">
        <v>3733</v>
      </c>
      <c r="I1341" s="10">
        <v>45555</v>
      </c>
    </row>
    <row r="1342" spans="1:9" x14ac:dyDescent="0.15">
      <c r="A1342" s="9">
        <v>1341</v>
      </c>
      <c r="B1342" s="9" t="s">
        <v>9</v>
      </c>
      <c r="C1342" s="9">
        <v>1915</v>
      </c>
      <c r="D1342" s="10">
        <v>45639</v>
      </c>
      <c r="E1342" s="13" t="str">
        <f>+HYPERLINK("http://trademark.i-assist.jp/data/china/image_1915th/81013256.pdf","81013256")</f>
        <v>81013256</v>
      </c>
      <c r="F1342" s="9" t="s">
        <v>3734</v>
      </c>
      <c r="G1342" s="12" t="s">
        <v>3659</v>
      </c>
      <c r="H1342" s="9" t="s">
        <v>3735</v>
      </c>
      <c r="I1342" s="10">
        <v>45555</v>
      </c>
    </row>
    <row r="1343" spans="1:9" x14ac:dyDescent="0.15">
      <c r="A1343" s="9">
        <v>1342</v>
      </c>
      <c r="B1343" s="9" t="s">
        <v>9</v>
      </c>
      <c r="C1343" s="9">
        <v>1915</v>
      </c>
      <c r="D1343" s="10">
        <v>45639</v>
      </c>
      <c r="E1343" s="13" t="str">
        <f>+HYPERLINK("http://trademark.i-assist.jp/data/china/image_1915th/81013361.pdf","81013361")</f>
        <v>81013361</v>
      </c>
      <c r="F1343" s="9" t="s">
        <v>3736</v>
      </c>
      <c r="G1343" s="9" t="s">
        <v>3737</v>
      </c>
      <c r="H1343" s="9" t="s">
        <v>3738</v>
      </c>
      <c r="I1343" s="10">
        <v>45555</v>
      </c>
    </row>
    <row r="1344" spans="1:9" x14ac:dyDescent="0.15">
      <c r="A1344" s="9">
        <v>1343</v>
      </c>
      <c r="B1344" s="9" t="s">
        <v>9</v>
      </c>
      <c r="C1344" s="9">
        <v>1915</v>
      </c>
      <c r="D1344" s="10">
        <v>45639</v>
      </c>
      <c r="E1344" s="13" t="str">
        <f>+HYPERLINK("http://trademark.i-assist.jp/data/china/image_1915th/81014300.pdf","81014300")</f>
        <v>81014300</v>
      </c>
      <c r="F1344" s="9" t="s">
        <v>3739</v>
      </c>
      <c r="G1344" s="9" t="s">
        <v>3740</v>
      </c>
      <c r="H1344" s="9" t="s">
        <v>3741</v>
      </c>
      <c r="I1344" s="10">
        <v>45555</v>
      </c>
    </row>
    <row r="1345" spans="1:9" x14ac:dyDescent="0.15">
      <c r="A1345" s="9">
        <v>1344</v>
      </c>
      <c r="B1345" s="9" t="s">
        <v>9</v>
      </c>
      <c r="C1345" s="9">
        <v>1915</v>
      </c>
      <c r="D1345" s="10">
        <v>45639</v>
      </c>
      <c r="E1345" s="13" t="str">
        <f>+HYPERLINK("http://trademark.i-assist.jp/data/china/image_1915th/81014481.pdf","81014481")</f>
        <v>81014481</v>
      </c>
      <c r="F1345" s="9" t="s">
        <v>3742</v>
      </c>
      <c r="G1345" s="9" t="s">
        <v>3648</v>
      </c>
      <c r="H1345" s="9" t="s">
        <v>3743</v>
      </c>
      <c r="I1345" s="10">
        <v>45555</v>
      </c>
    </row>
    <row r="1346" spans="1:9" x14ac:dyDescent="0.15">
      <c r="A1346" s="9">
        <v>1345</v>
      </c>
      <c r="B1346" s="9" t="s">
        <v>9</v>
      </c>
      <c r="C1346" s="9">
        <v>1915</v>
      </c>
      <c r="D1346" s="10">
        <v>45639</v>
      </c>
      <c r="E1346" s="13" t="str">
        <f>+HYPERLINK("http://trademark.i-assist.jp/data/china/image_1915th/81014508.pdf","81014508")</f>
        <v>81014508</v>
      </c>
      <c r="F1346" s="9" t="s">
        <v>3744</v>
      </c>
      <c r="G1346" s="9" t="s">
        <v>3745</v>
      </c>
      <c r="H1346" s="9" t="s">
        <v>3746</v>
      </c>
      <c r="I1346" s="10">
        <v>45555</v>
      </c>
    </row>
    <row r="1347" spans="1:9" x14ac:dyDescent="0.15">
      <c r="A1347" s="9">
        <v>1346</v>
      </c>
      <c r="B1347" s="9" t="s">
        <v>9</v>
      </c>
      <c r="C1347" s="9">
        <v>1915</v>
      </c>
      <c r="D1347" s="10">
        <v>45639</v>
      </c>
      <c r="E1347" s="13" t="str">
        <f>+HYPERLINK("http://trademark.i-assist.jp/data/china/image_1915th/81014839.pdf","81014839")</f>
        <v>81014839</v>
      </c>
      <c r="F1347" s="9" t="s">
        <v>3747</v>
      </c>
      <c r="G1347" s="9" t="s">
        <v>1782</v>
      </c>
      <c r="H1347" s="9" t="s">
        <v>3748</v>
      </c>
      <c r="I1347" s="10">
        <v>45555</v>
      </c>
    </row>
    <row r="1348" spans="1:9" x14ac:dyDescent="0.15">
      <c r="A1348" s="9">
        <v>1347</v>
      </c>
      <c r="B1348" s="9" t="s">
        <v>9</v>
      </c>
      <c r="C1348" s="9">
        <v>1915</v>
      </c>
      <c r="D1348" s="10">
        <v>45639</v>
      </c>
      <c r="E1348" s="13" t="str">
        <f>+HYPERLINK("http://trademark.i-assist.jp/data/china/image_1915th/81014953.pdf","81014953")</f>
        <v>81014953</v>
      </c>
      <c r="F1348" s="9" t="s">
        <v>3749</v>
      </c>
      <c r="G1348" s="9" t="s">
        <v>3750</v>
      </c>
      <c r="H1348" s="9" t="s">
        <v>3751</v>
      </c>
      <c r="I1348" s="10">
        <v>45555</v>
      </c>
    </row>
    <row r="1349" spans="1:9" x14ac:dyDescent="0.15">
      <c r="A1349" s="9">
        <v>1348</v>
      </c>
      <c r="B1349" s="9" t="s">
        <v>9</v>
      </c>
      <c r="C1349" s="9">
        <v>1915</v>
      </c>
      <c r="D1349" s="10">
        <v>45639</v>
      </c>
      <c r="E1349" s="13" t="str">
        <f>+HYPERLINK("http://trademark.i-assist.jp/data/china/image_1915th/81015094.pdf","81015094")</f>
        <v>81015094</v>
      </c>
      <c r="F1349" s="9" t="s">
        <v>3752</v>
      </c>
      <c r="G1349" s="9" t="s">
        <v>3111</v>
      </c>
      <c r="H1349" s="12" t="s">
        <v>3753</v>
      </c>
      <c r="I1349" s="10">
        <v>45555</v>
      </c>
    </row>
    <row r="1350" spans="1:9" x14ac:dyDescent="0.15">
      <c r="A1350" s="9">
        <v>1349</v>
      </c>
      <c r="B1350" s="9" t="s">
        <v>9</v>
      </c>
      <c r="C1350" s="9">
        <v>1915</v>
      </c>
      <c r="D1350" s="10">
        <v>45639</v>
      </c>
      <c r="E1350" s="13" t="str">
        <f>+HYPERLINK("http://trademark.i-assist.jp/data/china/image_1915th/81015299.pdf","81015299")</f>
        <v>81015299</v>
      </c>
      <c r="F1350" s="12" t="s">
        <v>3754</v>
      </c>
      <c r="G1350" s="9" t="s">
        <v>3755</v>
      </c>
      <c r="H1350" s="9" t="s">
        <v>3756</v>
      </c>
      <c r="I1350" s="10">
        <v>45555</v>
      </c>
    </row>
    <row r="1351" spans="1:9" x14ac:dyDescent="0.15">
      <c r="A1351" s="9">
        <v>1350</v>
      </c>
      <c r="B1351" s="9" t="s">
        <v>9</v>
      </c>
      <c r="C1351" s="9">
        <v>1915</v>
      </c>
      <c r="D1351" s="10">
        <v>45639</v>
      </c>
      <c r="E1351" s="13" t="str">
        <f>+HYPERLINK("http://trademark.i-assist.jp/data/china/image_1915th/81015394.pdf","81015394")</f>
        <v>81015394</v>
      </c>
      <c r="F1351" s="9" t="s">
        <v>3757</v>
      </c>
      <c r="G1351" s="9" t="s">
        <v>3758</v>
      </c>
      <c r="H1351" s="9" t="s">
        <v>3759</v>
      </c>
      <c r="I1351" s="10">
        <v>45555</v>
      </c>
    </row>
    <row r="1352" spans="1:9" x14ac:dyDescent="0.15">
      <c r="A1352" s="9">
        <v>1351</v>
      </c>
      <c r="B1352" s="9" t="s">
        <v>9</v>
      </c>
      <c r="C1352" s="9">
        <v>1915</v>
      </c>
      <c r="D1352" s="10">
        <v>45639</v>
      </c>
      <c r="E1352" s="13" t="str">
        <f>+HYPERLINK("http://trademark.i-assist.jp/data/china/image_1915th/81015968.pdf","81015968")</f>
        <v>81015968</v>
      </c>
      <c r="F1352" s="9" t="s">
        <v>3760</v>
      </c>
      <c r="G1352" s="9" t="s">
        <v>3761</v>
      </c>
      <c r="H1352" s="9" t="s">
        <v>3762</v>
      </c>
      <c r="I1352" s="10">
        <v>45555</v>
      </c>
    </row>
    <row r="1353" spans="1:9" x14ac:dyDescent="0.15">
      <c r="A1353" s="9">
        <v>1352</v>
      </c>
      <c r="B1353" s="9" t="s">
        <v>9</v>
      </c>
      <c r="C1353" s="9">
        <v>1915</v>
      </c>
      <c r="D1353" s="10">
        <v>45639</v>
      </c>
      <c r="E1353" s="13" t="str">
        <f>+HYPERLINK("http://trademark.i-assist.jp/data/china/image_1915th/81016138.pdf","81016138")</f>
        <v>81016138</v>
      </c>
      <c r="F1353" s="9" t="s">
        <v>3763</v>
      </c>
      <c r="G1353" s="9" t="s">
        <v>3671</v>
      </c>
      <c r="H1353" s="9" t="s">
        <v>3764</v>
      </c>
      <c r="I1353" s="10">
        <v>45555</v>
      </c>
    </row>
    <row r="1354" spans="1:9" x14ac:dyDescent="0.15">
      <c r="A1354" s="9">
        <v>1353</v>
      </c>
      <c r="B1354" s="9" t="s">
        <v>9</v>
      </c>
      <c r="C1354" s="9">
        <v>1915</v>
      </c>
      <c r="D1354" s="10">
        <v>45639</v>
      </c>
      <c r="E1354" s="13" t="str">
        <f>+HYPERLINK("http://trademark.i-assist.jp/data/china/image_1915th/81016188.pdf","81016188")</f>
        <v>81016188</v>
      </c>
      <c r="F1354" s="9" t="s">
        <v>3765</v>
      </c>
      <c r="G1354" s="9" t="s">
        <v>3766</v>
      </c>
      <c r="H1354" s="9" t="s">
        <v>3767</v>
      </c>
      <c r="I1354" s="10">
        <v>45555</v>
      </c>
    </row>
    <row r="1355" spans="1:9" x14ac:dyDescent="0.15">
      <c r="A1355" s="9">
        <v>1354</v>
      </c>
      <c r="B1355" s="9" t="s">
        <v>9</v>
      </c>
      <c r="C1355" s="9">
        <v>1915</v>
      </c>
      <c r="D1355" s="10">
        <v>45639</v>
      </c>
      <c r="E1355" s="13" t="str">
        <f>+HYPERLINK("http://trademark.i-assist.jp/data/china/image_1915th/81016249.pdf","81016249")</f>
        <v>81016249</v>
      </c>
      <c r="F1355" s="12" t="s">
        <v>3768</v>
      </c>
      <c r="G1355" s="9" t="s">
        <v>3769</v>
      </c>
      <c r="H1355" s="9" t="s">
        <v>3770</v>
      </c>
      <c r="I1355" s="10">
        <v>45555</v>
      </c>
    </row>
    <row r="1356" spans="1:9" x14ac:dyDescent="0.15">
      <c r="A1356" s="9">
        <v>1355</v>
      </c>
      <c r="B1356" s="9" t="s">
        <v>9</v>
      </c>
      <c r="C1356" s="9">
        <v>1915</v>
      </c>
      <c r="D1356" s="10">
        <v>45639</v>
      </c>
      <c r="E1356" s="13" t="str">
        <f>+HYPERLINK("http://trademark.i-assist.jp/data/china/image_1915th/81016419.pdf","81016419")</f>
        <v>81016419</v>
      </c>
      <c r="F1356" s="9" t="s">
        <v>3771</v>
      </c>
      <c r="G1356" s="9" t="s">
        <v>3772</v>
      </c>
      <c r="H1356" s="12" t="s">
        <v>3773</v>
      </c>
      <c r="I1356" s="10">
        <v>45555</v>
      </c>
    </row>
    <row r="1357" spans="1:9" x14ac:dyDescent="0.15">
      <c r="A1357" s="9">
        <v>1356</v>
      </c>
      <c r="B1357" s="9" t="s">
        <v>9</v>
      </c>
      <c r="C1357" s="9">
        <v>1915</v>
      </c>
      <c r="D1357" s="10">
        <v>45639</v>
      </c>
      <c r="E1357" s="13" t="str">
        <f>+HYPERLINK("http://trademark.i-assist.jp/data/china/image_1915th/81016616.pdf","81016616")</f>
        <v>81016616</v>
      </c>
      <c r="F1357" s="9" t="s">
        <v>3774</v>
      </c>
      <c r="G1357" s="12" t="s">
        <v>3775</v>
      </c>
      <c r="H1357" s="9" t="s">
        <v>3776</v>
      </c>
      <c r="I1357" s="10">
        <v>45555</v>
      </c>
    </row>
    <row r="1358" spans="1:9" x14ac:dyDescent="0.15">
      <c r="A1358" s="9">
        <v>1357</v>
      </c>
      <c r="B1358" s="9" t="s">
        <v>9</v>
      </c>
      <c r="C1358" s="9">
        <v>1915</v>
      </c>
      <c r="D1358" s="10">
        <v>45639</v>
      </c>
      <c r="E1358" s="13" t="str">
        <f>+HYPERLINK("http://trademark.i-assist.jp/data/china/image_1915th/81016692.pdf","81016692")</f>
        <v>81016692</v>
      </c>
      <c r="F1358" s="12" t="s">
        <v>3777</v>
      </c>
      <c r="G1358" s="9" t="s">
        <v>3778</v>
      </c>
      <c r="H1358" s="9" t="s">
        <v>3779</v>
      </c>
      <c r="I1358" s="10">
        <v>45555</v>
      </c>
    </row>
    <row r="1359" spans="1:9" x14ac:dyDescent="0.15">
      <c r="A1359" s="9">
        <v>1358</v>
      </c>
      <c r="B1359" s="9" t="s">
        <v>9</v>
      </c>
      <c r="C1359" s="9">
        <v>1915</v>
      </c>
      <c r="D1359" s="10">
        <v>45639</v>
      </c>
      <c r="E1359" s="13" t="str">
        <f>+HYPERLINK("http://trademark.i-assist.jp/data/china/image_1915th/81016775.pdf","81016775")</f>
        <v>81016775</v>
      </c>
      <c r="F1359" s="9" t="s">
        <v>3780</v>
      </c>
      <c r="G1359" s="9" t="s">
        <v>3781</v>
      </c>
      <c r="H1359" s="9" t="s">
        <v>3782</v>
      </c>
      <c r="I1359" s="10">
        <v>45555</v>
      </c>
    </row>
    <row r="1360" spans="1:9" x14ac:dyDescent="0.15">
      <c r="A1360" s="9">
        <v>1359</v>
      </c>
      <c r="B1360" s="9" t="s">
        <v>9</v>
      </c>
      <c r="C1360" s="9">
        <v>1915</v>
      </c>
      <c r="D1360" s="10">
        <v>45639</v>
      </c>
      <c r="E1360" s="13" t="str">
        <f>+HYPERLINK("http://trademark.i-assist.jp/data/china/image_1915th/81016917.pdf","81016917")</f>
        <v>81016917</v>
      </c>
      <c r="F1360" s="12" t="s">
        <v>3783</v>
      </c>
      <c r="G1360" s="12" t="s">
        <v>3784</v>
      </c>
      <c r="H1360" s="9" t="s">
        <v>3785</v>
      </c>
      <c r="I1360" s="10">
        <v>45555</v>
      </c>
    </row>
    <row r="1361" spans="1:9" x14ac:dyDescent="0.15">
      <c r="A1361" s="9">
        <v>1360</v>
      </c>
      <c r="B1361" s="9" t="s">
        <v>9</v>
      </c>
      <c r="C1361" s="9">
        <v>1915</v>
      </c>
      <c r="D1361" s="10">
        <v>45639</v>
      </c>
      <c r="E1361" s="13" t="str">
        <f>+HYPERLINK("http://trademark.i-assist.jp/data/china/image_1915th/81017391.pdf","81017391")</f>
        <v>81017391</v>
      </c>
      <c r="F1361" s="9" t="s">
        <v>3786</v>
      </c>
      <c r="G1361" s="9" t="s">
        <v>3787</v>
      </c>
      <c r="H1361" s="12" t="s">
        <v>3788</v>
      </c>
      <c r="I1361" s="10">
        <v>45555</v>
      </c>
    </row>
    <row r="1362" spans="1:9" x14ac:dyDescent="0.15">
      <c r="A1362" s="9">
        <v>1361</v>
      </c>
      <c r="B1362" s="9" t="s">
        <v>9</v>
      </c>
      <c r="C1362" s="9">
        <v>1915</v>
      </c>
      <c r="D1362" s="10">
        <v>45639</v>
      </c>
      <c r="E1362" s="13" t="str">
        <f>+HYPERLINK("http://trademark.i-assist.jp/data/china/image_1915th/81017839.pdf","81017839")</f>
        <v>81017839</v>
      </c>
      <c r="F1362" s="9" t="s">
        <v>3789</v>
      </c>
      <c r="G1362" s="9" t="s">
        <v>3726</v>
      </c>
      <c r="H1362" s="9" t="s">
        <v>3790</v>
      </c>
      <c r="I1362" s="10">
        <v>45555</v>
      </c>
    </row>
    <row r="1363" spans="1:9" x14ac:dyDescent="0.15">
      <c r="A1363" s="9">
        <v>1362</v>
      </c>
      <c r="B1363" s="9" t="s">
        <v>9</v>
      </c>
      <c r="C1363" s="9">
        <v>1915</v>
      </c>
      <c r="D1363" s="10">
        <v>45639</v>
      </c>
      <c r="E1363" s="13" t="str">
        <f>+HYPERLINK("http://trademark.i-assist.jp/data/china/image_1915th/81017870.pdf","81017870")</f>
        <v>81017870</v>
      </c>
      <c r="F1363" s="9" t="s">
        <v>3791</v>
      </c>
      <c r="G1363" s="9" t="s">
        <v>3792</v>
      </c>
      <c r="H1363" s="9" t="s">
        <v>3793</v>
      </c>
      <c r="I1363" s="10">
        <v>45555</v>
      </c>
    </row>
    <row r="1364" spans="1:9" x14ac:dyDescent="0.15">
      <c r="A1364" s="9">
        <v>1363</v>
      </c>
      <c r="B1364" s="9" t="s">
        <v>9</v>
      </c>
      <c r="C1364" s="9">
        <v>1915</v>
      </c>
      <c r="D1364" s="10">
        <v>45639</v>
      </c>
      <c r="E1364" s="13" t="str">
        <f>+HYPERLINK("http://trademark.i-assist.jp/data/china/image_1915th/81017910.pdf","81017910")</f>
        <v>81017910</v>
      </c>
      <c r="F1364" s="9" t="s">
        <v>3794</v>
      </c>
      <c r="G1364" s="9" t="s">
        <v>3795</v>
      </c>
      <c r="H1364" s="9" t="s">
        <v>3796</v>
      </c>
      <c r="I1364" s="10">
        <v>45555</v>
      </c>
    </row>
    <row r="1365" spans="1:9" x14ac:dyDescent="0.15">
      <c r="A1365" s="9">
        <v>1364</v>
      </c>
      <c r="B1365" s="9" t="s">
        <v>9</v>
      </c>
      <c r="C1365" s="9">
        <v>1915</v>
      </c>
      <c r="D1365" s="10">
        <v>45639</v>
      </c>
      <c r="E1365" s="13" t="str">
        <f>+HYPERLINK("http://trademark.i-assist.jp/data/china/image_1915th/81018117.pdf","81018117")</f>
        <v>81018117</v>
      </c>
      <c r="F1365" s="9" t="s">
        <v>3797</v>
      </c>
      <c r="G1365" s="9" t="s">
        <v>3798</v>
      </c>
      <c r="H1365" s="9" t="s">
        <v>3799</v>
      </c>
      <c r="I1365" s="10">
        <v>45555</v>
      </c>
    </row>
    <row r="1366" spans="1:9" x14ac:dyDescent="0.15">
      <c r="A1366" s="9">
        <v>1365</v>
      </c>
      <c r="B1366" s="9" t="s">
        <v>9</v>
      </c>
      <c r="C1366" s="9">
        <v>1915</v>
      </c>
      <c r="D1366" s="10">
        <v>45639</v>
      </c>
      <c r="E1366" s="13" t="str">
        <f>+HYPERLINK("http://trademark.i-assist.jp/data/china/image_1915th/81018249.pdf","81018249")</f>
        <v>81018249</v>
      </c>
      <c r="F1366" s="9" t="s">
        <v>3800</v>
      </c>
      <c r="G1366" s="9" t="s">
        <v>3801</v>
      </c>
      <c r="H1366" s="9" t="s">
        <v>3802</v>
      </c>
      <c r="I1366" s="10">
        <v>45555</v>
      </c>
    </row>
    <row r="1367" spans="1:9" x14ac:dyDescent="0.15">
      <c r="A1367" s="9">
        <v>1366</v>
      </c>
      <c r="B1367" s="9" t="s">
        <v>9</v>
      </c>
      <c r="C1367" s="9">
        <v>1915</v>
      </c>
      <c r="D1367" s="10">
        <v>45639</v>
      </c>
      <c r="E1367" s="13" t="str">
        <f>+HYPERLINK("http://trademark.i-assist.jp/data/china/image_1915th/81018515.pdf","81018515")</f>
        <v>81018515</v>
      </c>
      <c r="F1367" s="9" t="s">
        <v>3803</v>
      </c>
      <c r="G1367" s="12" t="s">
        <v>3713</v>
      </c>
      <c r="H1367" s="9" t="s">
        <v>3804</v>
      </c>
      <c r="I1367" s="10">
        <v>45555</v>
      </c>
    </row>
    <row r="1368" spans="1:9" x14ac:dyDescent="0.15">
      <c r="A1368" s="9">
        <v>1367</v>
      </c>
      <c r="B1368" s="9" t="s">
        <v>9</v>
      </c>
      <c r="C1368" s="9">
        <v>1915</v>
      </c>
      <c r="D1368" s="10">
        <v>45639</v>
      </c>
      <c r="E1368" s="13" t="str">
        <f>+HYPERLINK("http://trademark.i-assist.jp/data/china/image_1915th/81018609.pdf","81018609")</f>
        <v>81018609</v>
      </c>
      <c r="F1368" s="9" t="s">
        <v>3805</v>
      </c>
      <c r="G1368" s="9" t="s">
        <v>3646</v>
      </c>
      <c r="H1368" s="9" t="s">
        <v>3806</v>
      </c>
      <c r="I1368" s="10">
        <v>45555</v>
      </c>
    </row>
    <row r="1369" spans="1:9" x14ac:dyDescent="0.15">
      <c r="A1369" s="9">
        <v>1368</v>
      </c>
      <c r="B1369" s="9" t="s">
        <v>9</v>
      </c>
      <c r="C1369" s="9">
        <v>1915</v>
      </c>
      <c r="D1369" s="10">
        <v>45639</v>
      </c>
      <c r="E1369" s="13" t="str">
        <f>+HYPERLINK("http://trademark.i-assist.jp/data/china/image_1915th/81018795.pdf","81018795")</f>
        <v>81018795</v>
      </c>
      <c r="F1369" s="12" t="s">
        <v>15</v>
      </c>
      <c r="G1369" s="9" t="s">
        <v>3807</v>
      </c>
      <c r="H1369" s="12" t="s">
        <v>3808</v>
      </c>
      <c r="I1369" s="10">
        <v>45555</v>
      </c>
    </row>
    <row r="1370" spans="1:9" x14ac:dyDescent="0.15">
      <c r="A1370" s="9">
        <v>1369</v>
      </c>
      <c r="B1370" s="9" t="s">
        <v>9</v>
      </c>
      <c r="C1370" s="9">
        <v>1915</v>
      </c>
      <c r="D1370" s="10">
        <v>45639</v>
      </c>
      <c r="E1370" s="13" t="str">
        <f>+HYPERLINK("http://trademark.i-assist.jp/data/china/image_1915th/81019083.pdf","81019083")</f>
        <v>81019083</v>
      </c>
      <c r="F1370" s="12" t="s">
        <v>3809</v>
      </c>
      <c r="G1370" s="9" t="s">
        <v>3654</v>
      </c>
      <c r="H1370" s="9" t="s">
        <v>3810</v>
      </c>
      <c r="I1370" s="10">
        <v>45555</v>
      </c>
    </row>
    <row r="1371" spans="1:9" x14ac:dyDescent="0.15">
      <c r="A1371" s="9">
        <v>1370</v>
      </c>
      <c r="B1371" s="9" t="s">
        <v>9</v>
      </c>
      <c r="C1371" s="9">
        <v>1915</v>
      </c>
      <c r="D1371" s="10">
        <v>45639</v>
      </c>
      <c r="E1371" s="13" t="str">
        <f>+HYPERLINK("http://trademark.i-assist.jp/data/china/image_1915th/81019107.pdf","81019107")</f>
        <v>81019107</v>
      </c>
      <c r="F1371" s="9" t="s">
        <v>3811</v>
      </c>
      <c r="G1371" s="12" t="s">
        <v>3659</v>
      </c>
      <c r="H1371" s="9" t="s">
        <v>3812</v>
      </c>
      <c r="I1371" s="10">
        <v>45555</v>
      </c>
    </row>
    <row r="1372" spans="1:9" x14ac:dyDescent="0.15">
      <c r="A1372" s="9">
        <v>1371</v>
      </c>
      <c r="B1372" s="9" t="s">
        <v>9</v>
      </c>
      <c r="C1372" s="9">
        <v>1915</v>
      </c>
      <c r="D1372" s="10">
        <v>45639</v>
      </c>
      <c r="E1372" s="13" t="str">
        <f>+HYPERLINK("http://trademark.i-assist.jp/data/china/image_1915th/81019801.pdf","81019801")</f>
        <v>81019801</v>
      </c>
      <c r="F1372" s="9" t="s">
        <v>3813</v>
      </c>
      <c r="G1372" s="12" t="s">
        <v>3814</v>
      </c>
      <c r="H1372" s="9" t="s">
        <v>3815</v>
      </c>
      <c r="I1372" s="10">
        <v>45555</v>
      </c>
    </row>
    <row r="1373" spans="1:9" x14ac:dyDescent="0.15">
      <c r="A1373" s="9">
        <v>1372</v>
      </c>
      <c r="B1373" s="9" t="s">
        <v>9</v>
      </c>
      <c r="C1373" s="9">
        <v>1915</v>
      </c>
      <c r="D1373" s="10">
        <v>45639</v>
      </c>
      <c r="E1373" s="13" t="str">
        <f>+HYPERLINK("http://trademark.i-assist.jp/data/china/image_1915th/81019808.pdf","81019808")</f>
        <v>81019808</v>
      </c>
      <c r="F1373" s="9" t="s">
        <v>3816</v>
      </c>
      <c r="G1373" s="9" t="s">
        <v>3817</v>
      </c>
      <c r="H1373" s="9" t="s">
        <v>3818</v>
      </c>
      <c r="I1373" s="10">
        <v>45555</v>
      </c>
    </row>
    <row r="1374" spans="1:9" x14ac:dyDescent="0.15">
      <c r="A1374" s="9">
        <v>1373</v>
      </c>
      <c r="B1374" s="9" t="s">
        <v>9</v>
      </c>
      <c r="C1374" s="9">
        <v>1915</v>
      </c>
      <c r="D1374" s="10">
        <v>45639</v>
      </c>
      <c r="E1374" s="13" t="str">
        <f>+HYPERLINK("http://trademark.i-assist.jp/data/china/image_1915th/81020262.pdf","81020262")</f>
        <v>81020262</v>
      </c>
      <c r="F1374" s="9" t="s">
        <v>3819</v>
      </c>
      <c r="G1374" s="12" t="s">
        <v>3710</v>
      </c>
      <c r="H1374" s="9" t="s">
        <v>3820</v>
      </c>
      <c r="I1374" s="10">
        <v>45555</v>
      </c>
    </row>
    <row r="1375" spans="1:9" x14ac:dyDescent="0.15">
      <c r="A1375" s="9">
        <v>1374</v>
      </c>
      <c r="B1375" s="9" t="s">
        <v>9</v>
      </c>
      <c r="C1375" s="9">
        <v>1915</v>
      </c>
      <c r="D1375" s="10">
        <v>45639</v>
      </c>
      <c r="E1375" s="13" t="str">
        <f>+HYPERLINK("http://trademark.i-assist.jp/data/china/image_1915th/81020651.pdf","81020651")</f>
        <v>81020651</v>
      </c>
      <c r="F1375" s="12" t="s">
        <v>3821</v>
      </c>
      <c r="G1375" s="9" t="s">
        <v>3822</v>
      </c>
      <c r="H1375" s="9" t="s">
        <v>3823</v>
      </c>
      <c r="I1375" s="10">
        <v>45555</v>
      </c>
    </row>
    <row r="1376" spans="1:9" x14ac:dyDescent="0.15">
      <c r="A1376" s="9">
        <v>1375</v>
      </c>
      <c r="B1376" s="9" t="s">
        <v>9</v>
      </c>
      <c r="C1376" s="9">
        <v>1915</v>
      </c>
      <c r="D1376" s="10">
        <v>45639</v>
      </c>
      <c r="E1376" s="13" t="str">
        <f>+HYPERLINK("http://trademark.i-assist.jp/data/china/image_1915th/81020924.pdf","81020924")</f>
        <v>81020924</v>
      </c>
      <c r="F1376" s="9" t="s">
        <v>3824</v>
      </c>
      <c r="G1376" s="9" t="s">
        <v>3825</v>
      </c>
      <c r="H1376" s="9" t="s">
        <v>3826</v>
      </c>
      <c r="I1376" s="10">
        <v>45555</v>
      </c>
    </row>
    <row r="1377" spans="1:9" x14ac:dyDescent="0.15">
      <c r="A1377" s="9">
        <v>1376</v>
      </c>
      <c r="B1377" s="9" t="s">
        <v>9</v>
      </c>
      <c r="C1377" s="9">
        <v>1915</v>
      </c>
      <c r="D1377" s="10">
        <v>45639</v>
      </c>
      <c r="E1377" s="13" t="str">
        <f>+HYPERLINK("http://trademark.i-assist.jp/data/china/image_1915th/81020962.pdf","81020962")</f>
        <v>81020962</v>
      </c>
      <c r="F1377" s="9" t="s">
        <v>3827</v>
      </c>
      <c r="G1377" s="9" t="s">
        <v>3828</v>
      </c>
      <c r="H1377" s="9" t="s">
        <v>3829</v>
      </c>
      <c r="I1377" s="10">
        <v>45555</v>
      </c>
    </row>
    <row r="1378" spans="1:9" x14ac:dyDescent="0.15">
      <c r="A1378" s="9">
        <v>1377</v>
      </c>
      <c r="B1378" s="9" t="s">
        <v>9</v>
      </c>
      <c r="C1378" s="9">
        <v>1915</v>
      </c>
      <c r="D1378" s="10">
        <v>45639</v>
      </c>
      <c r="E1378" s="13" t="str">
        <f>+HYPERLINK("http://trademark.i-assist.jp/data/china/image_1915th/81020964.pdf","81020964")</f>
        <v>81020964</v>
      </c>
      <c r="F1378" s="12" t="s">
        <v>3830</v>
      </c>
      <c r="G1378" s="9" t="s">
        <v>3831</v>
      </c>
      <c r="H1378" s="9" t="s">
        <v>3832</v>
      </c>
      <c r="I1378" s="10">
        <v>45555</v>
      </c>
    </row>
    <row r="1379" spans="1:9" x14ac:dyDescent="0.15">
      <c r="A1379" s="9">
        <v>1378</v>
      </c>
      <c r="B1379" s="9" t="s">
        <v>9</v>
      </c>
      <c r="C1379" s="9">
        <v>1915</v>
      </c>
      <c r="D1379" s="10">
        <v>45639</v>
      </c>
      <c r="E1379" s="13" t="str">
        <f>+HYPERLINK("http://trademark.i-assist.jp/data/china/image_1915th/81021213.pdf","81021213")</f>
        <v>81021213</v>
      </c>
      <c r="F1379" s="11" t="s">
        <v>3833</v>
      </c>
      <c r="G1379" s="12" t="s">
        <v>3834</v>
      </c>
      <c r="H1379" s="9" t="s">
        <v>3835</v>
      </c>
      <c r="I1379" s="10">
        <v>45555</v>
      </c>
    </row>
    <row r="1380" spans="1:9" x14ac:dyDescent="0.15">
      <c r="A1380" s="9">
        <v>1379</v>
      </c>
      <c r="B1380" s="9" t="s">
        <v>9</v>
      </c>
      <c r="C1380" s="9">
        <v>1915</v>
      </c>
      <c r="D1380" s="10">
        <v>45639</v>
      </c>
      <c r="E1380" s="13" t="str">
        <f>+HYPERLINK("http://trademark.i-assist.jp/data/china/image_1915th/81021273.pdf","81021273")</f>
        <v>81021273</v>
      </c>
      <c r="F1380" s="9" t="s">
        <v>3836</v>
      </c>
      <c r="G1380" s="9" t="s">
        <v>3837</v>
      </c>
      <c r="H1380" s="9" t="s">
        <v>3838</v>
      </c>
      <c r="I1380" s="10">
        <v>45555</v>
      </c>
    </row>
    <row r="1381" spans="1:9" x14ac:dyDescent="0.15">
      <c r="A1381" s="9">
        <v>1380</v>
      </c>
      <c r="B1381" s="9" t="s">
        <v>9</v>
      </c>
      <c r="C1381" s="9">
        <v>1915</v>
      </c>
      <c r="D1381" s="10">
        <v>45639</v>
      </c>
      <c r="E1381" s="13" t="str">
        <f>+HYPERLINK("http://trademark.i-assist.jp/data/china/image_1915th/81021320.pdf","81021320")</f>
        <v>81021320</v>
      </c>
      <c r="F1381" s="9" t="s">
        <v>3839</v>
      </c>
      <c r="G1381" s="9" t="s">
        <v>3840</v>
      </c>
      <c r="H1381" s="9" t="s">
        <v>3841</v>
      </c>
      <c r="I1381" s="10">
        <v>45555</v>
      </c>
    </row>
    <row r="1382" spans="1:9" x14ac:dyDescent="0.15">
      <c r="A1382" s="9">
        <v>1381</v>
      </c>
      <c r="B1382" s="9" t="s">
        <v>9</v>
      </c>
      <c r="C1382" s="9">
        <v>1915</v>
      </c>
      <c r="D1382" s="10">
        <v>45639</v>
      </c>
      <c r="E1382" s="13" t="str">
        <f>+HYPERLINK("http://trademark.i-assist.jp/data/china/image_1915th/81021376.pdf","81021376")</f>
        <v>81021376</v>
      </c>
      <c r="F1382" s="9" t="s">
        <v>3842</v>
      </c>
      <c r="G1382" s="9" t="s">
        <v>3843</v>
      </c>
      <c r="H1382" s="9" t="s">
        <v>3844</v>
      </c>
      <c r="I1382" s="10">
        <v>45555</v>
      </c>
    </row>
    <row r="1383" spans="1:9" x14ac:dyDescent="0.15">
      <c r="A1383" s="9">
        <v>1382</v>
      </c>
      <c r="B1383" s="9" t="s">
        <v>9</v>
      </c>
      <c r="C1383" s="9">
        <v>1915</v>
      </c>
      <c r="D1383" s="10">
        <v>45639</v>
      </c>
      <c r="E1383" s="13" t="str">
        <f>+HYPERLINK("http://trademark.i-assist.jp/data/china/image_1915th/81021490.pdf","81021490")</f>
        <v>81021490</v>
      </c>
      <c r="F1383" s="9" t="s">
        <v>3845</v>
      </c>
      <c r="G1383" s="9" t="s">
        <v>3646</v>
      </c>
      <c r="H1383" s="9" t="s">
        <v>3846</v>
      </c>
      <c r="I1383" s="10">
        <v>45555</v>
      </c>
    </row>
    <row r="1384" spans="1:9" x14ac:dyDescent="0.15">
      <c r="A1384" s="9">
        <v>1383</v>
      </c>
      <c r="B1384" s="9" t="s">
        <v>9</v>
      </c>
      <c r="C1384" s="9">
        <v>1915</v>
      </c>
      <c r="D1384" s="10">
        <v>45639</v>
      </c>
      <c r="E1384" s="13" t="str">
        <f>+HYPERLINK("http://trademark.i-assist.jp/data/china/image_1915th/81021605.pdf","81021605")</f>
        <v>81021605</v>
      </c>
      <c r="F1384" s="9" t="s">
        <v>3847</v>
      </c>
      <c r="G1384" s="9" t="s">
        <v>3848</v>
      </c>
      <c r="H1384" s="9" t="s">
        <v>3849</v>
      </c>
      <c r="I1384" s="10">
        <v>45555</v>
      </c>
    </row>
    <row r="1385" spans="1:9" x14ac:dyDescent="0.15">
      <c r="A1385" s="9">
        <v>1384</v>
      </c>
      <c r="B1385" s="9" t="s">
        <v>9</v>
      </c>
      <c r="C1385" s="9">
        <v>1915</v>
      </c>
      <c r="D1385" s="10">
        <v>45639</v>
      </c>
      <c r="E1385" s="13" t="str">
        <f>+HYPERLINK("http://trademark.i-assist.jp/data/china/image_1915th/81021651.pdf","81021651")</f>
        <v>81021651</v>
      </c>
      <c r="F1385" s="9" t="s">
        <v>3850</v>
      </c>
      <c r="G1385" s="9" t="s">
        <v>3851</v>
      </c>
      <c r="H1385" s="9" t="s">
        <v>3852</v>
      </c>
      <c r="I1385" s="10">
        <v>45555</v>
      </c>
    </row>
    <row r="1386" spans="1:9" x14ac:dyDescent="0.15">
      <c r="A1386" s="9">
        <v>1385</v>
      </c>
      <c r="B1386" s="9" t="s">
        <v>9</v>
      </c>
      <c r="C1386" s="9">
        <v>1915</v>
      </c>
      <c r="D1386" s="10">
        <v>45639</v>
      </c>
      <c r="E1386" s="13" t="str">
        <f>+HYPERLINK("http://trademark.i-assist.jp/data/china/image_1915th/81021794.pdf","81021794")</f>
        <v>81021794</v>
      </c>
      <c r="F1386" s="12" t="s">
        <v>3853</v>
      </c>
      <c r="G1386" s="9" t="s">
        <v>3854</v>
      </c>
      <c r="H1386" s="9" t="s">
        <v>3855</v>
      </c>
      <c r="I1386" s="10">
        <v>45555</v>
      </c>
    </row>
    <row r="1387" spans="1:9" x14ac:dyDescent="0.15">
      <c r="A1387" s="9">
        <v>1386</v>
      </c>
      <c r="B1387" s="9" t="s">
        <v>9</v>
      </c>
      <c r="C1387" s="9">
        <v>1915</v>
      </c>
      <c r="D1387" s="10">
        <v>45639</v>
      </c>
      <c r="E1387" s="13" t="str">
        <f>+HYPERLINK("http://trademark.i-assist.jp/data/china/image_1915th/81022334.pdf","81022334")</f>
        <v>81022334</v>
      </c>
      <c r="F1387" s="12" t="s">
        <v>3856</v>
      </c>
      <c r="G1387" s="12" t="s">
        <v>3659</v>
      </c>
      <c r="H1387" s="9" t="s">
        <v>3857</v>
      </c>
      <c r="I1387" s="10">
        <v>45555</v>
      </c>
    </row>
    <row r="1388" spans="1:9" x14ac:dyDescent="0.15">
      <c r="A1388" s="9">
        <v>1387</v>
      </c>
      <c r="B1388" s="9" t="s">
        <v>9</v>
      </c>
      <c r="C1388" s="9">
        <v>1915</v>
      </c>
      <c r="D1388" s="10">
        <v>45639</v>
      </c>
      <c r="E1388" s="13" t="str">
        <f>+HYPERLINK("http://trademark.i-assist.jp/data/china/image_1915th/81022567.pdf","81022567")</f>
        <v>81022567</v>
      </c>
      <c r="F1388" s="9" t="s">
        <v>3858</v>
      </c>
      <c r="G1388" s="9" t="s">
        <v>3792</v>
      </c>
      <c r="H1388" s="9" t="s">
        <v>3859</v>
      </c>
      <c r="I1388" s="10">
        <v>45555</v>
      </c>
    </row>
    <row r="1389" spans="1:9" x14ac:dyDescent="0.15">
      <c r="A1389" s="9">
        <v>1388</v>
      </c>
      <c r="B1389" s="9" t="s">
        <v>9</v>
      </c>
      <c r="C1389" s="9">
        <v>1915</v>
      </c>
      <c r="D1389" s="10">
        <v>45639</v>
      </c>
      <c r="E1389" s="13" t="str">
        <f>+HYPERLINK("http://trademark.i-assist.jp/data/china/image_1915th/81022624.pdf","81022624")</f>
        <v>81022624</v>
      </c>
      <c r="F1389" s="9" t="s">
        <v>3860</v>
      </c>
      <c r="G1389" s="12" t="s">
        <v>3861</v>
      </c>
      <c r="H1389" s="12" t="s">
        <v>3862</v>
      </c>
      <c r="I1389" s="10">
        <v>45555</v>
      </c>
    </row>
    <row r="1390" spans="1:9" x14ac:dyDescent="0.15">
      <c r="A1390" s="9">
        <v>1389</v>
      </c>
      <c r="B1390" s="9" t="s">
        <v>9</v>
      </c>
      <c r="C1390" s="9">
        <v>1915</v>
      </c>
      <c r="D1390" s="10">
        <v>45639</v>
      </c>
      <c r="E1390" s="13" t="str">
        <f>+HYPERLINK("http://trademark.i-assist.jp/data/china/image_1915th/81022808.pdf","81022808")</f>
        <v>81022808</v>
      </c>
      <c r="F1390" s="12" t="s">
        <v>3863</v>
      </c>
      <c r="G1390" s="12" t="s">
        <v>3864</v>
      </c>
      <c r="H1390" s="9" t="s">
        <v>3865</v>
      </c>
      <c r="I1390" s="10">
        <v>45555</v>
      </c>
    </row>
    <row r="1391" spans="1:9" x14ac:dyDescent="0.15">
      <c r="A1391" s="9">
        <v>1390</v>
      </c>
      <c r="B1391" s="9" t="s">
        <v>9</v>
      </c>
      <c r="C1391" s="9">
        <v>1915</v>
      </c>
      <c r="D1391" s="10">
        <v>45639</v>
      </c>
      <c r="E1391" s="13" t="str">
        <f>+HYPERLINK("http://trademark.i-assist.jp/data/china/image_1915th/81023274.pdf","81023274")</f>
        <v>81023274</v>
      </c>
      <c r="F1391" s="9" t="s">
        <v>3866</v>
      </c>
      <c r="G1391" s="9" t="s">
        <v>3867</v>
      </c>
      <c r="H1391" s="9" t="s">
        <v>3868</v>
      </c>
      <c r="I1391" s="10">
        <v>45555</v>
      </c>
    </row>
    <row r="1392" spans="1:9" x14ac:dyDescent="0.15">
      <c r="A1392" s="9">
        <v>1391</v>
      </c>
      <c r="B1392" s="9" t="s">
        <v>9</v>
      </c>
      <c r="C1392" s="9">
        <v>1915</v>
      </c>
      <c r="D1392" s="10">
        <v>45639</v>
      </c>
      <c r="E1392" s="13" t="str">
        <f>+HYPERLINK("http://trademark.i-assist.jp/data/china/image_1915th/81023310.pdf","81023310")</f>
        <v>81023310</v>
      </c>
      <c r="F1392" s="9" t="s">
        <v>3869</v>
      </c>
      <c r="G1392" s="9" t="s">
        <v>73</v>
      </c>
      <c r="H1392" s="9" t="s">
        <v>3870</v>
      </c>
      <c r="I1392" s="10">
        <v>45555</v>
      </c>
    </row>
    <row r="1393" spans="1:9" x14ac:dyDescent="0.15">
      <c r="A1393" s="9">
        <v>1392</v>
      </c>
      <c r="B1393" s="9" t="s">
        <v>9</v>
      </c>
      <c r="C1393" s="9">
        <v>1915</v>
      </c>
      <c r="D1393" s="10">
        <v>45639</v>
      </c>
      <c r="E1393" s="13" t="str">
        <f>+HYPERLINK("http://trademark.i-assist.jp/data/china/image_1915th/81023320.pdf","81023320")</f>
        <v>81023320</v>
      </c>
      <c r="F1393" s="9" t="s">
        <v>3871</v>
      </c>
      <c r="G1393" s="12" t="s">
        <v>3872</v>
      </c>
      <c r="H1393" s="9" t="s">
        <v>3873</v>
      </c>
      <c r="I1393" s="10">
        <v>45555</v>
      </c>
    </row>
    <row r="1394" spans="1:9" x14ac:dyDescent="0.15">
      <c r="A1394" s="9">
        <v>1393</v>
      </c>
      <c r="B1394" s="9" t="s">
        <v>9</v>
      </c>
      <c r="C1394" s="9">
        <v>1915</v>
      </c>
      <c r="D1394" s="10">
        <v>45639</v>
      </c>
      <c r="E1394" s="13" t="str">
        <f>+HYPERLINK("http://trademark.i-assist.jp/data/china/image_1915th/81023739.pdf","81023739")</f>
        <v>81023739</v>
      </c>
      <c r="F1394" s="9" t="s">
        <v>3874</v>
      </c>
      <c r="G1394" s="9" t="s">
        <v>3662</v>
      </c>
      <c r="H1394" s="9" t="s">
        <v>3875</v>
      </c>
      <c r="I1394" s="10">
        <v>45555</v>
      </c>
    </row>
    <row r="1395" spans="1:9" x14ac:dyDescent="0.15">
      <c r="A1395" s="9">
        <v>1394</v>
      </c>
      <c r="B1395" s="9" t="s">
        <v>9</v>
      </c>
      <c r="C1395" s="9">
        <v>1915</v>
      </c>
      <c r="D1395" s="10">
        <v>45639</v>
      </c>
      <c r="E1395" s="13" t="str">
        <f>+HYPERLINK("http://trademark.i-assist.jp/data/china/image_1915th/81023795.pdf","81023795")</f>
        <v>81023795</v>
      </c>
      <c r="F1395" s="12" t="s">
        <v>15</v>
      </c>
      <c r="G1395" s="12" t="s">
        <v>3876</v>
      </c>
      <c r="H1395" s="9" t="s">
        <v>3877</v>
      </c>
      <c r="I1395" s="10">
        <v>45555</v>
      </c>
    </row>
    <row r="1396" spans="1:9" x14ac:dyDescent="0.15">
      <c r="A1396" s="9">
        <v>1395</v>
      </c>
      <c r="B1396" s="9" t="s">
        <v>9</v>
      </c>
      <c r="C1396" s="9">
        <v>1915</v>
      </c>
      <c r="D1396" s="10">
        <v>45639</v>
      </c>
      <c r="E1396" s="13" t="str">
        <f>+HYPERLINK("http://trademark.i-assist.jp/data/china/image_1915th/81023886.pdf","81023886")</f>
        <v>81023886</v>
      </c>
      <c r="F1396" s="9" t="s">
        <v>3878</v>
      </c>
      <c r="G1396" s="9" t="s">
        <v>3879</v>
      </c>
      <c r="H1396" s="12" t="s">
        <v>3880</v>
      </c>
      <c r="I1396" s="10">
        <v>45555</v>
      </c>
    </row>
    <row r="1397" spans="1:9" x14ac:dyDescent="0.15">
      <c r="A1397" s="9">
        <v>1396</v>
      </c>
      <c r="B1397" s="9" t="s">
        <v>9</v>
      </c>
      <c r="C1397" s="9">
        <v>1915</v>
      </c>
      <c r="D1397" s="10">
        <v>45639</v>
      </c>
      <c r="E1397" s="13" t="str">
        <f>+HYPERLINK("http://trademark.i-assist.jp/data/china/image_1915th/81023957.pdf","81023957")</f>
        <v>81023957</v>
      </c>
      <c r="F1397" s="9" t="s">
        <v>3881</v>
      </c>
      <c r="G1397" s="12" t="s">
        <v>3882</v>
      </c>
      <c r="H1397" s="9" t="s">
        <v>3883</v>
      </c>
      <c r="I1397" s="10">
        <v>45555</v>
      </c>
    </row>
    <row r="1398" spans="1:9" x14ac:dyDescent="0.15">
      <c r="A1398" s="9">
        <v>1397</v>
      </c>
      <c r="B1398" s="9" t="s">
        <v>9</v>
      </c>
      <c r="C1398" s="9">
        <v>1915</v>
      </c>
      <c r="D1398" s="10">
        <v>45639</v>
      </c>
      <c r="E1398" s="13" t="str">
        <f>+HYPERLINK("http://trademark.i-assist.jp/data/china/image_1915th/81024390.pdf","81024390")</f>
        <v>81024390</v>
      </c>
      <c r="F1398" s="9" t="s">
        <v>3884</v>
      </c>
      <c r="G1398" s="9" t="s">
        <v>3885</v>
      </c>
      <c r="H1398" s="12" t="s">
        <v>3886</v>
      </c>
      <c r="I1398" s="10">
        <v>45555</v>
      </c>
    </row>
    <row r="1399" spans="1:9" x14ac:dyDescent="0.15">
      <c r="A1399" s="9">
        <v>1398</v>
      </c>
      <c r="B1399" s="9" t="s">
        <v>9</v>
      </c>
      <c r="C1399" s="9">
        <v>1915</v>
      </c>
      <c r="D1399" s="10">
        <v>45639</v>
      </c>
      <c r="E1399" s="13" t="str">
        <f>+HYPERLINK("http://trademark.i-assist.jp/data/china/image_1915th/81024741.pdf","81024741")</f>
        <v>81024741</v>
      </c>
      <c r="F1399" s="9" t="s">
        <v>3887</v>
      </c>
      <c r="G1399" s="9" t="s">
        <v>2210</v>
      </c>
      <c r="H1399" s="9" t="s">
        <v>3888</v>
      </c>
      <c r="I1399" s="10">
        <v>45555</v>
      </c>
    </row>
    <row r="1400" spans="1:9" x14ac:dyDescent="0.15">
      <c r="A1400" s="9">
        <v>1399</v>
      </c>
      <c r="B1400" s="9" t="s">
        <v>9</v>
      </c>
      <c r="C1400" s="9">
        <v>1915</v>
      </c>
      <c r="D1400" s="10">
        <v>45639</v>
      </c>
      <c r="E1400" s="13" t="str">
        <f>+HYPERLINK("http://trademark.i-assist.jp/data/china/image_1915th/81024811.pdf","81024811")</f>
        <v>81024811</v>
      </c>
      <c r="F1400" s="9" t="s">
        <v>3889</v>
      </c>
      <c r="G1400" s="12" t="s">
        <v>3890</v>
      </c>
      <c r="H1400" s="9" t="s">
        <v>3891</v>
      </c>
      <c r="I1400" s="10">
        <v>45555</v>
      </c>
    </row>
    <row r="1401" spans="1:9" x14ac:dyDescent="0.15">
      <c r="A1401" s="9">
        <v>1400</v>
      </c>
      <c r="B1401" s="9" t="s">
        <v>9</v>
      </c>
      <c r="C1401" s="9">
        <v>1915</v>
      </c>
      <c r="D1401" s="10">
        <v>45639</v>
      </c>
      <c r="E1401" s="13" t="str">
        <f>+HYPERLINK("http://trademark.i-assist.jp/data/china/image_1915th/81024898.pdf","81024898")</f>
        <v>81024898</v>
      </c>
      <c r="F1401" s="9" t="s">
        <v>3892</v>
      </c>
      <c r="G1401" s="12" t="s">
        <v>3695</v>
      </c>
      <c r="H1401" s="9" t="s">
        <v>3893</v>
      </c>
      <c r="I1401" s="10">
        <v>45555</v>
      </c>
    </row>
    <row r="1402" spans="1:9" x14ac:dyDescent="0.15">
      <c r="A1402" s="9">
        <v>1401</v>
      </c>
      <c r="B1402" s="9" t="s">
        <v>9</v>
      </c>
      <c r="C1402" s="9">
        <v>1915</v>
      </c>
      <c r="D1402" s="10">
        <v>45639</v>
      </c>
      <c r="E1402" s="13" t="str">
        <f>+HYPERLINK("http://trademark.i-assist.jp/data/china/image_1915th/81025460.pdf","81025460")</f>
        <v>81025460</v>
      </c>
      <c r="F1402" s="9" t="s">
        <v>3894</v>
      </c>
      <c r="G1402" s="9" t="s">
        <v>2336</v>
      </c>
      <c r="H1402" s="9" t="s">
        <v>3895</v>
      </c>
      <c r="I1402" s="10">
        <v>45555</v>
      </c>
    </row>
    <row r="1403" spans="1:9" x14ac:dyDescent="0.15">
      <c r="A1403" s="9">
        <v>1402</v>
      </c>
      <c r="B1403" s="9" t="s">
        <v>9</v>
      </c>
      <c r="C1403" s="9">
        <v>1915</v>
      </c>
      <c r="D1403" s="10">
        <v>45639</v>
      </c>
      <c r="E1403" s="13" t="str">
        <f>+HYPERLINK("http://trademark.i-assist.jp/data/china/image_1915th/81025466.pdf","81025466")</f>
        <v>81025466</v>
      </c>
      <c r="F1403" s="9" t="s">
        <v>3896</v>
      </c>
      <c r="G1403" s="9" t="s">
        <v>2336</v>
      </c>
      <c r="H1403" s="9" t="s">
        <v>3897</v>
      </c>
      <c r="I1403" s="10">
        <v>45555</v>
      </c>
    </row>
    <row r="1404" spans="1:9" x14ac:dyDescent="0.15">
      <c r="A1404" s="9">
        <v>1403</v>
      </c>
      <c r="B1404" s="9" t="s">
        <v>9</v>
      </c>
      <c r="C1404" s="9">
        <v>1915</v>
      </c>
      <c r="D1404" s="10">
        <v>45639</v>
      </c>
      <c r="E1404" s="13" t="str">
        <f>+HYPERLINK("http://trademark.i-assist.jp/data/china/image_1915th/81025488.pdf","81025488")</f>
        <v>81025488</v>
      </c>
      <c r="F1404" s="9" t="s">
        <v>3898</v>
      </c>
      <c r="G1404" s="9" t="s">
        <v>3646</v>
      </c>
      <c r="H1404" s="9" t="s">
        <v>3899</v>
      </c>
      <c r="I1404" s="10">
        <v>45555</v>
      </c>
    </row>
    <row r="1405" spans="1:9" x14ac:dyDescent="0.15">
      <c r="A1405" s="9">
        <v>1404</v>
      </c>
      <c r="B1405" s="9" t="s">
        <v>9</v>
      </c>
      <c r="C1405" s="9">
        <v>1915</v>
      </c>
      <c r="D1405" s="10">
        <v>45639</v>
      </c>
      <c r="E1405" s="13" t="str">
        <f>+HYPERLINK("http://trademark.i-assist.jp/data/china/image_1915th/81025519.pdf","81025519")</f>
        <v>81025519</v>
      </c>
      <c r="F1405" s="9" t="s">
        <v>3900</v>
      </c>
      <c r="G1405" s="9" t="s">
        <v>3901</v>
      </c>
      <c r="H1405" s="9" t="s">
        <v>3902</v>
      </c>
      <c r="I1405" s="10">
        <v>45555</v>
      </c>
    </row>
    <row r="1406" spans="1:9" x14ac:dyDescent="0.15">
      <c r="A1406" s="9">
        <v>1405</v>
      </c>
      <c r="B1406" s="9" t="s">
        <v>9</v>
      </c>
      <c r="C1406" s="9">
        <v>1915</v>
      </c>
      <c r="D1406" s="10">
        <v>45639</v>
      </c>
      <c r="E1406" s="13" t="str">
        <f>+HYPERLINK("http://trademark.i-assist.jp/data/china/image_1915th/81025698.pdf","81025698")</f>
        <v>81025698</v>
      </c>
      <c r="F1406" s="9" t="s">
        <v>3903</v>
      </c>
      <c r="G1406" s="9" t="s">
        <v>3904</v>
      </c>
      <c r="H1406" s="9" t="s">
        <v>3905</v>
      </c>
      <c r="I1406" s="10">
        <v>45555</v>
      </c>
    </row>
    <row r="1407" spans="1:9" x14ac:dyDescent="0.15">
      <c r="A1407" s="9">
        <v>1406</v>
      </c>
      <c r="B1407" s="9" t="s">
        <v>9</v>
      </c>
      <c r="C1407" s="9">
        <v>1915</v>
      </c>
      <c r="D1407" s="10">
        <v>45639</v>
      </c>
      <c r="E1407" s="13" t="str">
        <f>+HYPERLINK("http://trademark.i-assist.jp/data/china/image_1915th/81025711.pdf","81025711")</f>
        <v>81025711</v>
      </c>
      <c r="F1407" s="9" t="s">
        <v>3906</v>
      </c>
      <c r="G1407" s="12" t="s">
        <v>3713</v>
      </c>
      <c r="H1407" s="9" t="s">
        <v>3907</v>
      </c>
      <c r="I1407" s="10">
        <v>45555</v>
      </c>
    </row>
    <row r="1408" spans="1:9" x14ac:dyDescent="0.15">
      <c r="A1408" s="9">
        <v>1407</v>
      </c>
      <c r="B1408" s="9" t="s">
        <v>9</v>
      </c>
      <c r="C1408" s="9">
        <v>1915</v>
      </c>
      <c r="D1408" s="10">
        <v>45639</v>
      </c>
      <c r="E1408" s="13" t="str">
        <f>+HYPERLINK("http://trademark.i-assist.jp/data/china/image_1915th/81025832.pdf","81025832")</f>
        <v>81025832</v>
      </c>
      <c r="F1408" s="12" t="s">
        <v>3908</v>
      </c>
      <c r="G1408" s="9" t="s">
        <v>3909</v>
      </c>
      <c r="H1408" s="9" t="s">
        <v>3910</v>
      </c>
      <c r="I1408" s="10">
        <v>45555</v>
      </c>
    </row>
    <row r="1409" spans="1:9" x14ac:dyDescent="0.15">
      <c r="A1409" s="9">
        <v>1408</v>
      </c>
      <c r="B1409" s="9" t="s">
        <v>9</v>
      </c>
      <c r="C1409" s="9">
        <v>1915</v>
      </c>
      <c r="D1409" s="10">
        <v>45639</v>
      </c>
      <c r="E1409" s="13" t="str">
        <f>+HYPERLINK("http://trademark.i-assist.jp/data/china/image_1915th/81025931.pdf","81025931")</f>
        <v>81025931</v>
      </c>
      <c r="F1409" s="9" t="s">
        <v>3911</v>
      </c>
      <c r="G1409" s="9" t="s">
        <v>3912</v>
      </c>
      <c r="H1409" s="9" t="s">
        <v>3913</v>
      </c>
      <c r="I1409" s="10">
        <v>45555</v>
      </c>
    </row>
    <row r="1410" spans="1:9" x14ac:dyDescent="0.15">
      <c r="A1410" s="9">
        <v>1409</v>
      </c>
      <c r="B1410" s="9" t="s">
        <v>9</v>
      </c>
      <c r="C1410" s="9">
        <v>1915</v>
      </c>
      <c r="D1410" s="10">
        <v>45639</v>
      </c>
      <c r="E1410" s="13" t="str">
        <f>+HYPERLINK("http://trademark.i-assist.jp/data/china/image_1915th/81026089.pdf","81026089")</f>
        <v>81026089</v>
      </c>
      <c r="F1410" s="9" t="s">
        <v>3914</v>
      </c>
      <c r="G1410" s="12" t="s">
        <v>3915</v>
      </c>
      <c r="H1410" s="9" t="s">
        <v>3916</v>
      </c>
      <c r="I1410" s="10">
        <v>45555</v>
      </c>
    </row>
    <row r="1411" spans="1:9" x14ac:dyDescent="0.15">
      <c r="A1411" s="9">
        <v>1410</v>
      </c>
      <c r="B1411" s="9" t="s">
        <v>9</v>
      </c>
      <c r="C1411" s="9">
        <v>1915</v>
      </c>
      <c r="D1411" s="10">
        <v>45639</v>
      </c>
      <c r="E1411" s="13" t="str">
        <f>+HYPERLINK("http://trademark.i-assist.jp/data/china/image_1915th/81026138.pdf","81026138")</f>
        <v>81026138</v>
      </c>
      <c r="F1411" s="9" t="s">
        <v>3917</v>
      </c>
      <c r="G1411" s="9" t="s">
        <v>3918</v>
      </c>
      <c r="H1411" s="9" t="s">
        <v>3919</v>
      </c>
      <c r="I1411" s="10">
        <v>45555</v>
      </c>
    </row>
    <row r="1412" spans="1:9" x14ac:dyDescent="0.15">
      <c r="A1412" s="9">
        <v>1411</v>
      </c>
      <c r="B1412" s="9" t="s">
        <v>9</v>
      </c>
      <c r="C1412" s="9">
        <v>1915</v>
      </c>
      <c r="D1412" s="10">
        <v>45639</v>
      </c>
      <c r="E1412" s="13" t="str">
        <f>+HYPERLINK("http://trademark.i-assist.jp/data/china/image_1915th/81026237.pdf","81026237")</f>
        <v>81026237</v>
      </c>
      <c r="F1412" s="12" t="s">
        <v>15</v>
      </c>
      <c r="G1412" s="9" t="s">
        <v>3920</v>
      </c>
      <c r="H1412" s="9" t="s">
        <v>3921</v>
      </c>
      <c r="I1412" s="10">
        <v>45555</v>
      </c>
    </row>
    <row r="1413" spans="1:9" x14ac:dyDescent="0.15">
      <c r="A1413" s="9">
        <v>1412</v>
      </c>
      <c r="B1413" s="9" t="s">
        <v>9</v>
      </c>
      <c r="C1413" s="9">
        <v>1915</v>
      </c>
      <c r="D1413" s="10">
        <v>45639</v>
      </c>
      <c r="E1413" s="13" t="str">
        <f>+HYPERLINK("http://trademark.i-assist.jp/data/china/image_1915th/81026254.pdf","81026254")</f>
        <v>81026254</v>
      </c>
      <c r="F1413" s="9" t="s">
        <v>3922</v>
      </c>
      <c r="G1413" s="9" t="s">
        <v>3843</v>
      </c>
      <c r="H1413" s="9" t="s">
        <v>3923</v>
      </c>
      <c r="I1413" s="10">
        <v>45555</v>
      </c>
    </row>
    <row r="1414" spans="1:9" x14ac:dyDescent="0.15">
      <c r="A1414" s="9">
        <v>1413</v>
      </c>
      <c r="B1414" s="9" t="s">
        <v>9</v>
      </c>
      <c r="C1414" s="9">
        <v>1915</v>
      </c>
      <c r="D1414" s="10">
        <v>45639</v>
      </c>
      <c r="E1414" s="13" t="str">
        <f>+HYPERLINK("http://trademark.i-assist.jp/data/china/image_1915th/81026297.pdf","81026297")</f>
        <v>81026297</v>
      </c>
      <c r="F1414" s="9" t="s">
        <v>3924</v>
      </c>
      <c r="G1414" s="9" t="s">
        <v>3792</v>
      </c>
      <c r="H1414" s="9" t="s">
        <v>3925</v>
      </c>
      <c r="I1414" s="10">
        <v>45555</v>
      </c>
    </row>
    <row r="1415" spans="1:9" x14ac:dyDescent="0.15">
      <c r="A1415" s="9">
        <v>1414</v>
      </c>
      <c r="B1415" s="9" t="s">
        <v>9</v>
      </c>
      <c r="C1415" s="9">
        <v>1915</v>
      </c>
      <c r="D1415" s="10">
        <v>45639</v>
      </c>
      <c r="E1415" s="13" t="str">
        <f>+HYPERLINK("http://trademark.i-assist.jp/data/china/image_1915th/81026341.pdf","81026341")</f>
        <v>81026341</v>
      </c>
      <c r="F1415" s="12" t="s">
        <v>3926</v>
      </c>
      <c r="G1415" s="11" t="s">
        <v>3927</v>
      </c>
      <c r="H1415" s="9" t="s">
        <v>3928</v>
      </c>
      <c r="I1415" s="10">
        <v>45555</v>
      </c>
    </row>
    <row r="1416" spans="1:9" x14ac:dyDescent="0.15">
      <c r="A1416" s="9">
        <v>1415</v>
      </c>
      <c r="B1416" s="9" t="s">
        <v>9</v>
      </c>
      <c r="C1416" s="9">
        <v>1915</v>
      </c>
      <c r="D1416" s="10">
        <v>45639</v>
      </c>
      <c r="E1416" s="13" t="str">
        <f>+HYPERLINK("http://trademark.i-assist.jp/data/china/image_1915th/81026464.pdf","81026464")</f>
        <v>81026464</v>
      </c>
      <c r="F1416" s="12" t="s">
        <v>3929</v>
      </c>
      <c r="G1416" s="12" t="s">
        <v>3930</v>
      </c>
      <c r="H1416" s="9" t="s">
        <v>3931</v>
      </c>
      <c r="I1416" s="10">
        <v>45555</v>
      </c>
    </row>
    <row r="1417" spans="1:9" x14ac:dyDescent="0.15">
      <c r="A1417" s="9">
        <v>1416</v>
      </c>
      <c r="B1417" s="9" t="s">
        <v>9</v>
      </c>
      <c r="C1417" s="9">
        <v>1915</v>
      </c>
      <c r="D1417" s="10">
        <v>45639</v>
      </c>
      <c r="E1417" s="13" t="str">
        <f>+HYPERLINK("http://trademark.i-assist.jp/data/china/image_1915th/81026497.pdf","81026497")</f>
        <v>81026497</v>
      </c>
      <c r="F1417" s="12" t="s">
        <v>3932</v>
      </c>
      <c r="G1417" s="12" t="s">
        <v>3933</v>
      </c>
      <c r="H1417" s="9" t="s">
        <v>3934</v>
      </c>
      <c r="I1417" s="10">
        <v>45555</v>
      </c>
    </row>
    <row r="1418" spans="1:9" x14ac:dyDescent="0.15">
      <c r="A1418" s="9">
        <v>1417</v>
      </c>
      <c r="B1418" s="9" t="s">
        <v>9</v>
      </c>
      <c r="C1418" s="9">
        <v>1915</v>
      </c>
      <c r="D1418" s="10">
        <v>45639</v>
      </c>
      <c r="E1418" s="13" t="str">
        <f>+HYPERLINK("http://trademark.i-assist.jp/data/china/image_1915th/81026631.pdf","81026631")</f>
        <v>81026631</v>
      </c>
      <c r="F1418" s="9" t="s">
        <v>3935</v>
      </c>
      <c r="G1418" s="9" t="s">
        <v>3936</v>
      </c>
      <c r="H1418" s="9" t="s">
        <v>3937</v>
      </c>
      <c r="I1418" s="10">
        <v>45555</v>
      </c>
    </row>
    <row r="1419" spans="1:9" x14ac:dyDescent="0.15">
      <c r="A1419" s="9">
        <v>1418</v>
      </c>
      <c r="B1419" s="9" t="s">
        <v>9</v>
      </c>
      <c r="C1419" s="9">
        <v>1915</v>
      </c>
      <c r="D1419" s="10">
        <v>45639</v>
      </c>
      <c r="E1419" s="13" t="str">
        <f>+HYPERLINK("http://trademark.i-assist.jp/data/china/image_1915th/81027175.pdf","81027175")</f>
        <v>81027175</v>
      </c>
      <c r="F1419" s="9" t="s">
        <v>3938</v>
      </c>
      <c r="G1419" s="9" t="s">
        <v>3939</v>
      </c>
      <c r="H1419" s="9" t="s">
        <v>3940</v>
      </c>
      <c r="I1419" s="10">
        <v>45555</v>
      </c>
    </row>
    <row r="1420" spans="1:9" x14ac:dyDescent="0.15">
      <c r="A1420" s="9">
        <v>1419</v>
      </c>
      <c r="B1420" s="9" t="s">
        <v>9</v>
      </c>
      <c r="C1420" s="9">
        <v>1915</v>
      </c>
      <c r="D1420" s="10">
        <v>45639</v>
      </c>
      <c r="E1420" s="13" t="str">
        <f>+HYPERLINK("http://trademark.i-assist.jp/data/china/image_1915th/81027339.pdf","81027339")</f>
        <v>81027339</v>
      </c>
      <c r="F1420" s="9" t="s">
        <v>3941</v>
      </c>
      <c r="G1420" s="9" t="s">
        <v>3646</v>
      </c>
      <c r="H1420" s="12" t="s">
        <v>3942</v>
      </c>
      <c r="I1420" s="10">
        <v>45555</v>
      </c>
    </row>
    <row r="1421" spans="1:9" x14ac:dyDescent="0.15">
      <c r="A1421" s="9">
        <v>1420</v>
      </c>
      <c r="B1421" s="9" t="s">
        <v>9</v>
      </c>
      <c r="C1421" s="9">
        <v>1915</v>
      </c>
      <c r="D1421" s="10">
        <v>45639</v>
      </c>
      <c r="E1421" s="13" t="str">
        <f>+HYPERLINK("http://trademark.i-assist.jp/data/china/image_1915th/81027424.pdf","81027424")</f>
        <v>81027424</v>
      </c>
      <c r="F1421" s="9" t="s">
        <v>3943</v>
      </c>
      <c r="G1421" s="9" t="s">
        <v>3944</v>
      </c>
      <c r="H1421" s="9" t="s">
        <v>3945</v>
      </c>
      <c r="I1421" s="10">
        <v>45555</v>
      </c>
    </row>
    <row r="1422" spans="1:9" x14ac:dyDescent="0.15">
      <c r="A1422" s="9">
        <v>1421</v>
      </c>
      <c r="B1422" s="9" t="s">
        <v>9</v>
      </c>
      <c r="C1422" s="9">
        <v>1915</v>
      </c>
      <c r="D1422" s="10">
        <v>45639</v>
      </c>
      <c r="E1422" s="13" t="str">
        <f>+HYPERLINK("http://trademark.i-assist.jp/data/china/image_1915th/81027439.pdf","81027439")</f>
        <v>81027439</v>
      </c>
      <c r="F1422" s="12" t="s">
        <v>3946</v>
      </c>
      <c r="G1422" s="9" t="s">
        <v>3726</v>
      </c>
      <c r="H1422" s="9" t="s">
        <v>3947</v>
      </c>
      <c r="I1422" s="10">
        <v>45555</v>
      </c>
    </row>
    <row r="1423" spans="1:9" x14ac:dyDescent="0.15">
      <c r="A1423" s="9">
        <v>1422</v>
      </c>
      <c r="B1423" s="9" t="s">
        <v>9</v>
      </c>
      <c r="C1423" s="9">
        <v>1915</v>
      </c>
      <c r="D1423" s="10">
        <v>45639</v>
      </c>
      <c r="E1423" s="13" t="str">
        <f>+HYPERLINK("http://trademark.i-assist.jp/data/china/image_1915th/81027483.pdf","81027483")</f>
        <v>81027483</v>
      </c>
      <c r="F1423" s="9" t="s">
        <v>3948</v>
      </c>
      <c r="G1423" s="9" t="s">
        <v>3949</v>
      </c>
      <c r="H1423" s="9" t="s">
        <v>3950</v>
      </c>
      <c r="I1423" s="10">
        <v>45555</v>
      </c>
    </row>
    <row r="1424" spans="1:9" x14ac:dyDescent="0.15">
      <c r="A1424" s="9">
        <v>1423</v>
      </c>
      <c r="B1424" s="9" t="s">
        <v>9</v>
      </c>
      <c r="C1424" s="9">
        <v>1915</v>
      </c>
      <c r="D1424" s="10">
        <v>45639</v>
      </c>
      <c r="E1424" s="13" t="str">
        <f>+HYPERLINK("http://trademark.i-assist.jp/data/china/image_1915th/81027502.pdf","81027502")</f>
        <v>81027502</v>
      </c>
      <c r="F1424" s="9" t="s">
        <v>3951</v>
      </c>
      <c r="G1424" s="9" t="s">
        <v>3792</v>
      </c>
      <c r="H1424" s="12" t="s">
        <v>3952</v>
      </c>
      <c r="I1424" s="10">
        <v>45555</v>
      </c>
    </row>
    <row r="1425" spans="1:9" x14ac:dyDescent="0.15">
      <c r="A1425" s="9">
        <v>1424</v>
      </c>
      <c r="B1425" s="9" t="s">
        <v>9</v>
      </c>
      <c r="C1425" s="9">
        <v>1915</v>
      </c>
      <c r="D1425" s="10">
        <v>45639</v>
      </c>
      <c r="E1425" s="13" t="str">
        <f>+HYPERLINK("http://trademark.i-assist.jp/data/china/image_1915th/81027605.pdf","81027605")</f>
        <v>81027605</v>
      </c>
      <c r="F1425" s="9" t="s">
        <v>3953</v>
      </c>
      <c r="G1425" s="9" t="s">
        <v>3954</v>
      </c>
      <c r="H1425" s="9" t="s">
        <v>3955</v>
      </c>
      <c r="I1425" s="10">
        <v>45555</v>
      </c>
    </row>
    <row r="1426" spans="1:9" x14ac:dyDescent="0.15">
      <c r="A1426" s="9">
        <v>1425</v>
      </c>
      <c r="B1426" s="9" t="s">
        <v>9</v>
      </c>
      <c r="C1426" s="9">
        <v>1915</v>
      </c>
      <c r="D1426" s="10">
        <v>45639</v>
      </c>
      <c r="E1426" s="13" t="str">
        <f>+HYPERLINK("http://trademark.i-assist.jp/data/china/image_1915th/81027724.pdf","81027724")</f>
        <v>81027724</v>
      </c>
      <c r="F1426" s="9" t="s">
        <v>3956</v>
      </c>
      <c r="G1426" s="9" t="s">
        <v>3957</v>
      </c>
      <c r="H1426" s="12" t="s">
        <v>3958</v>
      </c>
      <c r="I1426" s="10">
        <v>45555</v>
      </c>
    </row>
    <row r="1427" spans="1:9" x14ac:dyDescent="0.15">
      <c r="A1427" s="9">
        <v>1426</v>
      </c>
      <c r="B1427" s="9" t="s">
        <v>9</v>
      </c>
      <c r="C1427" s="9">
        <v>1915</v>
      </c>
      <c r="D1427" s="10">
        <v>45639</v>
      </c>
      <c r="E1427" s="13" t="str">
        <f>+HYPERLINK("http://trademark.i-assist.jp/data/china/image_1915th/81028102.pdf","81028102")</f>
        <v>81028102</v>
      </c>
      <c r="F1427" s="9" t="s">
        <v>3959</v>
      </c>
      <c r="G1427" s="12" t="s">
        <v>3713</v>
      </c>
      <c r="H1427" s="9" t="s">
        <v>3960</v>
      </c>
      <c r="I1427" s="10">
        <v>45555</v>
      </c>
    </row>
    <row r="1428" spans="1:9" x14ac:dyDescent="0.15">
      <c r="A1428" s="9">
        <v>1427</v>
      </c>
      <c r="B1428" s="9" t="s">
        <v>9</v>
      </c>
      <c r="C1428" s="9">
        <v>1915</v>
      </c>
      <c r="D1428" s="10">
        <v>45639</v>
      </c>
      <c r="E1428" s="13" t="str">
        <f>+HYPERLINK("http://trademark.i-assist.jp/data/china/image_1915th/81028287.pdf","81028287")</f>
        <v>81028287</v>
      </c>
      <c r="F1428" s="9" t="s">
        <v>3961</v>
      </c>
      <c r="G1428" s="9" t="s">
        <v>3962</v>
      </c>
      <c r="H1428" s="9" t="s">
        <v>3963</v>
      </c>
      <c r="I1428" s="10">
        <v>45555</v>
      </c>
    </row>
    <row r="1429" spans="1:9" x14ac:dyDescent="0.15">
      <c r="A1429" s="9">
        <v>1428</v>
      </c>
      <c r="B1429" s="9" t="s">
        <v>9</v>
      </c>
      <c r="C1429" s="9">
        <v>1915</v>
      </c>
      <c r="D1429" s="10">
        <v>45639</v>
      </c>
      <c r="E1429" s="13" t="str">
        <f>+HYPERLINK("http://trademark.i-assist.jp/data/china/image_1915th/81028332.pdf","81028332")</f>
        <v>81028332</v>
      </c>
      <c r="F1429" s="9" t="s">
        <v>3964</v>
      </c>
      <c r="G1429" s="9" t="s">
        <v>3965</v>
      </c>
      <c r="H1429" s="9" t="s">
        <v>3966</v>
      </c>
      <c r="I1429" s="10">
        <v>45555</v>
      </c>
    </row>
    <row r="1430" spans="1:9" x14ac:dyDescent="0.15">
      <c r="A1430" s="9">
        <v>1429</v>
      </c>
      <c r="B1430" s="9" t="s">
        <v>9</v>
      </c>
      <c r="C1430" s="9">
        <v>1915</v>
      </c>
      <c r="D1430" s="10">
        <v>45639</v>
      </c>
      <c r="E1430" s="13" t="str">
        <f>+HYPERLINK("http://trademark.i-assist.jp/data/china/image_1915th/81029011.pdf","81029011")</f>
        <v>81029011</v>
      </c>
      <c r="F1430" s="9" t="s">
        <v>3967</v>
      </c>
      <c r="G1430" s="9" t="s">
        <v>3798</v>
      </c>
      <c r="H1430" s="9" t="s">
        <v>3968</v>
      </c>
      <c r="I1430" s="10">
        <v>45555</v>
      </c>
    </row>
    <row r="1431" spans="1:9" x14ac:dyDescent="0.15">
      <c r="A1431" s="9">
        <v>1430</v>
      </c>
      <c r="B1431" s="9" t="s">
        <v>9</v>
      </c>
      <c r="C1431" s="9">
        <v>1915</v>
      </c>
      <c r="D1431" s="10">
        <v>45639</v>
      </c>
      <c r="E1431" s="13" t="str">
        <f>+HYPERLINK("http://trademark.i-assist.jp/data/china/image_1915th/81029196.pdf","81029196")</f>
        <v>81029196</v>
      </c>
      <c r="F1431" s="9" t="s">
        <v>3969</v>
      </c>
      <c r="G1431" s="9" t="s">
        <v>3970</v>
      </c>
      <c r="H1431" s="12" t="s">
        <v>3971</v>
      </c>
      <c r="I1431" s="10">
        <v>45555</v>
      </c>
    </row>
    <row r="1432" spans="1:9" x14ac:dyDescent="0.15">
      <c r="A1432" s="9">
        <v>1431</v>
      </c>
      <c r="B1432" s="9" t="s">
        <v>9</v>
      </c>
      <c r="C1432" s="9">
        <v>1915</v>
      </c>
      <c r="D1432" s="10">
        <v>45639</v>
      </c>
      <c r="E1432" s="13" t="str">
        <f>+HYPERLINK("http://trademark.i-assist.jp/data/china/image_1915th/81029256.pdf","81029256")</f>
        <v>81029256</v>
      </c>
      <c r="F1432" s="9" t="s">
        <v>3972</v>
      </c>
      <c r="G1432" s="9" t="s">
        <v>2336</v>
      </c>
      <c r="H1432" s="9" t="s">
        <v>3973</v>
      </c>
      <c r="I1432" s="10">
        <v>45555</v>
      </c>
    </row>
    <row r="1433" spans="1:9" x14ac:dyDescent="0.15">
      <c r="A1433" s="9">
        <v>1432</v>
      </c>
      <c r="B1433" s="9" t="s">
        <v>9</v>
      </c>
      <c r="C1433" s="9">
        <v>1915</v>
      </c>
      <c r="D1433" s="10">
        <v>45639</v>
      </c>
      <c r="E1433" s="13" t="str">
        <f>+HYPERLINK("http://trademark.i-assist.jp/data/china/image_1915th/81029409.pdf","81029409")</f>
        <v>81029409</v>
      </c>
      <c r="F1433" s="9" t="s">
        <v>3974</v>
      </c>
      <c r="G1433" s="9" t="s">
        <v>3975</v>
      </c>
      <c r="H1433" s="9" t="s">
        <v>3976</v>
      </c>
      <c r="I1433" s="10">
        <v>45555</v>
      </c>
    </row>
    <row r="1434" spans="1:9" x14ac:dyDescent="0.15">
      <c r="A1434" s="9">
        <v>1433</v>
      </c>
      <c r="B1434" s="9" t="s">
        <v>9</v>
      </c>
      <c r="C1434" s="9">
        <v>1915</v>
      </c>
      <c r="D1434" s="10">
        <v>45639</v>
      </c>
      <c r="E1434" s="13" t="str">
        <f>+HYPERLINK("http://trademark.i-assist.jp/data/china/image_1915th/81029597.pdf","81029597")</f>
        <v>81029597</v>
      </c>
      <c r="F1434" s="9" t="s">
        <v>3977</v>
      </c>
      <c r="G1434" s="9" t="s">
        <v>3978</v>
      </c>
      <c r="H1434" s="9" t="s">
        <v>3979</v>
      </c>
      <c r="I1434" s="10">
        <v>45555</v>
      </c>
    </row>
    <row r="1435" spans="1:9" x14ac:dyDescent="0.15">
      <c r="A1435" s="9">
        <v>1434</v>
      </c>
      <c r="B1435" s="9" t="s">
        <v>9</v>
      </c>
      <c r="C1435" s="9">
        <v>1915</v>
      </c>
      <c r="D1435" s="10">
        <v>45639</v>
      </c>
      <c r="E1435" s="13" t="str">
        <f>+HYPERLINK("http://trademark.i-assist.jp/data/china/image_1915th/81029717.pdf","81029717")</f>
        <v>81029717</v>
      </c>
      <c r="F1435" s="12" t="s">
        <v>15</v>
      </c>
      <c r="G1435" s="9" t="s">
        <v>3980</v>
      </c>
      <c r="H1435" s="9" t="s">
        <v>3981</v>
      </c>
      <c r="I1435" s="10">
        <v>45555</v>
      </c>
    </row>
    <row r="1436" spans="1:9" x14ac:dyDescent="0.15">
      <c r="A1436" s="9">
        <v>1435</v>
      </c>
      <c r="B1436" s="9" t="s">
        <v>9</v>
      </c>
      <c r="C1436" s="9">
        <v>1915</v>
      </c>
      <c r="D1436" s="10">
        <v>45639</v>
      </c>
      <c r="E1436" s="13" t="str">
        <f>+HYPERLINK("http://trademark.i-assist.jp/data/china/image_1915th/81029895.pdf","81029895")</f>
        <v>81029895</v>
      </c>
      <c r="F1436" s="9" t="s">
        <v>3982</v>
      </c>
      <c r="G1436" s="12" t="s">
        <v>3710</v>
      </c>
      <c r="H1436" s="9" t="s">
        <v>3983</v>
      </c>
      <c r="I1436" s="10">
        <v>45555</v>
      </c>
    </row>
    <row r="1437" spans="1:9" x14ac:dyDescent="0.15">
      <c r="A1437" s="9">
        <v>1436</v>
      </c>
      <c r="B1437" s="9" t="s">
        <v>9</v>
      </c>
      <c r="C1437" s="9">
        <v>1915</v>
      </c>
      <c r="D1437" s="10">
        <v>45639</v>
      </c>
      <c r="E1437" s="13" t="str">
        <f>+HYPERLINK("http://trademark.i-assist.jp/data/china/image_1915th/81029916.pdf","81029916")</f>
        <v>81029916</v>
      </c>
      <c r="F1437" s="9" t="s">
        <v>3984</v>
      </c>
      <c r="G1437" s="9" t="s">
        <v>3985</v>
      </c>
      <c r="H1437" s="9" t="s">
        <v>3986</v>
      </c>
      <c r="I1437" s="10">
        <v>45555</v>
      </c>
    </row>
    <row r="1438" spans="1:9" x14ac:dyDescent="0.15">
      <c r="A1438" s="9">
        <v>1437</v>
      </c>
      <c r="B1438" s="9" t="s">
        <v>9</v>
      </c>
      <c r="C1438" s="9">
        <v>1915</v>
      </c>
      <c r="D1438" s="10">
        <v>45639</v>
      </c>
      <c r="E1438" s="13" t="str">
        <f>+HYPERLINK("http://trademark.i-assist.jp/data/china/image_1915th/81030167.pdf","81030167")</f>
        <v>81030167</v>
      </c>
      <c r="F1438" s="9" t="s">
        <v>3987</v>
      </c>
      <c r="G1438" s="12" t="s">
        <v>3988</v>
      </c>
      <c r="H1438" s="9" t="s">
        <v>3989</v>
      </c>
      <c r="I1438" s="10">
        <v>45555</v>
      </c>
    </row>
    <row r="1439" spans="1:9" x14ac:dyDescent="0.15">
      <c r="A1439" s="9">
        <v>1438</v>
      </c>
      <c r="B1439" s="9" t="s">
        <v>9</v>
      </c>
      <c r="C1439" s="9">
        <v>1915</v>
      </c>
      <c r="D1439" s="10">
        <v>45639</v>
      </c>
      <c r="E1439" s="13" t="str">
        <f>+HYPERLINK("http://trademark.i-assist.jp/data/china/image_1915th/81030636.pdf","81030636")</f>
        <v>81030636</v>
      </c>
      <c r="F1439" s="9" t="s">
        <v>3990</v>
      </c>
      <c r="G1439" s="9" t="s">
        <v>3662</v>
      </c>
      <c r="H1439" s="9" t="s">
        <v>3991</v>
      </c>
      <c r="I1439" s="10">
        <v>45555</v>
      </c>
    </row>
    <row r="1440" spans="1:9" x14ac:dyDescent="0.15">
      <c r="A1440" s="9">
        <v>1439</v>
      </c>
      <c r="B1440" s="9" t="s">
        <v>9</v>
      </c>
      <c r="C1440" s="9">
        <v>1915</v>
      </c>
      <c r="D1440" s="10">
        <v>45639</v>
      </c>
      <c r="E1440" s="13" t="str">
        <f>+HYPERLINK("http://trademark.i-assist.jp/data/china/image_1915th/81030712.pdf","81030712")</f>
        <v>81030712</v>
      </c>
      <c r="F1440" s="12" t="s">
        <v>3992</v>
      </c>
      <c r="G1440" s="9" t="s">
        <v>3993</v>
      </c>
      <c r="H1440" s="9" t="s">
        <v>3994</v>
      </c>
      <c r="I1440" s="10">
        <v>45555</v>
      </c>
    </row>
    <row r="1441" spans="1:9" x14ac:dyDescent="0.15">
      <c r="A1441" s="9">
        <v>1440</v>
      </c>
      <c r="B1441" s="9" t="s">
        <v>9</v>
      </c>
      <c r="C1441" s="9">
        <v>1915</v>
      </c>
      <c r="D1441" s="10">
        <v>45639</v>
      </c>
      <c r="E1441" s="13" t="str">
        <f>+HYPERLINK("http://trademark.i-assist.jp/data/china/image_1915th/81030737.pdf","81030737")</f>
        <v>81030737</v>
      </c>
      <c r="F1441" s="9" t="s">
        <v>3995</v>
      </c>
      <c r="G1441" s="9" t="s">
        <v>3996</v>
      </c>
      <c r="H1441" s="9" t="s">
        <v>3997</v>
      </c>
      <c r="I1441" s="10">
        <v>45555</v>
      </c>
    </row>
    <row r="1442" spans="1:9" x14ac:dyDescent="0.15">
      <c r="A1442" s="9">
        <v>1441</v>
      </c>
      <c r="B1442" s="9" t="s">
        <v>9</v>
      </c>
      <c r="C1442" s="9">
        <v>1915</v>
      </c>
      <c r="D1442" s="10">
        <v>45639</v>
      </c>
      <c r="E1442" s="13" t="str">
        <f>+HYPERLINK("http://trademark.i-assist.jp/data/china/image_1915th/81030993.pdf","81030993")</f>
        <v>81030993</v>
      </c>
      <c r="F1442" s="11" t="s">
        <v>3998</v>
      </c>
      <c r="G1442" s="12" t="s">
        <v>3834</v>
      </c>
      <c r="H1442" s="12" t="s">
        <v>3999</v>
      </c>
      <c r="I1442" s="10">
        <v>45555</v>
      </c>
    </row>
    <row r="1443" spans="1:9" x14ac:dyDescent="0.15">
      <c r="A1443" s="9">
        <v>1442</v>
      </c>
      <c r="B1443" s="9" t="s">
        <v>9</v>
      </c>
      <c r="C1443" s="9">
        <v>1915</v>
      </c>
      <c r="D1443" s="10">
        <v>45639</v>
      </c>
      <c r="E1443" s="13" t="str">
        <f>+HYPERLINK("http://trademark.i-assist.jp/data/china/image_1915th/81031032.pdf","81031032")</f>
        <v>81031032</v>
      </c>
      <c r="F1443" s="9" t="s">
        <v>4000</v>
      </c>
      <c r="G1443" s="9" t="s">
        <v>4001</v>
      </c>
      <c r="H1443" s="9" t="s">
        <v>4002</v>
      </c>
      <c r="I1443" s="10">
        <v>45555</v>
      </c>
    </row>
    <row r="1444" spans="1:9" x14ac:dyDescent="0.15">
      <c r="A1444" s="9">
        <v>1443</v>
      </c>
      <c r="B1444" s="9" t="s">
        <v>9</v>
      </c>
      <c r="C1444" s="9">
        <v>1915</v>
      </c>
      <c r="D1444" s="10">
        <v>45639</v>
      </c>
      <c r="E1444" s="13" t="str">
        <f>+HYPERLINK("http://trademark.i-assist.jp/data/china/image_1915th/81031046.pdf","81031046")</f>
        <v>81031046</v>
      </c>
      <c r="F1444" s="9" t="s">
        <v>4003</v>
      </c>
      <c r="G1444" s="9" t="s">
        <v>4004</v>
      </c>
      <c r="H1444" s="9" t="s">
        <v>4005</v>
      </c>
      <c r="I1444" s="10">
        <v>45555</v>
      </c>
    </row>
    <row r="1445" spans="1:9" x14ac:dyDescent="0.15">
      <c r="A1445" s="9">
        <v>1444</v>
      </c>
      <c r="B1445" s="9" t="s">
        <v>9</v>
      </c>
      <c r="C1445" s="9">
        <v>1915</v>
      </c>
      <c r="D1445" s="10">
        <v>45639</v>
      </c>
      <c r="E1445" s="13" t="str">
        <f>+HYPERLINK("http://trademark.i-assist.jp/data/china/image_1915th/81031532.pdf","81031532")</f>
        <v>81031532</v>
      </c>
      <c r="F1445" s="9" t="s">
        <v>4006</v>
      </c>
      <c r="G1445" s="9" t="s">
        <v>4007</v>
      </c>
      <c r="H1445" s="9" t="s">
        <v>4008</v>
      </c>
      <c r="I1445" s="10">
        <v>45555</v>
      </c>
    </row>
    <row r="1446" spans="1:9" x14ac:dyDescent="0.15">
      <c r="A1446" s="9">
        <v>1445</v>
      </c>
      <c r="B1446" s="9" t="s">
        <v>9</v>
      </c>
      <c r="C1446" s="9">
        <v>1915</v>
      </c>
      <c r="D1446" s="10">
        <v>45639</v>
      </c>
      <c r="E1446" s="13" t="str">
        <f>+HYPERLINK("http://trademark.i-assist.jp/data/china/image_1915th/81031711.pdf","81031711")</f>
        <v>81031711</v>
      </c>
      <c r="F1446" s="9" t="s">
        <v>4009</v>
      </c>
      <c r="G1446" s="12" t="s">
        <v>3692</v>
      </c>
      <c r="H1446" s="9" t="s">
        <v>4010</v>
      </c>
      <c r="I1446" s="10">
        <v>45555</v>
      </c>
    </row>
    <row r="1447" spans="1:9" x14ac:dyDescent="0.15">
      <c r="A1447" s="9">
        <v>1446</v>
      </c>
      <c r="B1447" s="9" t="s">
        <v>9</v>
      </c>
      <c r="C1447" s="9">
        <v>1915</v>
      </c>
      <c r="D1447" s="10">
        <v>45639</v>
      </c>
      <c r="E1447" s="13" t="str">
        <f>+HYPERLINK("http://trademark.i-assist.jp/data/china/image_1915th/81031719.pdf","81031719")</f>
        <v>81031719</v>
      </c>
      <c r="F1447" s="9" t="s">
        <v>4011</v>
      </c>
      <c r="G1447" s="9" t="s">
        <v>3646</v>
      </c>
      <c r="H1447" s="9" t="s">
        <v>4012</v>
      </c>
      <c r="I1447" s="10">
        <v>45555</v>
      </c>
    </row>
    <row r="1448" spans="1:9" x14ac:dyDescent="0.15">
      <c r="A1448" s="9">
        <v>1447</v>
      </c>
      <c r="B1448" s="9" t="s">
        <v>9</v>
      </c>
      <c r="C1448" s="9">
        <v>1915</v>
      </c>
      <c r="D1448" s="10">
        <v>45639</v>
      </c>
      <c r="E1448" s="13" t="str">
        <f>+HYPERLINK("http://trademark.i-assist.jp/data/china/image_1915th/81031728.pdf","81031728")</f>
        <v>81031728</v>
      </c>
      <c r="F1448" s="9" t="s">
        <v>4013</v>
      </c>
      <c r="G1448" s="9" t="s">
        <v>4014</v>
      </c>
      <c r="H1448" s="9" t="s">
        <v>4015</v>
      </c>
      <c r="I1448" s="10">
        <v>45555</v>
      </c>
    </row>
    <row r="1449" spans="1:9" x14ac:dyDescent="0.15">
      <c r="A1449" s="9">
        <v>1448</v>
      </c>
      <c r="B1449" s="9" t="s">
        <v>9</v>
      </c>
      <c r="C1449" s="9">
        <v>1915</v>
      </c>
      <c r="D1449" s="10">
        <v>45639</v>
      </c>
      <c r="E1449" s="13" t="str">
        <f>+HYPERLINK("http://trademark.i-assist.jp/data/china/image_1915th/81032169.pdf","81032169")</f>
        <v>81032169</v>
      </c>
      <c r="F1449" s="9" t="s">
        <v>4016</v>
      </c>
      <c r="G1449" s="9" t="s">
        <v>4017</v>
      </c>
      <c r="H1449" s="9" t="s">
        <v>4018</v>
      </c>
      <c r="I1449" s="10">
        <v>45556</v>
      </c>
    </row>
    <row r="1450" spans="1:9" x14ac:dyDescent="0.15">
      <c r="A1450" s="9">
        <v>1449</v>
      </c>
      <c r="B1450" s="9" t="s">
        <v>9</v>
      </c>
      <c r="C1450" s="9">
        <v>1915</v>
      </c>
      <c r="D1450" s="10">
        <v>45639</v>
      </c>
      <c r="E1450" s="13" t="str">
        <f>+HYPERLINK("http://trademark.i-assist.jp/data/china/image_1915th/81032201.pdf","81032201")</f>
        <v>81032201</v>
      </c>
      <c r="F1450" s="9" t="s">
        <v>4019</v>
      </c>
      <c r="G1450" s="9" t="s">
        <v>4020</v>
      </c>
      <c r="H1450" s="9" t="s">
        <v>4021</v>
      </c>
      <c r="I1450" s="10">
        <v>45556</v>
      </c>
    </row>
    <row r="1451" spans="1:9" x14ac:dyDescent="0.15">
      <c r="A1451" s="9">
        <v>1450</v>
      </c>
      <c r="B1451" s="9" t="s">
        <v>9</v>
      </c>
      <c r="C1451" s="9">
        <v>1915</v>
      </c>
      <c r="D1451" s="10">
        <v>45639</v>
      </c>
      <c r="E1451" s="13" t="str">
        <f>+HYPERLINK("http://trademark.i-assist.jp/data/china/image_1915th/81033134.pdf","81033134")</f>
        <v>81033134</v>
      </c>
      <c r="F1451" s="9" t="s">
        <v>4022</v>
      </c>
      <c r="G1451" s="9" t="s">
        <v>4020</v>
      </c>
      <c r="H1451" s="9" t="s">
        <v>4023</v>
      </c>
      <c r="I1451" s="10">
        <v>45556</v>
      </c>
    </row>
    <row r="1452" spans="1:9" x14ac:dyDescent="0.15">
      <c r="A1452" s="9">
        <v>1451</v>
      </c>
      <c r="B1452" s="9" t="s">
        <v>9</v>
      </c>
      <c r="C1452" s="9">
        <v>1915</v>
      </c>
      <c r="D1452" s="10">
        <v>45639</v>
      </c>
      <c r="E1452" s="13" t="str">
        <f>+HYPERLINK("http://trademark.i-assist.jp/data/china/image_1915th/81033147.pdf","81033147")</f>
        <v>81033147</v>
      </c>
      <c r="F1452" s="12" t="s">
        <v>15</v>
      </c>
      <c r="G1452" s="9" t="s">
        <v>4024</v>
      </c>
      <c r="H1452" s="9" t="s">
        <v>4025</v>
      </c>
      <c r="I1452" s="10">
        <v>45556</v>
      </c>
    </row>
    <row r="1453" spans="1:9" x14ac:dyDescent="0.15">
      <c r="A1453" s="9">
        <v>1452</v>
      </c>
      <c r="B1453" s="9" t="s">
        <v>9</v>
      </c>
      <c r="C1453" s="9">
        <v>1915</v>
      </c>
      <c r="D1453" s="10">
        <v>45639</v>
      </c>
      <c r="E1453" s="13" t="str">
        <f>+HYPERLINK("http://trademark.i-assist.jp/data/china/image_1915th/81033450.pdf","81033450")</f>
        <v>81033450</v>
      </c>
      <c r="F1453" s="9" t="s">
        <v>4026</v>
      </c>
      <c r="G1453" s="9" t="s">
        <v>4027</v>
      </c>
      <c r="H1453" s="9" t="s">
        <v>4028</v>
      </c>
      <c r="I1453" s="10">
        <v>45556</v>
      </c>
    </row>
    <row r="1454" spans="1:9" x14ac:dyDescent="0.15">
      <c r="A1454" s="9">
        <v>1453</v>
      </c>
      <c r="B1454" s="9" t="s">
        <v>9</v>
      </c>
      <c r="C1454" s="9">
        <v>1915</v>
      </c>
      <c r="D1454" s="10">
        <v>45639</v>
      </c>
      <c r="E1454" s="13" t="str">
        <f>+HYPERLINK("http://trademark.i-assist.jp/data/china/image_1915th/81033482.pdf","81033482")</f>
        <v>81033482</v>
      </c>
      <c r="F1454" s="9" t="s">
        <v>4029</v>
      </c>
      <c r="G1454" s="9" t="s">
        <v>4030</v>
      </c>
      <c r="H1454" s="12" t="s">
        <v>4031</v>
      </c>
      <c r="I1454" s="10">
        <v>45556</v>
      </c>
    </row>
    <row r="1455" spans="1:9" x14ac:dyDescent="0.15">
      <c r="A1455" s="9">
        <v>1454</v>
      </c>
      <c r="B1455" s="9" t="s">
        <v>9</v>
      </c>
      <c r="C1455" s="9">
        <v>1915</v>
      </c>
      <c r="D1455" s="10">
        <v>45639</v>
      </c>
      <c r="E1455" s="13" t="str">
        <f>+HYPERLINK("http://trademark.i-assist.jp/data/china/image_1915th/81033522.pdf","81033522")</f>
        <v>81033522</v>
      </c>
      <c r="F1455" s="9" t="s">
        <v>4032</v>
      </c>
      <c r="G1455" s="9" t="s">
        <v>4033</v>
      </c>
      <c r="H1455" s="9" t="s">
        <v>4034</v>
      </c>
      <c r="I1455" s="10">
        <v>45556</v>
      </c>
    </row>
    <row r="1456" spans="1:9" x14ac:dyDescent="0.15">
      <c r="A1456" s="9">
        <v>1455</v>
      </c>
      <c r="B1456" s="9" t="s">
        <v>9</v>
      </c>
      <c r="C1456" s="9">
        <v>1915</v>
      </c>
      <c r="D1456" s="10">
        <v>45639</v>
      </c>
      <c r="E1456" s="13" t="str">
        <f>+HYPERLINK("http://trademark.i-assist.jp/data/china/image_1915th/81033524.pdf","81033524")</f>
        <v>81033524</v>
      </c>
      <c r="F1456" s="9" t="s">
        <v>4035</v>
      </c>
      <c r="G1456" s="9" t="s">
        <v>4033</v>
      </c>
      <c r="H1456" s="12" t="s">
        <v>4036</v>
      </c>
      <c r="I1456" s="10">
        <v>45556</v>
      </c>
    </row>
    <row r="1457" spans="1:9" x14ac:dyDescent="0.15">
      <c r="A1457" s="9">
        <v>1456</v>
      </c>
      <c r="B1457" s="9" t="s">
        <v>9</v>
      </c>
      <c r="C1457" s="9">
        <v>1915</v>
      </c>
      <c r="D1457" s="10">
        <v>45639</v>
      </c>
      <c r="E1457" s="13" t="str">
        <f>+HYPERLINK("http://trademark.i-assist.jp/data/china/image_1915th/81033765.pdf","81033765")</f>
        <v>81033765</v>
      </c>
      <c r="F1457" s="9" t="s">
        <v>4037</v>
      </c>
      <c r="G1457" s="12" t="s">
        <v>4038</v>
      </c>
      <c r="H1457" s="9" t="s">
        <v>4039</v>
      </c>
      <c r="I1457" s="10">
        <v>45556</v>
      </c>
    </row>
    <row r="1458" spans="1:9" x14ac:dyDescent="0.15">
      <c r="A1458" s="9">
        <v>1457</v>
      </c>
      <c r="B1458" s="9" t="s">
        <v>9</v>
      </c>
      <c r="C1458" s="9">
        <v>1915</v>
      </c>
      <c r="D1458" s="10">
        <v>45639</v>
      </c>
      <c r="E1458" s="13" t="str">
        <f>+HYPERLINK("http://trademark.i-assist.jp/data/china/image_1915th/81033813.pdf","81033813")</f>
        <v>81033813</v>
      </c>
      <c r="F1458" s="12" t="s">
        <v>15</v>
      </c>
      <c r="G1458" s="9" t="s">
        <v>4040</v>
      </c>
      <c r="H1458" s="9" t="s">
        <v>4041</v>
      </c>
      <c r="I1458" s="10">
        <v>45556</v>
      </c>
    </row>
    <row r="1459" spans="1:9" x14ac:dyDescent="0.15">
      <c r="A1459" s="9">
        <v>1458</v>
      </c>
      <c r="B1459" s="9" t="s">
        <v>9</v>
      </c>
      <c r="C1459" s="9">
        <v>1915</v>
      </c>
      <c r="D1459" s="10">
        <v>45639</v>
      </c>
      <c r="E1459" s="13" t="str">
        <f>+HYPERLINK("http://trademark.i-assist.jp/data/china/image_1915th/81033967.pdf","81033967")</f>
        <v>81033967</v>
      </c>
      <c r="F1459" s="9" t="s">
        <v>4042</v>
      </c>
      <c r="G1459" s="9" t="s">
        <v>4043</v>
      </c>
      <c r="H1459" s="9" t="s">
        <v>4044</v>
      </c>
      <c r="I1459" s="10">
        <v>45556</v>
      </c>
    </row>
    <row r="1460" spans="1:9" x14ac:dyDescent="0.15">
      <c r="A1460" s="9">
        <v>1459</v>
      </c>
      <c r="B1460" s="9" t="s">
        <v>9</v>
      </c>
      <c r="C1460" s="9">
        <v>1915</v>
      </c>
      <c r="D1460" s="10">
        <v>45639</v>
      </c>
      <c r="E1460" s="13" t="str">
        <f>+HYPERLINK("http://trademark.i-assist.jp/data/china/image_1915th/81034205.pdf","81034205")</f>
        <v>81034205</v>
      </c>
      <c r="F1460" s="12" t="s">
        <v>4045</v>
      </c>
      <c r="G1460" s="12" t="s">
        <v>3665</v>
      </c>
      <c r="H1460" s="9" t="s">
        <v>4046</v>
      </c>
      <c r="I1460" s="10">
        <v>45556</v>
      </c>
    </row>
    <row r="1461" spans="1:9" x14ac:dyDescent="0.15">
      <c r="A1461" s="9">
        <v>1460</v>
      </c>
      <c r="B1461" s="9" t="s">
        <v>9</v>
      </c>
      <c r="C1461" s="9">
        <v>1915</v>
      </c>
      <c r="D1461" s="10">
        <v>45639</v>
      </c>
      <c r="E1461" s="13" t="str">
        <f>+HYPERLINK("http://trademark.i-assist.jp/data/china/image_1915th/81034268.pdf","81034268")</f>
        <v>81034268</v>
      </c>
      <c r="F1461" s="9" t="s">
        <v>4047</v>
      </c>
      <c r="G1461" s="9" t="s">
        <v>4048</v>
      </c>
      <c r="H1461" s="12" t="s">
        <v>4049</v>
      </c>
      <c r="I1461" s="10">
        <v>45556</v>
      </c>
    </row>
    <row r="1462" spans="1:9" x14ac:dyDescent="0.15">
      <c r="A1462" s="9">
        <v>1461</v>
      </c>
      <c r="B1462" s="9" t="s">
        <v>9</v>
      </c>
      <c r="C1462" s="9">
        <v>1915</v>
      </c>
      <c r="D1462" s="10">
        <v>45639</v>
      </c>
      <c r="E1462" s="13" t="str">
        <f>+HYPERLINK("http://trademark.i-assist.jp/data/china/image_1915th/81034613.pdf","81034613")</f>
        <v>81034613</v>
      </c>
      <c r="F1462" s="12" t="s">
        <v>15</v>
      </c>
      <c r="G1462" s="9" t="s">
        <v>4050</v>
      </c>
      <c r="H1462" s="9" t="s">
        <v>4051</v>
      </c>
      <c r="I1462" s="10">
        <v>45556</v>
      </c>
    </row>
    <row r="1463" spans="1:9" x14ac:dyDescent="0.15">
      <c r="A1463" s="9">
        <v>1462</v>
      </c>
      <c r="B1463" s="9" t="s">
        <v>9</v>
      </c>
      <c r="C1463" s="9">
        <v>1915</v>
      </c>
      <c r="D1463" s="10">
        <v>45639</v>
      </c>
      <c r="E1463" s="13" t="str">
        <f>+HYPERLINK("http://trademark.i-assist.jp/data/china/image_1915th/81034628.pdf","81034628")</f>
        <v>81034628</v>
      </c>
      <c r="F1463" s="9" t="s">
        <v>4052</v>
      </c>
      <c r="G1463" s="9" t="s">
        <v>4053</v>
      </c>
      <c r="H1463" s="9" t="s">
        <v>4054</v>
      </c>
      <c r="I1463" s="10">
        <v>45556</v>
      </c>
    </row>
    <row r="1464" spans="1:9" x14ac:dyDescent="0.15">
      <c r="A1464" s="9">
        <v>1463</v>
      </c>
      <c r="B1464" s="9" t="s">
        <v>9</v>
      </c>
      <c r="C1464" s="9">
        <v>1915</v>
      </c>
      <c r="D1464" s="10">
        <v>45639</v>
      </c>
      <c r="E1464" s="13" t="str">
        <f>+HYPERLINK("http://trademark.i-assist.jp/data/china/image_1915th/81034672.pdf","81034672")</f>
        <v>81034672</v>
      </c>
      <c r="F1464" s="12" t="s">
        <v>15</v>
      </c>
      <c r="G1464" s="9" t="s">
        <v>4024</v>
      </c>
      <c r="H1464" s="9" t="s">
        <v>4055</v>
      </c>
      <c r="I1464" s="10">
        <v>45556</v>
      </c>
    </row>
    <row r="1465" spans="1:9" x14ac:dyDescent="0.15">
      <c r="A1465" s="9">
        <v>1464</v>
      </c>
      <c r="B1465" s="9" t="s">
        <v>9</v>
      </c>
      <c r="C1465" s="9">
        <v>1915</v>
      </c>
      <c r="D1465" s="10">
        <v>45639</v>
      </c>
      <c r="E1465" s="13" t="str">
        <f>+HYPERLINK("http://trademark.i-assist.jp/data/china/image_1915th/81034685.pdf","81034685")</f>
        <v>81034685</v>
      </c>
      <c r="F1465" s="9" t="s">
        <v>4056</v>
      </c>
      <c r="G1465" s="9" t="s">
        <v>4057</v>
      </c>
      <c r="H1465" s="9" t="s">
        <v>4058</v>
      </c>
      <c r="I1465" s="10">
        <v>45556</v>
      </c>
    </row>
    <row r="1466" spans="1:9" x14ac:dyDescent="0.15">
      <c r="A1466" s="9">
        <v>1465</v>
      </c>
      <c r="B1466" s="9" t="s">
        <v>9</v>
      </c>
      <c r="C1466" s="9">
        <v>1915</v>
      </c>
      <c r="D1466" s="10">
        <v>45639</v>
      </c>
      <c r="E1466" s="13" t="str">
        <f>+HYPERLINK("http://trademark.i-assist.jp/data/china/image_1915th/81034787.pdf","81034787")</f>
        <v>81034787</v>
      </c>
      <c r="F1466" s="11" t="s">
        <v>4059</v>
      </c>
      <c r="G1466" s="12" t="s">
        <v>4060</v>
      </c>
      <c r="H1466" s="9" t="s">
        <v>4061</v>
      </c>
      <c r="I1466" s="10">
        <v>45556</v>
      </c>
    </row>
    <row r="1467" spans="1:9" x14ac:dyDescent="0.15">
      <c r="A1467" s="9">
        <v>1466</v>
      </c>
      <c r="B1467" s="9" t="s">
        <v>9</v>
      </c>
      <c r="C1467" s="9">
        <v>1915</v>
      </c>
      <c r="D1467" s="10">
        <v>45639</v>
      </c>
      <c r="E1467" s="13" t="str">
        <f>+HYPERLINK("http://trademark.i-assist.jp/data/china/image_1915th/81034822.pdf","81034822")</f>
        <v>81034822</v>
      </c>
      <c r="F1467" s="9" t="s">
        <v>4062</v>
      </c>
      <c r="G1467" s="12" t="s">
        <v>4063</v>
      </c>
      <c r="H1467" s="9" t="s">
        <v>4064</v>
      </c>
      <c r="I1467" s="10">
        <v>45556</v>
      </c>
    </row>
    <row r="1468" spans="1:9" x14ac:dyDescent="0.15">
      <c r="A1468" s="9">
        <v>1467</v>
      </c>
      <c r="B1468" s="9" t="s">
        <v>9</v>
      </c>
      <c r="C1468" s="9">
        <v>1915</v>
      </c>
      <c r="D1468" s="10">
        <v>45639</v>
      </c>
      <c r="E1468" s="13" t="str">
        <f>+HYPERLINK("http://trademark.i-assist.jp/data/china/image_1915th/81034835.pdf","81034835")</f>
        <v>81034835</v>
      </c>
      <c r="F1468" s="9" t="s">
        <v>4065</v>
      </c>
      <c r="G1468" s="9" t="s">
        <v>4066</v>
      </c>
      <c r="H1468" s="9" t="s">
        <v>4067</v>
      </c>
      <c r="I1468" s="10">
        <v>45556</v>
      </c>
    </row>
    <row r="1469" spans="1:9" x14ac:dyDescent="0.15">
      <c r="A1469" s="9">
        <v>1468</v>
      </c>
      <c r="B1469" s="9" t="s">
        <v>9</v>
      </c>
      <c r="C1469" s="9">
        <v>1915</v>
      </c>
      <c r="D1469" s="10">
        <v>45639</v>
      </c>
      <c r="E1469" s="13" t="str">
        <f>+HYPERLINK("http://trademark.i-assist.jp/data/china/image_1915th/81035251.pdf","81035251")</f>
        <v>81035251</v>
      </c>
      <c r="F1469" s="12" t="s">
        <v>4068</v>
      </c>
      <c r="G1469" s="12" t="s">
        <v>4038</v>
      </c>
      <c r="H1469" s="9" t="s">
        <v>4069</v>
      </c>
      <c r="I1469" s="10">
        <v>45556</v>
      </c>
    </row>
    <row r="1470" spans="1:9" x14ac:dyDescent="0.15">
      <c r="A1470" s="9">
        <v>1469</v>
      </c>
      <c r="B1470" s="9" t="s">
        <v>9</v>
      </c>
      <c r="C1470" s="9">
        <v>1915</v>
      </c>
      <c r="D1470" s="10">
        <v>45639</v>
      </c>
      <c r="E1470" s="13" t="str">
        <f>+HYPERLINK("http://trademark.i-assist.jp/data/china/image_1915th/81035528.pdf","81035528")</f>
        <v>81035528</v>
      </c>
      <c r="F1470" s="9" t="s">
        <v>4070</v>
      </c>
      <c r="G1470" s="9" t="s">
        <v>4071</v>
      </c>
      <c r="H1470" s="9" t="s">
        <v>4072</v>
      </c>
      <c r="I1470" s="10">
        <v>45556</v>
      </c>
    </row>
    <row r="1471" spans="1:9" x14ac:dyDescent="0.15">
      <c r="A1471" s="9">
        <v>1470</v>
      </c>
      <c r="B1471" s="9" t="s">
        <v>9</v>
      </c>
      <c r="C1471" s="9">
        <v>1915</v>
      </c>
      <c r="D1471" s="10">
        <v>45639</v>
      </c>
      <c r="E1471" s="13" t="str">
        <f>+HYPERLINK("http://trademark.i-assist.jp/data/china/image_1915th/81036251.pdf","81036251")</f>
        <v>81036251</v>
      </c>
      <c r="F1471" s="9" t="s">
        <v>4073</v>
      </c>
      <c r="G1471" s="9" t="s">
        <v>4074</v>
      </c>
      <c r="H1471" s="9" t="s">
        <v>4075</v>
      </c>
      <c r="I1471" s="10">
        <v>45556</v>
      </c>
    </row>
    <row r="1472" spans="1:9" x14ac:dyDescent="0.15">
      <c r="A1472" s="9">
        <v>1471</v>
      </c>
      <c r="B1472" s="9" t="s">
        <v>9</v>
      </c>
      <c r="C1472" s="9">
        <v>1915</v>
      </c>
      <c r="D1472" s="10">
        <v>45639</v>
      </c>
      <c r="E1472" s="13" t="str">
        <f>+HYPERLINK("http://trademark.i-assist.jp/data/china/image_1915th/81036366.pdf","81036366")</f>
        <v>81036366</v>
      </c>
      <c r="F1472" s="9" t="s">
        <v>4076</v>
      </c>
      <c r="G1472" s="9" t="s">
        <v>4077</v>
      </c>
      <c r="H1472" s="9" t="s">
        <v>4078</v>
      </c>
      <c r="I1472" s="10">
        <v>45556</v>
      </c>
    </row>
    <row r="1473" spans="1:9" x14ac:dyDescent="0.15">
      <c r="A1473" s="9">
        <v>1472</v>
      </c>
      <c r="B1473" s="9" t="s">
        <v>9</v>
      </c>
      <c r="C1473" s="9">
        <v>1915</v>
      </c>
      <c r="D1473" s="10">
        <v>45639</v>
      </c>
      <c r="E1473" s="13" t="str">
        <f>+HYPERLINK("http://trademark.i-assist.jp/data/china/image_1915th/81036435.pdf","81036435")</f>
        <v>81036435</v>
      </c>
      <c r="F1473" s="9" t="s">
        <v>4079</v>
      </c>
      <c r="G1473" s="9" t="s">
        <v>50</v>
      </c>
      <c r="H1473" s="9" t="s">
        <v>4080</v>
      </c>
      <c r="I1473" s="10">
        <v>45556</v>
      </c>
    </row>
    <row r="1474" spans="1:9" x14ac:dyDescent="0.15">
      <c r="A1474" s="9">
        <v>1473</v>
      </c>
      <c r="B1474" s="9" t="s">
        <v>9</v>
      </c>
      <c r="C1474" s="9">
        <v>1915</v>
      </c>
      <c r="D1474" s="10">
        <v>45639</v>
      </c>
      <c r="E1474" s="13" t="str">
        <f>+HYPERLINK("http://trademark.i-assist.jp/data/china/image_1915th/81036661.pdf","81036661")</f>
        <v>81036661</v>
      </c>
      <c r="F1474" s="9" t="s">
        <v>4081</v>
      </c>
      <c r="G1474" s="9" t="s">
        <v>4082</v>
      </c>
      <c r="H1474" s="9" t="s">
        <v>4083</v>
      </c>
      <c r="I1474" s="10">
        <v>45556</v>
      </c>
    </row>
    <row r="1475" spans="1:9" x14ac:dyDescent="0.15">
      <c r="A1475" s="9">
        <v>1474</v>
      </c>
      <c r="B1475" s="9" t="s">
        <v>9</v>
      </c>
      <c r="C1475" s="9">
        <v>1915</v>
      </c>
      <c r="D1475" s="10">
        <v>45639</v>
      </c>
      <c r="E1475" s="13" t="str">
        <f>+HYPERLINK("http://trademark.i-assist.jp/data/china/image_1915th/81036737.pdf","81036737")</f>
        <v>81036737</v>
      </c>
      <c r="F1475" s="9" t="s">
        <v>4084</v>
      </c>
      <c r="G1475" s="9" t="s">
        <v>4085</v>
      </c>
      <c r="H1475" s="12" t="s">
        <v>4086</v>
      </c>
      <c r="I1475" s="10">
        <v>45556</v>
      </c>
    </row>
    <row r="1476" spans="1:9" x14ac:dyDescent="0.15">
      <c r="A1476" s="9">
        <v>1475</v>
      </c>
      <c r="B1476" s="9" t="s">
        <v>9</v>
      </c>
      <c r="C1476" s="9">
        <v>1915</v>
      </c>
      <c r="D1476" s="10">
        <v>45639</v>
      </c>
      <c r="E1476" s="13" t="str">
        <f>+HYPERLINK("http://trademark.i-assist.jp/data/china/image_1915th/81036778.pdf","81036778")</f>
        <v>81036778</v>
      </c>
      <c r="F1476" s="9" t="s">
        <v>4087</v>
      </c>
      <c r="G1476" s="12" t="s">
        <v>4038</v>
      </c>
      <c r="H1476" s="9" t="s">
        <v>4088</v>
      </c>
      <c r="I1476" s="10">
        <v>45556</v>
      </c>
    </row>
    <row r="1477" spans="1:9" x14ac:dyDescent="0.15">
      <c r="A1477" s="9">
        <v>1476</v>
      </c>
      <c r="B1477" s="9" t="s">
        <v>9</v>
      </c>
      <c r="C1477" s="9">
        <v>1915</v>
      </c>
      <c r="D1477" s="10">
        <v>45639</v>
      </c>
      <c r="E1477" s="13" t="str">
        <f>+HYPERLINK("http://trademark.i-assist.jp/data/china/image_1915th/81037227.pdf","81037227")</f>
        <v>81037227</v>
      </c>
      <c r="F1477" s="9" t="s">
        <v>4089</v>
      </c>
      <c r="G1477" s="9" t="s">
        <v>43</v>
      </c>
      <c r="H1477" s="12" t="s">
        <v>4090</v>
      </c>
      <c r="I1477" s="10">
        <v>45556</v>
      </c>
    </row>
    <row r="1478" spans="1:9" x14ac:dyDescent="0.15">
      <c r="A1478" s="9">
        <v>1477</v>
      </c>
      <c r="B1478" s="9" t="s">
        <v>9</v>
      </c>
      <c r="C1478" s="9">
        <v>1915</v>
      </c>
      <c r="D1478" s="10">
        <v>45639</v>
      </c>
      <c r="E1478" s="13" t="str">
        <f>+HYPERLINK("http://trademark.i-assist.jp/data/china/image_1915th/81037626.pdf","81037626")</f>
        <v>81037626</v>
      </c>
      <c r="F1478" s="9" t="s">
        <v>4091</v>
      </c>
      <c r="G1478" s="9" t="s">
        <v>4092</v>
      </c>
      <c r="H1478" s="9" t="s">
        <v>4093</v>
      </c>
      <c r="I1478" s="10">
        <v>45556</v>
      </c>
    </row>
    <row r="1479" spans="1:9" x14ac:dyDescent="0.15">
      <c r="A1479" s="9">
        <v>1478</v>
      </c>
      <c r="B1479" s="9" t="s">
        <v>9</v>
      </c>
      <c r="C1479" s="9">
        <v>1915</v>
      </c>
      <c r="D1479" s="10">
        <v>45639</v>
      </c>
      <c r="E1479" s="13" t="str">
        <f>+HYPERLINK("http://trademark.i-assist.jp/data/china/image_1915th/81037748.pdf","81037748")</f>
        <v>81037748</v>
      </c>
      <c r="F1479" s="9" t="s">
        <v>4094</v>
      </c>
      <c r="G1479" s="12" t="s">
        <v>4095</v>
      </c>
      <c r="H1479" s="9" t="s">
        <v>4096</v>
      </c>
      <c r="I1479" s="10">
        <v>45556</v>
      </c>
    </row>
    <row r="1480" spans="1:9" x14ac:dyDescent="0.15">
      <c r="A1480" s="9">
        <v>1479</v>
      </c>
      <c r="B1480" s="9" t="s">
        <v>9</v>
      </c>
      <c r="C1480" s="9">
        <v>1915</v>
      </c>
      <c r="D1480" s="10">
        <v>45639</v>
      </c>
      <c r="E1480" s="13" t="str">
        <f>+HYPERLINK("http://trademark.i-assist.jp/data/china/image_1915th/81037863.pdf","81037863")</f>
        <v>81037863</v>
      </c>
      <c r="F1480" s="12" t="s">
        <v>4097</v>
      </c>
      <c r="G1480" s="12" t="s">
        <v>4098</v>
      </c>
      <c r="H1480" s="9" t="s">
        <v>4099</v>
      </c>
      <c r="I1480" s="10">
        <v>45556</v>
      </c>
    </row>
    <row r="1481" spans="1:9" x14ac:dyDescent="0.15">
      <c r="A1481" s="9">
        <v>1480</v>
      </c>
      <c r="B1481" s="9" t="s">
        <v>9</v>
      </c>
      <c r="C1481" s="9">
        <v>1915</v>
      </c>
      <c r="D1481" s="10">
        <v>45639</v>
      </c>
      <c r="E1481" s="13" t="str">
        <f>+HYPERLINK("http://trademark.i-assist.jp/data/china/image_1915th/81037953.pdf","81037953")</f>
        <v>81037953</v>
      </c>
      <c r="F1481" s="9" t="s">
        <v>4100</v>
      </c>
      <c r="G1481" s="9" t="s">
        <v>4101</v>
      </c>
      <c r="H1481" s="9" t="s">
        <v>4102</v>
      </c>
      <c r="I1481" s="10">
        <v>45556</v>
      </c>
    </row>
    <row r="1482" spans="1:9" x14ac:dyDescent="0.15">
      <c r="A1482" s="9">
        <v>1481</v>
      </c>
      <c r="B1482" s="9" t="s">
        <v>9</v>
      </c>
      <c r="C1482" s="9">
        <v>1915</v>
      </c>
      <c r="D1482" s="10">
        <v>45639</v>
      </c>
      <c r="E1482" s="13" t="str">
        <f>+HYPERLINK("http://trademark.i-assist.jp/data/china/image_1915th/81038063.pdf","81038063")</f>
        <v>81038063</v>
      </c>
      <c r="F1482" s="9" t="s">
        <v>4103</v>
      </c>
      <c r="G1482" s="9" t="s">
        <v>4103</v>
      </c>
      <c r="H1482" s="9" t="s">
        <v>4104</v>
      </c>
      <c r="I1482" s="10">
        <v>45556</v>
      </c>
    </row>
    <row r="1483" spans="1:9" x14ac:dyDescent="0.15">
      <c r="A1483" s="9">
        <v>1482</v>
      </c>
      <c r="B1483" s="9" t="s">
        <v>9</v>
      </c>
      <c r="C1483" s="9">
        <v>1915</v>
      </c>
      <c r="D1483" s="10">
        <v>45639</v>
      </c>
      <c r="E1483" s="13" t="str">
        <f>+HYPERLINK("http://trademark.i-assist.jp/data/china/image_1915th/81038299.pdf","81038299")</f>
        <v>81038299</v>
      </c>
      <c r="F1483" s="9" t="s">
        <v>4105</v>
      </c>
      <c r="G1483" s="9" t="s">
        <v>4106</v>
      </c>
      <c r="H1483" s="12" t="s">
        <v>4107</v>
      </c>
      <c r="I1483" s="10">
        <v>45556</v>
      </c>
    </row>
    <row r="1484" spans="1:9" x14ac:dyDescent="0.15">
      <c r="A1484" s="9">
        <v>1483</v>
      </c>
      <c r="B1484" s="9" t="s">
        <v>9</v>
      </c>
      <c r="C1484" s="9">
        <v>1915</v>
      </c>
      <c r="D1484" s="10">
        <v>45639</v>
      </c>
      <c r="E1484" s="13" t="str">
        <f>+HYPERLINK("http://trademark.i-assist.jp/data/china/image_1915th/81038766.pdf","81038766")</f>
        <v>81038766</v>
      </c>
      <c r="F1484" s="9" t="s">
        <v>4108</v>
      </c>
      <c r="G1484" s="9" t="s">
        <v>4109</v>
      </c>
      <c r="H1484" s="9" t="s">
        <v>4110</v>
      </c>
      <c r="I1484" s="10">
        <v>45556</v>
      </c>
    </row>
    <row r="1485" spans="1:9" x14ac:dyDescent="0.15">
      <c r="A1485" s="9">
        <v>1484</v>
      </c>
      <c r="B1485" s="9" t="s">
        <v>9</v>
      </c>
      <c r="C1485" s="9">
        <v>1915</v>
      </c>
      <c r="D1485" s="10">
        <v>45639</v>
      </c>
      <c r="E1485" s="13" t="str">
        <f>+HYPERLINK("http://trademark.i-assist.jp/data/china/image_1915th/81038792.pdf","81038792")</f>
        <v>81038792</v>
      </c>
      <c r="F1485" s="9" t="s">
        <v>4111</v>
      </c>
      <c r="G1485" s="9" t="s">
        <v>4053</v>
      </c>
      <c r="H1485" s="12" t="s">
        <v>4112</v>
      </c>
      <c r="I1485" s="10">
        <v>45556</v>
      </c>
    </row>
    <row r="1486" spans="1:9" x14ac:dyDescent="0.15">
      <c r="A1486" s="9">
        <v>1485</v>
      </c>
      <c r="B1486" s="9" t="s">
        <v>9</v>
      </c>
      <c r="C1486" s="9">
        <v>1915</v>
      </c>
      <c r="D1486" s="10">
        <v>45639</v>
      </c>
      <c r="E1486" s="13" t="str">
        <f>+HYPERLINK("http://trademark.i-assist.jp/data/china/image_1915th/81039184.pdf","81039184")</f>
        <v>81039184</v>
      </c>
      <c r="F1486" s="9" t="s">
        <v>4113</v>
      </c>
      <c r="G1486" s="9" t="s">
        <v>4114</v>
      </c>
      <c r="H1486" s="9" t="s">
        <v>4115</v>
      </c>
      <c r="I1486" s="10">
        <v>45556</v>
      </c>
    </row>
    <row r="1487" spans="1:9" x14ac:dyDescent="0.15">
      <c r="A1487" s="9">
        <v>1486</v>
      </c>
      <c r="B1487" s="9" t="s">
        <v>9</v>
      </c>
      <c r="C1487" s="9">
        <v>1915</v>
      </c>
      <c r="D1487" s="10">
        <v>45639</v>
      </c>
      <c r="E1487" s="13" t="str">
        <f>+HYPERLINK("http://trademark.i-assist.jp/data/china/image_1915th/81039278.pdf","81039278")</f>
        <v>81039278</v>
      </c>
      <c r="F1487" s="12" t="s">
        <v>15</v>
      </c>
      <c r="G1487" s="9" t="s">
        <v>4116</v>
      </c>
      <c r="H1487" s="9" t="s">
        <v>4117</v>
      </c>
      <c r="I1487" s="10">
        <v>45556</v>
      </c>
    </row>
    <row r="1488" spans="1:9" x14ac:dyDescent="0.15">
      <c r="A1488" s="9">
        <v>1487</v>
      </c>
      <c r="B1488" s="9" t="s">
        <v>9</v>
      </c>
      <c r="C1488" s="9">
        <v>1915</v>
      </c>
      <c r="D1488" s="10">
        <v>45639</v>
      </c>
      <c r="E1488" s="13" t="str">
        <f>+HYPERLINK("http://trademark.i-assist.jp/data/china/image_1915th/81039674.pdf","81039674")</f>
        <v>81039674</v>
      </c>
      <c r="F1488" s="12" t="s">
        <v>4118</v>
      </c>
      <c r="G1488" s="12" t="s">
        <v>4119</v>
      </c>
      <c r="H1488" s="9" t="s">
        <v>4120</v>
      </c>
      <c r="I1488" s="10">
        <v>45557</v>
      </c>
    </row>
    <row r="1489" spans="1:9" x14ac:dyDescent="0.15">
      <c r="A1489" s="9">
        <v>1488</v>
      </c>
      <c r="B1489" s="9" t="s">
        <v>9</v>
      </c>
      <c r="C1489" s="9">
        <v>1915</v>
      </c>
      <c r="D1489" s="10">
        <v>45639</v>
      </c>
      <c r="E1489" s="13" t="str">
        <f>+HYPERLINK("http://trademark.i-assist.jp/data/china/image_1915th/81039739.pdf","81039739")</f>
        <v>81039739</v>
      </c>
      <c r="F1489" s="9" t="s">
        <v>4121</v>
      </c>
      <c r="G1489" s="9" t="s">
        <v>4122</v>
      </c>
      <c r="H1489" s="9" t="s">
        <v>4123</v>
      </c>
      <c r="I1489" s="10">
        <v>45557</v>
      </c>
    </row>
    <row r="1490" spans="1:9" x14ac:dyDescent="0.15">
      <c r="A1490" s="9">
        <v>1489</v>
      </c>
      <c r="B1490" s="9" t="s">
        <v>9</v>
      </c>
      <c r="C1490" s="9">
        <v>1915</v>
      </c>
      <c r="D1490" s="10">
        <v>45639</v>
      </c>
      <c r="E1490" s="13" t="str">
        <f>+HYPERLINK("http://trademark.i-assist.jp/data/china/image_1915th/81040055.pdf","81040055")</f>
        <v>81040055</v>
      </c>
      <c r="F1490" s="9" t="s">
        <v>4124</v>
      </c>
      <c r="G1490" s="9" t="s">
        <v>4125</v>
      </c>
      <c r="H1490" s="9" t="s">
        <v>4126</v>
      </c>
      <c r="I1490" s="10">
        <v>45557</v>
      </c>
    </row>
    <row r="1491" spans="1:9" x14ac:dyDescent="0.15">
      <c r="A1491" s="9">
        <v>1490</v>
      </c>
      <c r="B1491" s="9" t="s">
        <v>9</v>
      </c>
      <c r="C1491" s="9">
        <v>1915</v>
      </c>
      <c r="D1491" s="10">
        <v>45639</v>
      </c>
      <c r="E1491" s="13" t="str">
        <f>+HYPERLINK("http://trademark.i-assist.jp/data/china/image_1915th/81040176.pdf","81040176")</f>
        <v>81040176</v>
      </c>
      <c r="F1491" s="9" t="s">
        <v>4127</v>
      </c>
      <c r="G1491" s="9" t="s">
        <v>4127</v>
      </c>
      <c r="H1491" s="12" t="s">
        <v>4128</v>
      </c>
      <c r="I1491" s="10">
        <v>45557</v>
      </c>
    </row>
    <row r="1492" spans="1:9" x14ac:dyDescent="0.15">
      <c r="A1492" s="9">
        <v>1491</v>
      </c>
      <c r="B1492" s="9" t="s">
        <v>9</v>
      </c>
      <c r="C1492" s="9">
        <v>1915</v>
      </c>
      <c r="D1492" s="10">
        <v>45639</v>
      </c>
      <c r="E1492" s="13" t="str">
        <f>+HYPERLINK("http://trademark.i-assist.jp/data/china/image_1915th/81040185.pdf","81040185")</f>
        <v>81040185</v>
      </c>
      <c r="F1492" s="12" t="s">
        <v>4129</v>
      </c>
      <c r="G1492" s="12" t="s">
        <v>4119</v>
      </c>
      <c r="H1492" s="9" t="s">
        <v>4130</v>
      </c>
      <c r="I1492" s="10">
        <v>45557</v>
      </c>
    </row>
    <row r="1493" spans="1:9" x14ac:dyDescent="0.15">
      <c r="A1493" s="9">
        <v>1492</v>
      </c>
      <c r="B1493" s="9" t="s">
        <v>9</v>
      </c>
      <c r="C1493" s="9">
        <v>1915</v>
      </c>
      <c r="D1493" s="10">
        <v>45639</v>
      </c>
      <c r="E1493" s="13" t="str">
        <f>+HYPERLINK("http://trademark.i-assist.jp/data/china/image_1915th/81040784.pdf","81040784")</f>
        <v>81040784</v>
      </c>
      <c r="F1493" s="9" t="s">
        <v>4131</v>
      </c>
      <c r="G1493" s="9" t="s">
        <v>4132</v>
      </c>
      <c r="H1493" s="9" t="s">
        <v>4133</v>
      </c>
      <c r="I1493" s="10">
        <v>45557</v>
      </c>
    </row>
    <row r="1494" spans="1:9" x14ac:dyDescent="0.15">
      <c r="A1494" s="9">
        <v>1493</v>
      </c>
      <c r="B1494" s="9" t="s">
        <v>9</v>
      </c>
      <c r="C1494" s="9">
        <v>1915</v>
      </c>
      <c r="D1494" s="10">
        <v>45639</v>
      </c>
      <c r="E1494" s="13" t="str">
        <f>+HYPERLINK("http://trademark.i-assist.jp/data/china/image_1915th/81040822.pdf","81040822")</f>
        <v>81040822</v>
      </c>
      <c r="F1494" s="9" t="s">
        <v>4134</v>
      </c>
      <c r="G1494" s="12" t="s">
        <v>4119</v>
      </c>
      <c r="H1494" s="9" t="s">
        <v>4135</v>
      </c>
      <c r="I1494" s="10">
        <v>45557</v>
      </c>
    </row>
    <row r="1495" spans="1:9" x14ac:dyDescent="0.15">
      <c r="A1495" s="9">
        <v>1494</v>
      </c>
      <c r="B1495" s="9" t="s">
        <v>9</v>
      </c>
      <c r="C1495" s="9">
        <v>1915</v>
      </c>
      <c r="D1495" s="10">
        <v>45639</v>
      </c>
      <c r="E1495" s="13" t="str">
        <f>+HYPERLINK("http://trademark.i-assist.jp/data/china/image_1915th/81040899.pdf","81040899")</f>
        <v>81040899</v>
      </c>
      <c r="F1495" s="12" t="s">
        <v>4136</v>
      </c>
      <c r="G1495" s="9" t="s">
        <v>4137</v>
      </c>
      <c r="H1495" s="9" t="s">
        <v>4138</v>
      </c>
      <c r="I1495" s="10">
        <v>45557</v>
      </c>
    </row>
    <row r="1496" spans="1:9" x14ac:dyDescent="0.15">
      <c r="A1496" s="9">
        <v>1495</v>
      </c>
      <c r="B1496" s="9" t="s">
        <v>9</v>
      </c>
      <c r="C1496" s="9">
        <v>1915</v>
      </c>
      <c r="D1496" s="10">
        <v>45639</v>
      </c>
      <c r="E1496" s="13" t="str">
        <f>+HYPERLINK("http://trademark.i-assist.jp/data/china/image_1915th/81040946.pdf","81040946")</f>
        <v>81040946</v>
      </c>
      <c r="F1496" s="12" t="s">
        <v>4139</v>
      </c>
      <c r="G1496" s="9" t="s">
        <v>4140</v>
      </c>
      <c r="H1496" s="9" t="s">
        <v>4141</v>
      </c>
      <c r="I1496" s="10">
        <v>45557</v>
      </c>
    </row>
    <row r="1497" spans="1:9" x14ac:dyDescent="0.15">
      <c r="A1497" s="9">
        <v>1496</v>
      </c>
      <c r="B1497" s="9" t="s">
        <v>9</v>
      </c>
      <c r="C1497" s="9">
        <v>1915</v>
      </c>
      <c r="D1497" s="10">
        <v>45639</v>
      </c>
      <c r="E1497" s="13" t="str">
        <f>+HYPERLINK("http://trademark.i-assist.jp/data/china/image_1915th/81041148.pdf","81041148")</f>
        <v>81041148</v>
      </c>
      <c r="F1497" s="9" t="s">
        <v>4142</v>
      </c>
      <c r="G1497" s="9" t="s">
        <v>4143</v>
      </c>
      <c r="H1497" s="9" t="s">
        <v>4144</v>
      </c>
      <c r="I1497" s="10">
        <v>45557</v>
      </c>
    </row>
    <row r="1498" spans="1:9" x14ac:dyDescent="0.15">
      <c r="A1498" s="9">
        <v>1497</v>
      </c>
      <c r="B1498" s="9" t="s">
        <v>9</v>
      </c>
      <c r="C1498" s="9">
        <v>1915</v>
      </c>
      <c r="D1498" s="10">
        <v>45639</v>
      </c>
      <c r="E1498" s="13" t="str">
        <f>+HYPERLINK("http://trademark.i-assist.jp/data/china/image_1915th/81041154.pdf","81041154")</f>
        <v>81041154</v>
      </c>
      <c r="F1498" s="12" t="s">
        <v>4145</v>
      </c>
      <c r="G1498" s="9" t="s">
        <v>4146</v>
      </c>
      <c r="H1498" s="9" t="s">
        <v>4147</v>
      </c>
      <c r="I1498" s="10">
        <v>45557</v>
      </c>
    </row>
    <row r="1499" spans="1:9" x14ac:dyDescent="0.15">
      <c r="A1499" s="9">
        <v>1498</v>
      </c>
      <c r="B1499" s="9" t="s">
        <v>9</v>
      </c>
      <c r="C1499" s="9">
        <v>1915</v>
      </c>
      <c r="D1499" s="10">
        <v>45639</v>
      </c>
      <c r="E1499" s="13" t="str">
        <f>+HYPERLINK("http://trademark.i-assist.jp/data/china/image_1915th/81041270.pdf","81041270")</f>
        <v>81041270</v>
      </c>
      <c r="F1499" s="12" t="s">
        <v>4148</v>
      </c>
      <c r="G1499" s="9" t="s">
        <v>4149</v>
      </c>
      <c r="H1499" s="12" t="s">
        <v>4150</v>
      </c>
      <c r="I1499" s="10">
        <v>45557</v>
      </c>
    </row>
    <row r="1500" spans="1:9" x14ac:dyDescent="0.15">
      <c r="A1500" s="9">
        <v>1499</v>
      </c>
      <c r="B1500" s="9" t="s">
        <v>9</v>
      </c>
      <c r="C1500" s="9">
        <v>1915</v>
      </c>
      <c r="D1500" s="10">
        <v>45639</v>
      </c>
      <c r="E1500" s="13" t="str">
        <f>+HYPERLINK("http://trademark.i-assist.jp/data/china/image_1915th/81041504.pdf","81041504")</f>
        <v>81041504</v>
      </c>
      <c r="F1500" s="9" t="s">
        <v>4151</v>
      </c>
      <c r="G1500" s="9" t="s">
        <v>4152</v>
      </c>
      <c r="H1500" s="9" t="s">
        <v>4153</v>
      </c>
      <c r="I1500" s="10">
        <v>45557</v>
      </c>
    </row>
    <row r="1501" spans="1:9" x14ac:dyDescent="0.15">
      <c r="A1501" s="9">
        <v>1500</v>
      </c>
      <c r="B1501" s="9" t="s">
        <v>9</v>
      </c>
      <c r="C1501" s="9">
        <v>1915</v>
      </c>
      <c r="D1501" s="10">
        <v>45639</v>
      </c>
      <c r="E1501" s="13" t="str">
        <f>+HYPERLINK("http://trademark.i-assist.jp/data/china/image_1915th/81042224.pdf","81042224")</f>
        <v>81042224</v>
      </c>
      <c r="F1501" s="9" t="s">
        <v>4154</v>
      </c>
      <c r="G1501" s="12" t="s">
        <v>4119</v>
      </c>
      <c r="H1501" s="9" t="s">
        <v>4155</v>
      </c>
      <c r="I1501" s="10">
        <v>45557</v>
      </c>
    </row>
    <row r="1502" spans="1:9" x14ac:dyDescent="0.15">
      <c r="A1502" s="9">
        <v>1501</v>
      </c>
      <c r="B1502" s="9" t="s">
        <v>9</v>
      </c>
      <c r="C1502" s="9">
        <v>1915</v>
      </c>
      <c r="D1502" s="10">
        <v>45639</v>
      </c>
      <c r="E1502" s="13" t="str">
        <f>+HYPERLINK("http://trademark.i-assist.jp/data/china/image_1915th/81042225.pdf","81042225")</f>
        <v>81042225</v>
      </c>
      <c r="F1502" s="12" t="s">
        <v>4156</v>
      </c>
      <c r="G1502" s="12" t="s">
        <v>4119</v>
      </c>
      <c r="H1502" s="9" t="s">
        <v>4157</v>
      </c>
      <c r="I1502" s="10">
        <v>45557</v>
      </c>
    </row>
    <row r="1503" spans="1:9" x14ac:dyDescent="0.15">
      <c r="A1503" s="9">
        <v>1502</v>
      </c>
      <c r="B1503" s="9" t="s">
        <v>9</v>
      </c>
      <c r="C1503" s="9">
        <v>1915</v>
      </c>
      <c r="D1503" s="10">
        <v>45639</v>
      </c>
      <c r="E1503" s="13" t="str">
        <f>+HYPERLINK("http://trademark.i-assist.jp/data/china/image_1915th/81042226.pdf","81042226")</f>
        <v>81042226</v>
      </c>
      <c r="F1503" s="12" t="s">
        <v>4158</v>
      </c>
      <c r="G1503" s="12" t="s">
        <v>4119</v>
      </c>
      <c r="H1503" s="9" t="s">
        <v>4159</v>
      </c>
      <c r="I1503" s="10">
        <v>45557</v>
      </c>
    </row>
    <row r="1504" spans="1:9" x14ac:dyDescent="0.15">
      <c r="A1504" s="9">
        <v>1503</v>
      </c>
      <c r="B1504" s="9" t="s">
        <v>9</v>
      </c>
      <c r="C1504" s="9">
        <v>1915</v>
      </c>
      <c r="D1504" s="10">
        <v>45639</v>
      </c>
      <c r="E1504" s="13" t="str">
        <f>+HYPERLINK("http://trademark.i-assist.jp/data/china/image_1915th/81042408.pdf","81042408")</f>
        <v>81042408</v>
      </c>
      <c r="F1504" s="12" t="s">
        <v>4160</v>
      </c>
      <c r="G1504" s="9" t="s">
        <v>4161</v>
      </c>
      <c r="H1504" s="9" t="s">
        <v>4162</v>
      </c>
      <c r="I1504" s="10">
        <v>45557</v>
      </c>
    </row>
    <row r="1505" spans="1:9" x14ac:dyDescent="0.15">
      <c r="A1505" s="9">
        <v>1504</v>
      </c>
      <c r="B1505" s="9" t="s">
        <v>9</v>
      </c>
      <c r="C1505" s="9">
        <v>1915</v>
      </c>
      <c r="D1505" s="10">
        <v>45639</v>
      </c>
      <c r="E1505" s="13" t="str">
        <f>+HYPERLINK("http://trademark.i-assist.jp/data/china/image_1915th/81042878.pdf","81042878")</f>
        <v>81042878</v>
      </c>
      <c r="F1505" s="9" t="s">
        <v>4163</v>
      </c>
      <c r="G1505" s="9" t="s">
        <v>4164</v>
      </c>
      <c r="H1505" s="9" t="s">
        <v>4165</v>
      </c>
      <c r="I1505" s="10">
        <v>45558</v>
      </c>
    </row>
    <row r="1506" spans="1:9" x14ac:dyDescent="0.15">
      <c r="A1506" s="9">
        <v>1505</v>
      </c>
      <c r="B1506" s="9" t="s">
        <v>9</v>
      </c>
      <c r="C1506" s="9">
        <v>1915</v>
      </c>
      <c r="D1506" s="10">
        <v>45639</v>
      </c>
      <c r="E1506" s="13" t="str">
        <f>+HYPERLINK("http://trademark.i-assist.jp/data/china/image_1915th/81042992.pdf","81042992")</f>
        <v>81042992</v>
      </c>
      <c r="F1506" s="9" t="s">
        <v>4166</v>
      </c>
      <c r="G1506" s="12" t="s">
        <v>4167</v>
      </c>
      <c r="H1506" s="9" t="s">
        <v>4168</v>
      </c>
      <c r="I1506" s="10">
        <v>45558</v>
      </c>
    </row>
    <row r="1507" spans="1:9" x14ac:dyDescent="0.15">
      <c r="A1507" s="9">
        <v>1506</v>
      </c>
      <c r="B1507" s="9" t="s">
        <v>9</v>
      </c>
      <c r="C1507" s="9">
        <v>1915</v>
      </c>
      <c r="D1507" s="10">
        <v>45639</v>
      </c>
      <c r="E1507" s="13" t="str">
        <f>+HYPERLINK("http://trademark.i-assist.jp/data/china/image_1915th/81043015.pdf","81043015")</f>
        <v>81043015</v>
      </c>
      <c r="F1507" s="9" t="s">
        <v>4169</v>
      </c>
      <c r="G1507" s="9" t="s">
        <v>4170</v>
      </c>
      <c r="H1507" s="9" t="s">
        <v>4171</v>
      </c>
      <c r="I1507" s="10">
        <v>45558</v>
      </c>
    </row>
    <row r="1508" spans="1:9" x14ac:dyDescent="0.15">
      <c r="A1508" s="9">
        <v>1507</v>
      </c>
      <c r="B1508" s="9" t="s">
        <v>9</v>
      </c>
      <c r="C1508" s="9">
        <v>1915</v>
      </c>
      <c r="D1508" s="10">
        <v>45639</v>
      </c>
      <c r="E1508" s="13" t="str">
        <f>+HYPERLINK("http://trademark.i-assist.jp/data/china/image_1915th/81043070.pdf","81043070")</f>
        <v>81043070</v>
      </c>
      <c r="F1508" s="9" t="s">
        <v>4172</v>
      </c>
      <c r="G1508" s="9" t="s">
        <v>4173</v>
      </c>
      <c r="H1508" s="9" t="s">
        <v>4174</v>
      </c>
      <c r="I1508" s="10">
        <v>45558</v>
      </c>
    </row>
    <row r="1509" spans="1:9" x14ac:dyDescent="0.15">
      <c r="A1509" s="9">
        <v>1508</v>
      </c>
      <c r="B1509" s="9" t="s">
        <v>9</v>
      </c>
      <c r="C1509" s="9">
        <v>1915</v>
      </c>
      <c r="D1509" s="10">
        <v>45639</v>
      </c>
      <c r="E1509" s="13" t="str">
        <f>+HYPERLINK("http://trademark.i-assist.jp/data/china/image_1915th/81043073.pdf","81043073")</f>
        <v>81043073</v>
      </c>
      <c r="F1509" s="12" t="s">
        <v>4175</v>
      </c>
      <c r="G1509" s="9" t="s">
        <v>4176</v>
      </c>
      <c r="H1509" s="9" t="s">
        <v>4177</v>
      </c>
      <c r="I1509" s="10">
        <v>45558</v>
      </c>
    </row>
    <row r="1510" spans="1:9" x14ac:dyDescent="0.15">
      <c r="A1510" s="9">
        <v>1509</v>
      </c>
      <c r="B1510" s="9" t="s">
        <v>9</v>
      </c>
      <c r="C1510" s="9">
        <v>1915</v>
      </c>
      <c r="D1510" s="10">
        <v>45639</v>
      </c>
      <c r="E1510" s="13" t="str">
        <f>+HYPERLINK("http://trademark.i-assist.jp/data/china/image_1915th/81043435.pdf","81043435")</f>
        <v>81043435</v>
      </c>
      <c r="F1510" s="11" t="s">
        <v>4178</v>
      </c>
      <c r="G1510" s="9" t="s">
        <v>4179</v>
      </c>
      <c r="H1510" s="9" t="s">
        <v>4180</v>
      </c>
      <c r="I1510" s="10">
        <v>45558</v>
      </c>
    </row>
    <row r="1511" spans="1:9" x14ac:dyDescent="0.15">
      <c r="A1511" s="9">
        <v>1510</v>
      </c>
      <c r="B1511" s="9" t="s">
        <v>9</v>
      </c>
      <c r="C1511" s="9">
        <v>1915</v>
      </c>
      <c r="D1511" s="10">
        <v>45639</v>
      </c>
      <c r="E1511" s="13" t="str">
        <f>+HYPERLINK("http://trademark.i-assist.jp/data/china/image_1915th/81043771.pdf","81043771")</f>
        <v>81043771</v>
      </c>
      <c r="F1511" s="9" t="s">
        <v>4181</v>
      </c>
      <c r="G1511" s="9" t="s">
        <v>4182</v>
      </c>
      <c r="H1511" s="12" t="s">
        <v>4183</v>
      </c>
      <c r="I1511" s="10">
        <v>45558</v>
      </c>
    </row>
    <row r="1512" spans="1:9" x14ac:dyDescent="0.15">
      <c r="A1512" s="9">
        <v>1511</v>
      </c>
      <c r="B1512" s="9" t="s">
        <v>9</v>
      </c>
      <c r="C1512" s="9">
        <v>1915</v>
      </c>
      <c r="D1512" s="10">
        <v>45639</v>
      </c>
      <c r="E1512" s="13" t="str">
        <f>+HYPERLINK("http://trademark.i-assist.jp/data/china/image_1915th/81043831.pdf","81043831")</f>
        <v>81043831</v>
      </c>
      <c r="F1512" s="9" t="s">
        <v>4184</v>
      </c>
      <c r="G1512" s="9" t="s">
        <v>4185</v>
      </c>
      <c r="H1512" s="12" t="s">
        <v>4186</v>
      </c>
      <c r="I1512" s="10">
        <v>45558</v>
      </c>
    </row>
    <row r="1513" spans="1:9" x14ac:dyDescent="0.15">
      <c r="A1513" s="9">
        <v>1512</v>
      </c>
      <c r="B1513" s="9" t="s">
        <v>9</v>
      </c>
      <c r="C1513" s="9">
        <v>1915</v>
      </c>
      <c r="D1513" s="10">
        <v>45639</v>
      </c>
      <c r="E1513" s="13" t="str">
        <f>+HYPERLINK("http://trademark.i-assist.jp/data/china/image_1915th/81044156.pdf","81044156")</f>
        <v>81044156</v>
      </c>
      <c r="F1513" s="9" t="s">
        <v>4187</v>
      </c>
      <c r="G1513" s="9" t="s">
        <v>4188</v>
      </c>
      <c r="H1513" s="9" t="s">
        <v>4189</v>
      </c>
      <c r="I1513" s="10">
        <v>45558</v>
      </c>
    </row>
    <row r="1514" spans="1:9" x14ac:dyDescent="0.15">
      <c r="A1514" s="9">
        <v>1513</v>
      </c>
      <c r="B1514" s="9" t="s">
        <v>9</v>
      </c>
      <c r="C1514" s="9">
        <v>1915</v>
      </c>
      <c r="D1514" s="10">
        <v>45639</v>
      </c>
      <c r="E1514" s="13" t="str">
        <f>+HYPERLINK("http://trademark.i-assist.jp/data/china/image_1915th/81044192.pdf","81044192")</f>
        <v>81044192</v>
      </c>
      <c r="F1514" s="9" t="s">
        <v>4190</v>
      </c>
      <c r="G1514" s="9" t="s">
        <v>4191</v>
      </c>
      <c r="H1514" s="9" t="s">
        <v>4192</v>
      </c>
      <c r="I1514" s="10">
        <v>45558</v>
      </c>
    </row>
    <row r="1515" spans="1:9" x14ac:dyDescent="0.15">
      <c r="A1515" s="9">
        <v>1514</v>
      </c>
      <c r="B1515" s="9" t="s">
        <v>9</v>
      </c>
      <c r="C1515" s="9">
        <v>1915</v>
      </c>
      <c r="D1515" s="10">
        <v>45639</v>
      </c>
      <c r="E1515" s="13" t="str">
        <f>+HYPERLINK("http://trademark.i-assist.jp/data/china/image_1915th/81044570.pdf","81044570")</f>
        <v>81044570</v>
      </c>
      <c r="F1515" s="9" t="s">
        <v>4193</v>
      </c>
      <c r="G1515" s="9" t="s">
        <v>4194</v>
      </c>
      <c r="H1515" s="9" t="s">
        <v>4195</v>
      </c>
      <c r="I1515" s="10">
        <v>45558</v>
      </c>
    </row>
    <row r="1516" spans="1:9" x14ac:dyDescent="0.15">
      <c r="A1516" s="9">
        <v>1515</v>
      </c>
      <c r="B1516" s="9" t="s">
        <v>9</v>
      </c>
      <c r="C1516" s="9">
        <v>1915</v>
      </c>
      <c r="D1516" s="10">
        <v>45639</v>
      </c>
      <c r="E1516" s="13" t="str">
        <f>+HYPERLINK("http://trademark.i-assist.jp/data/china/image_1915th/81044624.pdf","81044624")</f>
        <v>81044624</v>
      </c>
      <c r="F1516" s="9" t="s">
        <v>4196</v>
      </c>
      <c r="G1516" s="12" t="s">
        <v>4197</v>
      </c>
      <c r="H1516" s="9" t="s">
        <v>4198</v>
      </c>
      <c r="I1516" s="10">
        <v>45558</v>
      </c>
    </row>
    <row r="1517" spans="1:9" x14ac:dyDescent="0.15">
      <c r="A1517" s="9">
        <v>1516</v>
      </c>
      <c r="B1517" s="9" t="s">
        <v>9</v>
      </c>
      <c r="C1517" s="9">
        <v>1915</v>
      </c>
      <c r="D1517" s="10">
        <v>45639</v>
      </c>
      <c r="E1517" s="13" t="str">
        <f>+HYPERLINK("http://trademark.i-assist.jp/data/china/image_1915th/81044674.pdf","81044674")</f>
        <v>81044674</v>
      </c>
      <c r="F1517" s="9" t="s">
        <v>4199</v>
      </c>
      <c r="G1517" s="9" t="s">
        <v>4200</v>
      </c>
      <c r="H1517" s="9" t="s">
        <v>4201</v>
      </c>
      <c r="I1517" s="10">
        <v>45558</v>
      </c>
    </row>
    <row r="1518" spans="1:9" x14ac:dyDescent="0.15">
      <c r="A1518" s="9">
        <v>1517</v>
      </c>
      <c r="B1518" s="9" t="s">
        <v>9</v>
      </c>
      <c r="C1518" s="9">
        <v>1915</v>
      </c>
      <c r="D1518" s="10">
        <v>45639</v>
      </c>
      <c r="E1518" s="13" t="str">
        <f>+HYPERLINK("http://trademark.i-assist.jp/data/china/image_1915th/81044798.pdf","81044798")</f>
        <v>81044798</v>
      </c>
      <c r="F1518" s="9" t="s">
        <v>4202</v>
      </c>
      <c r="G1518" s="9" t="s">
        <v>4203</v>
      </c>
      <c r="H1518" s="9" t="s">
        <v>4204</v>
      </c>
      <c r="I1518" s="10">
        <v>45558</v>
      </c>
    </row>
    <row r="1519" spans="1:9" x14ac:dyDescent="0.15">
      <c r="A1519" s="9">
        <v>1518</v>
      </c>
      <c r="B1519" s="9" t="s">
        <v>9</v>
      </c>
      <c r="C1519" s="9">
        <v>1915</v>
      </c>
      <c r="D1519" s="10">
        <v>45639</v>
      </c>
      <c r="E1519" s="13" t="str">
        <f>+HYPERLINK("http://trademark.i-assist.jp/data/china/image_1915th/81044808.pdf","81044808")</f>
        <v>81044808</v>
      </c>
      <c r="F1519" s="9" t="s">
        <v>4205</v>
      </c>
      <c r="G1519" s="9" t="s">
        <v>4206</v>
      </c>
      <c r="H1519" s="9" t="s">
        <v>4207</v>
      </c>
      <c r="I1519" s="10">
        <v>45558</v>
      </c>
    </row>
    <row r="1520" spans="1:9" x14ac:dyDescent="0.15">
      <c r="A1520" s="9">
        <v>1519</v>
      </c>
      <c r="B1520" s="9" t="s">
        <v>9</v>
      </c>
      <c r="C1520" s="9">
        <v>1915</v>
      </c>
      <c r="D1520" s="10">
        <v>45639</v>
      </c>
      <c r="E1520" s="13" t="str">
        <f>+HYPERLINK("http://trademark.i-assist.jp/data/china/image_1915th/81044826.pdf","81044826")</f>
        <v>81044826</v>
      </c>
      <c r="F1520" s="9" t="s">
        <v>4208</v>
      </c>
      <c r="G1520" s="9" t="s">
        <v>4209</v>
      </c>
      <c r="H1520" s="9" t="s">
        <v>4210</v>
      </c>
      <c r="I1520" s="10">
        <v>45558</v>
      </c>
    </row>
    <row r="1521" spans="1:9" x14ac:dyDescent="0.15">
      <c r="A1521" s="9">
        <v>1520</v>
      </c>
      <c r="B1521" s="9" t="s">
        <v>9</v>
      </c>
      <c r="C1521" s="9">
        <v>1915</v>
      </c>
      <c r="D1521" s="10">
        <v>45639</v>
      </c>
      <c r="E1521" s="13" t="str">
        <f>+HYPERLINK("http://trademark.i-assist.jp/data/china/image_1915th/81044910.pdf","81044910")</f>
        <v>81044910</v>
      </c>
      <c r="F1521" s="12" t="s">
        <v>15</v>
      </c>
      <c r="G1521" s="9" t="s">
        <v>4211</v>
      </c>
      <c r="H1521" s="12" t="s">
        <v>4212</v>
      </c>
      <c r="I1521" s="10">
        <v>45558</v>
      </c>
    </row>
    <row r="1522" spans="1:9" x14ac:dyDescent="0.15">
      <c r="A1522" s="9">
        <v>1521</v>
      </c>
      <c r="B1522" s="9" t="s">
        <v>9</v>
      </c>
      <c r="C1522" s="9">
        <v>1915</v>
      </c>
      <c r="D1522" s="10">
        <v>45639</v>
      </c>
      <c r="E1522" s="13" t="str">
        <f>+HYPERLINK("http://trademark.i-assist.jp/data/china/image_1915th/81045000.pdf","81045000")</f>
        <v>81045000</v>
      </c>
      <c r="F1522" s="9" t="s">
        <v>4213</v>
      </c>
      <c r="G1522" s="12" t="s">
        <v>4214</v>
      </c>
      <c r="H1522" s="12" t="s">
        <v>4215</v>
      </c>
      <c r="I1522" s="10">
        <v>45558</v>
      </c>
    </row>
    <row r="1523" spans="1:9" x14ac:dyDescent="0.15">
      <c r="A1523" s="9">
        <v>1522</v>
      </c>
      <c r="B1523" s="9" t="s">
        <v>9</v>
      </c>
      <c r="C1523" s="9">
        <v>1915</v>
      </c>
      <c r="D1523" s="10">
        <v>45639</v>
      </c>
      <c r="E1523" s="13" t="str">
        <f>+HYPERLINK("http://trademark.i-assist.jp/data/china/image_1915th/81045062.pdf","81045062")</f>
        <v>81045062</v>
      </c>
      <c r="F1523" s="9" t="s">
        <v>4216</v>
      </c>
      <c r="G1523" s="9" t="s">
        <v>4217</v>
      </c>
      <c r="H1523" s="9" t="s">
        <v>4218</v>
      </c>
      <c r="I1523" s="10">
        <v>45558</v>
      </c>
    </row>
    <row r="1524" spans="1:9" x14ac:dyDescent="0.15">
      <c r="A1524" s="9">
        <v>1523</v>
      </c>
      <c r="B1524" s="9" t="s">
        <v>9</v>
      </c>
      <c r="C1524" s="9">
        <v>1915</v>
      </c>
      <c r="D1524" s="10">
        <v>45639</v>
      </c>
      <c r="E1524" s="13" t="str">
        <f>+HYPERLINK("http://trademark.i-assist.jp/data/china/image_1915th/81045074.pdf","81045074")</f>
        <v>81045074</v>
      </c>
      <c r="F1524" s="9" t="s">
        <v>4219</v>
      </c>
      <c r="G1524" s="9" t="s">
        <v>4220</v>
      </c>
      <c r="H1524" s="9" t="s">
        <v>4221</v>
      </c>
      <c r="I1524" s="10">
        <v>45558</v>
      </c>
    </row>
    <row r="1525" spans="1:9" x14ac:dyDescent="0.15">
      <c r="A1525" s="9">
        <v>1524</v>
      </c>
      <c r="B1525" s="9" t="s">
        <v>9</v>
      </c>
      <c r="C1525" s="9">
        <v>1915</v>
      </c>
      <c r="D1525" s="10">
        <v>45639</v>
      </c>
      <c r="E1525" s="13" t="str">
        <f>+HYPERLINK("http://trademark.i-assist.jp/data/china/image_1915th/81045128.pdf","81045128")</f>
        <v>81045128</v>
      </c>
      <c r="F1525" s="9" t="s">
        <v>4222</v>
      </c>
      <c r="G1525" s="9" t="s">
        <v>4223</v>
      </c>
      <c r="H1525" s="9" t="s">
        <v>4224</v>
      </c>
      <c r="I1525" s="10">
        <v>45558</v>
      </c>
    </row>
    <row r="1526" spans="1:9" x14ac:dyDescent="0.15">
      <c r="A1526" s="9">
        <v>1525</v>
      </c>
      <c r="B1526" s="9" t="s">
        <v>9</v>
      </c>
      <c r="C1526" s="9">
        <v>1915</v>
      </c>
      <c r="D1526" s="10">
        <v>45639</v>
      </c>
      <c r="E1526" s="13" t="str">
        <f>+HYPERLINK("http://trademark.i-assist.jp/data/china/image_1915th/81045588.pdf","81045588")</f>
        <v>81045588</v>
      </c>
      <c r="F1526" s="9" t="s">
        <v>4225</v>
      </c>
      <c r="G1526" s="9" t="s">
        <v>4226</v>
      </c>
      <c r="H1526" s="9" t="s">
        <v>4227</v>
      </c>
      <c r="I1526" s="10">
        <v>45558</v>
      </c>
    </row>
    <row r="1527" spans="1:9" x14ac:dyDescent="0.15">
      <c r="A1527" s="9">
        <v>1526</v>
      </c>
      <c r="B1527" s="9" t="s">
        <v>9</v>
      </c>
      <c r="C1527" s="9">
        <v>1915</v>
      </c>
      <c r="D1527" s="10">
        <v>45639</v>
      </c>
      <c r="E1527" s="13" t="str">
        <f>+HYPERLINK("http://trademark.i-assist.jp/data/china/image_1915th/81045693.pdf","81045693")</f>
        <v>81045693</v>
      </c>
      <c r="F1527" s="12" t="s">
        <v>4228</v>
      </c>
      <c r="G1527" s="9" t="s">
        <v>3469</v>
      </c>
      <c r="H1527" s="9" t="s">
        <v>4229</v>
      </c>
      <c r="I1527" s="10">
        <v>45558</v>
      </c>
    </row>
    <row r="1528" spans="1:9" x14ac:dyDescent="0.15">
      <c r="A1528" s="9">
        <v>1527</v>
      </c>
      <c r="B1528" s="9" t="s">
        <v>9</v>
      </c>
      <c r="C1528" s="9">
        <v>1915</v>
      </c>
      <c r="D1528" s="10">
        <v>45639</v>
      </c>
      <c r="E1528" s="13" t="str">
        <f>+HYPERLINK("http://trademark.i-assist.jp/data/china/image_1915th/81046042.pdf","81046042")</f>
        <v>81046042</v>
      </c>
      <c r="F1528" s="9" t="s">
        <v>4230</v>
      </c>
      <c r="G1528" s="9" t="s">
        <v>4231</v>
      </c>
      <c r="H1528" s="9" t="s">
        <v>4232</v>
      </c>
      <c r="I1528" s="10">
        <v>45558</v>
      </c>
    </row>
    <row r="1529" spans="1:9" x14ac:dyDescent="0.15">
      <c r="A1529" s="9">
        <v>1528</v>
      </c>
      <c r="B1529" s="9" t="s">
        <v>9</v>
      </c>
      <c r="C1529" s="9">
        <v>1915</v>
      </c>
      <c r="D1529" s="10">
        <v>45639</v>
      </c>
      <c r="E1529" s="13" t="str">
        <f>+HYPERLINK("http://trademark.i-assist.jp/data/china/image_1915th/81046118.pdf","81046118")</f>
        <v>81046118</v>
      </c>
      <c r="F1529" s="11" t="s">
        <v>4233</v>
      </c>
      <c r="G1529" s="9" t="s">
        <v>4234</v>
      </c>
      <c r="H1529" s="9" t="s">
        <v>4235</v>
      </c>
      <c r="I1529" s="10">
        <v>45558</v>
      </c>
    </row>
    <row r="1530" spans="1:9" x14ac:dyDescent="0.15">
      <c r="A1530" s="9">
        <v>1529</v>
      </c>
      <c r="B1530" s="9" t="s">
        <v>9</v>
      </c>
      <c r="C1530" s="9">
        <v>1915</v>
      </c>
      <c r="D1530" s="10">
        <v>45639</v>
      </c>
      <c r="E1530" s="13" t="str">
        <f>+HYPERLINK("http://trademark.i-assist.jp/data/china/image_1915th/81046310.pdf","81046310")</f>
        <v>81046310</v>
      </c>
      <c r="F1530" s="9" t="s">
        <v>4236</v>
      </c>
      <c r="G1530" s="9" t="s">
        <v>4237</v>
      </c>
      <c r="H1530" s="9" t="s">
        <v>4238</v>
      </c>
      <c r="I1530" s="10">
        <v>45558</v>
      </c>
    </row>
    <row r="1531" spans="1:9" x14ac:dyDescent="0.15">
      <c r="A1531" s="9">
        <v>1530</v>
      </c>
      <c r="B1531" s="9" t="s">
        <v>9</v>
      </c>
      <c r="C1531" s="9">
        <v>1915</v>
      </c>
      <c r="D1531" s="10">
        <v>45639</v>
      </c>
      <c r="E1531" s="13" t="str">
        <f>+HYPERLINK("http://trademark.i-assist.jp/data/china/image_1915th/81046377.pdf","81046377")</f>
        <v>81046377</v>
      </c>
      <c r="F1531" s="9" t="s">
        <v>4239</v>
      </c>
      <c r="G1531" s="9" t="s">
        <v>4240</v>
      </c>
      <c r="H1531" s="9" t="s">
        <v>4241</v>
      </c>
      <c r="I1531" s="10">
        <v>45558</v>
      </c>
    </row>
    <row r="1532" spans="1:9" x14ac:dyDescent="0.15">
      <c r="A1532" s="9">
        <v>1531</v>
      </c>
      <c r="B1532" s="9" t="s">
        <v>9</v>
      </c>
      <c r="C1532" s="9">
        <v>1915</v>
      </c>
      <c r="D1532" s="10">
        <v>45639</v>
      </c>
      <c r="E1532" s="13" t="str">
        <f>+HYPERLINK("http://trademark.i-assist.jp/data/china/image_1915th/81046521.pdf","81046521")</f>
        <v>81046521</v>
      </c>
      <c r="F1532" s="9" t="s">
        <v>4242</v>
      </c>
      <c r="G1532" s="12" t="s">
        <v>4243</v>
      </c>
      <c r="H1532" s="9" t="s">
        <v>4244</v>
      </c>
      <c r="I1532" s="10">
        <v>45558</v>
      </c>
    </row>
    <row r="1533" spans="1:9" x14ac:dyDescent="0.15">
      <c r="A1533" s="9">
        <v>1532</v>
      </c>
      <c r="B1533" s="9" t="s">
        <v>9</v>
      </c>
      <c r="C1533" s="9">
        <v>1915</v>
      </c>
      <c r="D1533" s="10">
        <v>45639</v>
      </c>
      <c r="E1533" s="13" t="str">
        <f>+HYPERLINK("http://trademark.i-assist.jp/data/china/image_1915th/81046789.pdf","81046789")</f>
        <v>81046789</v>
      </c>
      <c r="F1533" s="9" t="s">
        <v>4245</v>
      </c>
      <c r="G1533" s="9" t="s">
        <v>833</v>
      </c>
      <c r="H1533" s="9" t="s">
        <v>4246</v>
      </c>
      <c r="I1533" s="10">
        <v>45558</v>
      </c>
    </row>
    <row r="1534" spans="1:9" x14ac:dyDescent="0.15">
      <c r="A1534" s="9">
        <v>1533</v>
      </c>
      <c r="B1534" s="9" t="s">
        <v>9</v>
      </c>
      <c r="C1534" s="9">
        <v>1915</v>
      </c>
      <c r="D1534" s="10">
        <v>45639</v>
      </c>
      <c r="E1534" s="13" t="str">
        <f>+HYPERLINK("http://trademark.i-assist.jp/data/china/image_1915th/81047229.pdf","81047229")</f>
        <v>81047229</v>
      </c>
      <c r="F1534" s="12" t="s">
        <v>4247</v>
      </c>
      <c r="G1534" s="9" t="s">
        <v>4248</v>
      </c>
      <c r="H1534" s="9" t="s">
        <v>4249</v>
      </c>
      <c r="I1534" s="10">
        <v>45558</v>
      </c>
    </row>
    <row r="1535" spans="1:9" x14ac:dyDescent="0.15">
      <c r="A1535" s="9">
        <v>1534</v>
      </c>
      <c r="B1535" s="9" t="s">
        <v>9</v>
      </c>
      <c r="C1535" s="9">
        <v>1915</v>
      </c>
      <c r="D1535" s="10">
        <v>45639</v>
      </c>
      <c r="E1535" s="13" t="str">
        <f>+HYPERLINK("http://trademark.i-assist.jp/data/china/image_1915th/81047576.pdf","81047576")</f>
        <v>81047576</v>
      </c>
      <c r="F1535" s="9" t="s">
        <v>4250</v>
      </c>
      <c r="G1535" s="9" t="s">
        <v>4173</v>
      </c>
      <c r="H1535" s="9" t="s">
        <v>4251</v>
      </c>
      <c r="I1535" s="10">
        <v>45558</v>
      </c>
    </row>
    <row r="1536" spans="1:9" x14ac:dyDescent="0.15">
      <c r="A1536" s="9">
        <v>1535</v>
      </c>
      <c r="B1536" s="9" t="s">
        <v>9</v>
      </c>
      <c r="C1536" s="9">
        <v>1915</v>
      </c>
      <c r="D1536" s="10">
        <v>45639</v>
      </c>
      <c r="E1536" s="13" t="str">
        <f>+HYPERLINK("http://trademark.i-assist.jp/data/china/image_1915th/81047614.pdf","81047614")</f>
        <v>81047614</v>
      </c>
      <c r="F1536" s="9" t="s">
        <v>4252</v>
      </c>
      <c r="G1536" s="9" t="s">
        <v>4253</v>
      </c>
      <c r="H1536" s="9" t="s">
        <v>4254</v>
      </c>
      <c r="I1536" s="10">
        <v>45558</v>
      </c>
    </row>
    <row r="1537" spans="1:9" x14ac:dyDescent="0.15">
      <c r="A1537" s="9">
        <v>1536</v>
      </c>
      <c r="B1537" s="9" t="s">
        <v>9</v>
      </c>
      <c r="C1537" s="9">
        <v>1915</v>
      </c>
      <c r="D1537" s="10">
        <v>45639</v>
      </c>
      <c r="E1537" s="13" t="str">
        <f>+HYPERLINK("http://trademark.i-assist.jp/data/china/image_1915th/81047995.pdf","81047995")</f>
        <v>81047995</v>
      </c>
      <c r="F1537" s="9" t="s">
        <v>4255</v>
      </c>
      <c r="G1537" s="9" t="s">
        <v>4256</v>
      </c>
      <c r="H1537" s="9" t="s">
        <v>4257</v>
      </c>
      <c r="I1537" s="10">
        <v>45558</v>
      </c>
    </row>
    <row r="1538" spans="1:9" x14ac:dyDescent="0.15">
      <c r="A1538" s="9">
        <v>1537</v>
      </c>
      <c r="B1538" s="9" t="s">
        <v>9</v>
      </c>
      <c r="C1538" s="9">
        <v>1915</v>
      </c>
      <c r="D1538" s="10">
        <v>45639</v>
      </c>
      <c r="E1538" s="13" t="str">
        <f>+HYPERLINK("http://trademark.i-assist.jp/data/china/image_1915th/81048242.pdf","81048242")</f>
        <v>81048242</v>
      </c>
      <c r="F1538" s="9" t="s">
        <v>4258</v>
      </c>
      <c r="G1538" s="12" t="s">
        <v>4259</v>
      </c>
      <c r="H1538" s="12" t="s">
        <v>4260</v>
      </c>
      <c r="I1538" s="10">
        <v>45558</v>
      </c>
    </row>
    <row r="1539" spans="1:9" x14ac:dyDescent="0.15">
      <c r="A1539" s="9">
        <v>1538</v>
      </c>
      <c r="B1539" s="9" t="s">
        <v>9</v>
      </c>
      <c r="C1539" s="9">
        <v>1915</v>
      </c>
      <c r="D1539" s="10">
        <v>45639</v>
      </c>
      <c r="E1539" s="13" t="str">
        <f>+HYPERLINK("http://trademark.i-assist.jp/data/china/image_1915th/81048495.pdf","81048495")</f>
        <v>81048495</v>
      </c>
      <c r="F1539" s="9" t="s">
        <v>4261</v>
      </c>
      <c r="G1539" s="12" t="s">
        <v>4262</v>
      </c>
      <c r="H1539" s="9" t="s">
        <v>4263</v>
      </c>
      <c r="I1539" s="10">
        <v>45558</v>
      </c>
    </row>
    <row r="1540" spans="1:9" x14ac:dyDescent="0.15">
      <c r="A1540" s="9">
        <v>1539</v>
      </c>
      <c r="B1540" s="9" t="s">
        <v>9</v>
      </c>
      <c r="C1540" s="9">
        <v>1915</v>
      </c>
      <c r="D1540" s="10">
        <v>45639</v>
      </c>
      <c r="E1540" s="13" t="str">
        <f>+HYPERLINK("http://trademark.i-assist.jp/data/china/image_1915th/81048833.pdf","81048833")</f>
        <v>81048833</v>
      </c>
      <c r="F1540" s="12" t="s">
        <v>4264</v>
      </c>
      <c r="G1540" s="12" t="s">
        <v>4265</v>
      </c>
      <c r="H1540" s="9" t="s">
        <v>4266</v>
      </c>
      <c r="I1540" s="10">
        <v>45558</v>
      </c>
    </row>
    <row r="1541" spans="1:9" x14ac:dyDescent="0.15">
      <c r="A1541" s="9">
        <v>1540</v>
      </c>
      <c r="B1541" s="9" t="s">
        <v>9</v>
      </c>
      <c r="C1541" s="9">
        <v>1915</v>
      </c>
      <c r="D1541" s="10">
        <v>45639</v>
      </c>
      <c r="E1541" s="13" t="str">
        <f>+HYPERLINK("http://trademark.i-assist.jp/data/china/image_1915th/81048894.pdf","81048894")</f>
        <v>81048894</v>
      </c>
      <c r="F1541" s="9" t="s">
        <v>4267</v>
      </c>
      <c r="G1541" s="9" t="s">
        <v>4268</v>
      </c>
      <c r="H1541" s="9" t="s">
        <v>4269</v>
      </c>
      <c r="I1541" s="10">
        <v>45558</v>
      </c>
    </row>
    <row r="1542" spans="1:9" x14ac:dyDescent="0.15">
      <c r="A1542" s="9">
        <v>1541</v>
      </c>
      <c r="B1542" s="9" t="s">
        <v>9</v>
      </c>
      <c r="C1542" s="9">
        <v>1915</v>
      </c>
      <c r="D1542" s="10">
        <v>45639</v>
      </c>
      <c r="E1542" s="13" t="str">
        <f>+HYPERLINK("http://trademark.i-assist.jp/data/china/image_1915th/81049068.pdf","81049068")</f>
        <v>81049068</v>
      </c>
      <c r="F1542" s="12" t="s">
        <v>4270</v>
      </c>
      <c r="G1542" s="9" t="s">
        <v>4271</v>
      </c>
      <c r="H1542" s="9" t="s">
        <v>4272</v>
      </c>
      <c r="I1542" s="10">
        <v>45558</v>
      </c>
    </row>
    <row r="1543" spans="1:9" x14ac:dyDescent="0.15">
      <c r="A1543" s="9">
        <v>1542</v>
      </c>
      <c r="B1543" s="9" t="s">
        <v>9</v>
      </c>
      <c r="C1543" s="9">
        <v>1915</v>
      </c>
      <c r="D1543" s="10">
        <v>45639</v>
      </c>
      <c r="E1543" s="13" t="str">
        <f>+HYPERLINK("http://trademark.i-assist.jp/data/china/image_1915th/81049130.pdf","81049130")</f>
        <v>81049130</v>
      </c>
      <c r="F1543" s="9" t="s">
        <v>4273</v>
      </c>
      <c r="G1543" s="9" t="s">
        <v>4274</v>
      </c>
      <c r="H1543" s="9" t="s">
        <v>4275</v>
      </c>
      <c r="I1543" s="10">
        <v>45558</v>
      </c>
    </row>
    <row r="1544" spans="1:9" x14ac:dyDescent="0.15">
      <c r="A1544" s="9">
        <v>1543</v>
      </c>
      <c r="B1544" s="9" t="s">
        <v>9</v>
      </c>
      <c r="C1544" s="9">
        <v>1915</v>
      </c>
      <c r="D1544" s="10">
        <v>45639</v>
      </c>
      <c r="E1544" s="13" t="str">
        <f>+HYPERLINK("http://trademark.i-assist.jp/data/china/image_1915th/81049299.pdf","81049299")</f>
        <v>81049299</v>
      </c>
      <c r="F1544" s="9" t="s">
        <v>4276</v>
      </c>
      <c r="G1544" s="9" t="s">
        <v>4194</v>
      </c>
      <c r="H1544" s="9" t="s">
        <v>4277</v>
      </c>
      <c r="I1544" s="10">
        <v>45558</v>
      </c>
    </row>
    <row r="1545" spans="1:9" x14ac:dyDescent="0.15">
      <c r="A1545" s="9">
        <v>1544</v>
      </c>
      <c r="B1545" s="9" t="s">
        <v>9</v>
      </c>
      <c r="C1545" s="9">
        <v>1915</v>
      </c>
      <c r="D1545" s="10">
        <v>45639</v>
      </c>
      <c r="E1545" s="13" t="str">
        <f>+HYPERLINK("http://trademark.i-assist.jp/data/china/image_1915th/81049458.pdf","81049458")</f>
        <v>81049458</v>
      </c>
      <c r="F1545" s="9" t="s">
        <v>4278</v>
      </c>
      <c r="G1545" s="9" t="s">
        <v>4240</v>
      </c>
      <c r="H1545" s="9" t="s">
        <v>4279</v>
      </c>
      <c r="I1545" s="10">
        <v>45558</v>
      </c>
    </row>
    <row r="1546" spans="1:9" x14ac:dyDescent="0.15">
      <c r="A1546" s="9">
        <v>1545</v>
      </c>
      <c r="B1546" s="9" t="s">
        <v>9</v>
      </c>
      <c r="C1546" s="9">
        <v>1915</v>
      </c>
      <c r="D1546" s="10">
        <v>45639</v>
      </c>
      <c r="E1546" s="13" t="str">
        <f>+HYPERLINK("http://trademark.i-assist.jp/data/china/image_1915th/81049460.pdf","81049460")</f>
        <v>81049460</v>
      </c>
      <c r="F1546" s="9" t="s">
        <v>4280</v>
      </c>
      <c r="G1546" s="9" t="s">
        <v>4240</v>
      </c>
      <c r="H1546" s="9" t="s">
        <v>4281</v>
      </c>
      <c r="I1546" s="10">
        <v>45558</v>
      </c>
    </row>
    <row r="1547" spans="1:9" x14ac:dyDescent="0.15">
      <c r="A1547" s="9">
        <v>1546</v>
      </c>
      <c r="B1547" s="9" t="s">
        <v>9</v>
      </c>
      <c r="C1547" s="9">
        <v>1915</v>
      </c>
      <c r="D1547" s="10">
        <v>45639</v>
      </c>
      <c r="E1547" s="13" t="str">
        <f>+HYPERLINK("http://trademark.i-assist.jp/data/china/image_1915th/81049592.pdf","81049592")</f>
        <v>81049592</v>
      </c>
      <c r="F1547" s="9" t="s">
        <v>4282</v>
      </c>
      <c r="G1547" s="9" t="s">
        <v>4283</v>
      </c>
      <c r="H1547" s="9" t="s">
        <v>4284</v>
      </c>
      <c r="I1547" s="10">
        <v>45558</v>
      </c>
    </row>
    <row r="1548" spans="1:9" x14ac:dyDescent="0.15">
      <c r="A1548" s="9">
        <v>1547</v>
      </c>
      <c r="B1548" s="9" t="s">
        <v>9</v>
      </c>
      <c r="C1548" s="9">
        <v>1915</v>
      </c>
      <c r="D1548" s="10">
        <v>45639</v>
      </c>
      <c r="E1548" s="13" t="str">
        <f>+HYPERLINK("http://trademark.i-assist.jp/data/china/image_1915th/81049726.pdf","81049726")</f>
        <v>81049726</v>
      </c>
      <c r="F1548" s="9" t="s">
        <v>4285</v>
      </c>
      <c r="G1548" s="9" t="s">
        <v>4286</v>
      </c>
      <c r="H1548" s="9" t="s">
        <v>4287</v>
      </c>
      <c r="I1548" s="10">
        <v>45558</v>
      </c>
    </row>
    <row r="1549" spans="1:9" x14ac:dyDescent="0.15">
      <c r="A1549" s="9">
        <v>1548</v>
      </c>
      <c r="B1549" s="9" t="s">
        <v>9</v>
      </c>
      <c r="C1549" s="9">
        <v>1915</v>
      </c>
      <c r="D1549" s="10">
        <v>45639</v>
      </c>
      <c r="E1549" s="13" t="str">
        <f>+HYPERLINK("http://trademark.i-assist.jp/data/china/image_1915th/81049794.pdf","81049794")</f>
        <v>81049794</v>
      </c>
      <c r="F1549" s="9" t="s">
        <v>4288</v>
      </c>
      <c r="G1549" s="9" t="s">
        <v>4289</v>
      </c>
      <c r="H1549" s="12" t="s">
        <v>4290</v>
      </c>
      <c r="I1549" s="10">
        <v>45558</v>
      </c>
    </row>
    <row r="1550" spans="1:9" x14ac:dyDescent="0.15">
      <c r="A1550" s="9">
        <v>1549</v>
      </c>
      <c r="B1550" s="9" t="s">
        <v>9</v>
      </c>
      <c r="C1550" s="9">
        <v>1915</v>
      </c>
      <c r="D1550" s="10">
        <v>45639</v>
      </c>
      <c r="E1550" s="13" t="str">
        <f>+HYPERLINK("http://trademark.i-assist.jp/data/china/image_1915th/81050750.pdf","81050750")</f>
        <v>81050750</v>
      </c>
      <c r="F1550" s="12" t="s">
        <v>15</v>
      </c>
      <c r="G1550" s="9" t="s">
        <v>4291</v>
      </c>
      <c r="H1550" s="9" t="s">
        <v>4292</v>
      </c>
      <c r="I1550" s="10">
        <v>45558</v>
      </c>
    </row>
    <row r="1551" spans="1:9" x14ac:dyDescent="0.15">
      <c r="A1551" s="9">
        <v>1550</v>
      </c>
      <c r="B1551" s="9" t="s">
        <v>9</v>
      </c>
      <c r="C1551" s="9">
        <v>1915</v>
      </c>
      <c r="D1551" s="10">
        <v>45639</v>
      </c>
      <c r="E1551" s="13" t="str">
        <f>+HYPERLINK("http://trademark.i-assist.jp/data/china/image_1915th/81050885.pdf","81050885")</f>
        <v>81050885</v>
      </c>
      <c r="F1551" s="9" t="s">
        <v>4293</v>
      </c>
      <c r="G1551" s="12" t="s">
        <v>4294</v>
      </c>
      <c r="H1551" s="9" t="s">
        <v>4295</v>
      </c>
      <c r="I1551" s="10">
        <v>45558</v>
      </c>
    </row>
    <row r="1552" spans="1:9" x14ac:dyDescent="0.15">
      <c r="A1552" s="9">
        <v>1551</v>
      </c>
      <c r="B1552" s="9" t="s">
        <v>9</v>
      </c>
      <c r="C1552" s="9">
        <v>1915</v>
      </c>
      <c r="D1552" s="10">
        <v>45639</v>
      </c>
      <c r="E1552" s="13" t="str">
        <f>+HYPERLINK("http://trademark.i-assist.jp/data/china/image_1915th/81050890.pdf","81050890")</f>
        <v>81050890</v>
      </c>
      <c r="F1552" s="12" t="s">
        <v>4296</v>
      </c>
      <c r="G1552" s="9" t="s">
        <v>4194</v>
      </c>
      <c r="H1552" s="9" t="s">
        <v>4297</v>
      </c>
      <c r="I1552" s="10">
        <v>45558</v>
      </c>
    </row>
    <row r="1553" spans="1:9" x14ac:dyDescent="0.15">
      <c r="A1553" s="9">
        <v>1552</v>
      </c>
      <c r="B1553" s="9" t="s">
        <v>9</v>
      </c>
      <c r="C1553" s="9">
        <v>1915</v>
      </c>
      <c r="D1553" s="10">
        <v>45639</v>
      </c>
      <c r="E1553" s="13" t="str">
        <f>+HYPERLINK("http://trademark.i-assist.jp/data/china/image_1915th/81051276.pdf","81051276")</f>
        <v>81051276</v>
      </c>
      <c r="F1553" s="9" t="s">
        <v>4298</v>
      </c>
      <c r="G1553" s="9" t="s">
        <v>4299</v>
      </c>
      <c r="H1553" s="9" t="s">
        <v>4300</v>
      </c>
      <c r="I1553" s="10">
        <v>45558</v>
      </c>
    </row>
    <row r="1554" spans="1:9" x14ac:dyDescent="0.15">
      <c r="A1554" s="9">
        <v>1553</v>
      </c>
      <c r="B1554" s="9" t="s">
        <v>9</v>
      </c>
      <c r="C1554" s="9">
        <v>1915</v>
      </c>
      <c r="D1554" s="10">
        <v>45639</v>
      </c>
      <c r="E1554" s="13" t="str">
        <f>+HYPERLINK("http://trademark.i-assist.jp/data/china/image_1915th/81051414.pdf","81051414")</f>
        <v>81051414</v>
      </c>
      <c r="F1554" s="9" t="s">
        <v>4301</v>
      </c>
      <c r="G1554" s="9" t="s">
        <v>4302</v>
      </c>
      <c r="H1554" s="9" t="s">
        <v>4303</v>
      </c>
      <c r="I1554" s="10">
        <v>45558</v>
      </c>
    </row>
    <row r="1555" spans="1:9" x14ac:dyDescent="0.15">
      <c r="A1555" s="9">
        <v>1554</v>
      </c>
      <c r="B1555" s="9" t="s">
        <v>9</v>
      </c>
      <c r="C1555" s="9">
        <v>1915</v>
      </c>
      <c r="D1555" s="10">
        <v>45639</v>
      </c>
      <c r="E1555" s="13" t="str">
        <f>+HYPERLINK("http://trademark.i-assist.jp/data/china/image_1915th/81051554.pdf","81051554")</f>
        <v>81051554</v>
      </c>
      <c r="F1555" s="9" t="s">
        <v>4304</v>
      </c>
      <c r="G1555" s="9" t="s">
        <v>4305</v>
      </c>
      <c r="H1555" s="12" t="s">
        <v>4306</v>
      </c>
      <c r="I1555" s="10">
        <v>45558</v>
      </c>
    </row>
    <row r="1556" spans="1:9" x14ac:dyDescent="0.15">
      <c r="A1556" s="9">
        <v>1555</v>
      </c>
      <c r="B1556" s="9" t="s">
        <v>9</v>
      </c>
      <c r="C1556" s="9">
        <v>1915</v>
      </c>
      <c r="D1556" s="10">
        <v>45639</v>
      </c>
      <c r="E1556" s="13" t="str">
        <f>+HYPERLINK("http://trademark.i-assist.jp/data/china/image_1915th/81052045.pdf","81052045")</f>
        <v>81052045</v>
      </c>
      <c r="F1556" s="9" t="s">
        <v>4307</v>
      </c>
      <c r="G1556" s="9" t="s">
        <v>4308</v>
      </c>
      <c r="H1556" s="9" t="s">
        <v>4309</v>
      </c>
      <c r="I1556" s="10">
        <v>45558</v>
      </c>
    </row>
    <row r="1557" spans="1:9" x14ac:dyDescent="0.15">
      <c r="A1557" s="9">
        <v>1556</v>
      </c>
      <c r="B1557" s="9" t="s">
        <v>9</v>
      </c>
      <c r="C1557" s="9">
        <v>1915</v>
      </c>
      <c r="D1557" s="10">
        <v>45639</v>
      </c>
      <c r="E1557" s="13" t="str">
        <f>+HYPERLINK("http://trademark.i-assist.jp/data/china/image_1915th/81052107.pdf","81052107")</f>
        <v>81052107</v>
      </c>
      <c r="F1557" s="9" t="s">
        <v>4310</v>
      </c>
      <c r="G1557" s="9" t="s">
        <v>4311</v>
      </c>
      <c r="H1557" s="9" t="s">
        <v>4312</v>
      </c>
      <c r="I1557" s="10">
        <v>45558</v>
      </c>
    </row>
    <row r="1558" spans="1:9" x14ac:dyDescent="0.15">
      <c r="A1558" s="9">
        <v>1557</v>
      </c>
      <c r="B1558" s="9" t="s">
        <v>9</v>
      </c>
      <c r="C1558" s="9">
        <v>1915</v>
      </c>
      <c r="D1558" s="10">
        <v>45639</v>
      </c>
      <c r="E1558" s="13" t="str">
        <f>+HYPERLINK("http://trademark.i-assist.jp/data/china/image_1915th/81052271.pdf","81052271")</f>
        <v>81052271</v>
      </c>
      <c r="F1558" s="9" t="s">
        <v>4313</v>
      </c>
      <c r="G1558" s="9" t="s">
        <v>4231</v>
      </c>
      <c r="H1558" s="9" t="s">
        <v>4314</v>
      </c>
      <c r="I1558" s="10">
        <v>45558</v>
      </c>
    </row>
    <row r="1559" spans="1:9" x14ac:dyDescent="0.15">
      <c r="A1559" s="9">
        <v>1558</v>
      </c>
      <c r="B1559" s="9" t="s">
        <v>9</v>
      </c>
      <c r="C1559" s="9">
        <v>1915</v>
      </c>
      <c r="D1559" s="10">
        <v>45639</v>
      </c>
      <c r="E1559" s="13" t="str">
        <f>+HYPERLINK("http://trademark.i-assist.jp/data/china/image_1915th/81052302.pdf","81052302")</f>
        <v>81052302</v>
      </c>
      <c r="F1559" s="9" t="s">
        <v>4315</v>
      </c>
      <c r="G1559" s="12" t="s">
        <v>37</v>
      </c>
      <c r="H1559" s="9" t="s">
        <v>4316</v>
      </c>
      <c r="I1559" s="10">
        <v>45558</v>
      </c>
    </row>
    <row r="1560" spans="1:9" x14ac:dyDescent="0.15">
      <c r="A1560" s="9">
        <v>1559</v>
      </c>
      <c r="B1560" s="9" t="s">
        <v>9</v>
      </c>
      <c r="C1560" s="9">
        <v>1915</v>
      </c>
      <c r="D1560" s="10">
        <v>45639</v>
      </c>
      <c r="E1560" s="13" t="str">
        <f>+HYPERLINK("http://trademark.i-assist.jp/data/china/image_1915th/81052335.pdf","81052335")</f>
        <v>81052335</v>
      </c>
      <c r="F1560" s="9" t="s">
        <v>4317</v>
      </c>
      <c r="G1560" s="9" t="s">
        <v>4318</v>
      </c>
      <c r="H1560" s="9" t="s">
        <v>4319</v>
      </c>
      <c r="I1560" s="10">
        <v>45558</v>
      </c>
    </row>
    <row r="1561" spans="1:9" x14ac:dyDescent="0.15">
      <c r="A1561" s="9">
        <v>1560</v>
      </c>
      <c r="B1561" s="9" t="s">
        <v>9</v>
      </c>
      <c r="C1561" s="9">
        <v>1915</v>
      </c>
      <c r="D1561" s="10">
        <v>45639</v>
      </c>
      <c r="E1561" s="13" t="str">
        <f>+HYPERLINK("http://trademark.i-assist.jp/data/china/image_1915th/81052397.pdf","81052397")</f>
        <v>81052397</v>
      </c>
      <c r="F1561" s="9" t="s">
        <v>4320</v>
      </c>
      <c r="G1561" s="9" t="s">
        <v>4173</v>
      </c>
      <c r="H1561" s="9" t="s">
        <v>4321</v>
      </c>
      <c r="I1561" s="10">
        <v>45558</v>
      </c>
    </row>
    <row r="1562" spans="1:9" x14ac:dyDescent="0.15">
      <c r="A1562" s="9">
        <v>1561</v>
      </c>
      <c r="B1562" s="9" t="s">
        <v>9</v>
      </c>
      <c r="C1562" s="9">
        <v>1915</v>
      </c>
      <c r="D1562" s="10">
        <v>45639</v>
      </c>
      <c r="E1562" s="13" t="str">
        <f>+HYPERLINK("http://trademark.i-assist.jp/data/china/image_1915th/81052441.pdf","81052441")</f>
        <v>81052441</v>
      </c>
      <c r="F1562" s="9" t="s">
        <v>4322</v>
      </c>
      <c r="G1562" s="9" t="s">
        <v>4240</v>
      </c>
      <c r="H1562" s="9" t="s">
        <v>4323</v>
      </c>
      <c r="I1562" s="10">
        <v>45558</v>
      </c>
    </row>
    <row r="1563" spans="1:9" x14ac:dyDescent="0.15">
      <c r="A1563" s="9">
        <v>1562</v>
      </c>
      <c r="B1563" s="9" t="s">
        <v>9</v>
      </c>
      <c r="C1563" s="9">
        <v>1915</v>
      </c>
      <c r="D1563" s="10">
        <v>45639</v>
      </c>
      <c r="E1563" s="13" t="str">
        <f>+HYPERLINK("http://trademark.i-assist.jp/data/china/image_1915th/81052637.pdf","81052637")</f>
        <v>81052637</v>
      </c>
      <c r="F1563" s="9" t="s">
        <v>4324</v>
      </c>
      <c r="G1563" s="12" t="s">
        <v>4243</v>
      </c>
      <c r="H1563" s="9" t="s">
        <v>4325</v>
      </c>
      <c r="I1563" s="10">
        <v>45558</v>
      </c>
    </row>
    <row r="1564" spans="1:9" x14ac:dyDescent="0.15">
      <c r="A1564" s="9">
        <v>1563</v>
      </c>
      <c r="B1564" s="9" t="s">
        <v>9</v>
      </c>
      <c r="C1564" s="9">
        <v>1915</v>
      </c>
      <c r="D1564" s="10">
        <v>45639</v>
      </c>
      <c r="E1564" s="13" t="str">
        <f>+HYPERLINK("http://trademark.i-assist.jp/data/china/image_1915th/81052650.pdf","81052650")</f>
        <v>81052650</v>
      </c>
      <c r="F1564" s="9" t="s">
        <v>4326</v>
      </c>
      <c r="G1564" s="9" t="s">
        <v>49</v>
      </c>
      <c r="H1564" s="9" t="s">
        <v>4327</v>
      </c>
      <c r="I1564" s="10">
        <v>45558</v>
      </c>
    </row>
    <row r="1565" spans="1:9" x14ac:dyDescent="0.15">
      <c r="A1565" s="9">
        <v>1564</v>
      </c>
      <c r="B1565" s="9" t="s">
        <v>9</v>
      </c>
      <c r="C1565" s="9">
        <v>1915</v>
      </c>
      <c r="D1565" s="10">
        <v>45639</v>
      </c>
      <c r="E1565" s="13" t="str">
        <f>+HYPERLINK("http://trademark.i-assist.jp/data/china/image_1915th/81052741.pdf","81052741")</f>
        <v>81052741</v>
      </c>
      <c r="F1565" s="12" t="s">
        <v>4328</v>
      </c>
      <c r="G1565" s="12" t="s">
        <v>4329</v>
      </c>
      <c r="H1565" s="9" t="s">
        <v>4330</v>
      </c>
      <c r="I1565" s="10">
        <v>45558</v>
      </c>
    </row>
    <row r="1566" spans="1:9" x14ac:dyDescent="0.15">
      <c r="A1566" s="9">
        <v>1565</v>
      </c>
      <c r="B1566" s="9" t="s">
        <v>9</v>
      </c>
      <c r="C1566" s="9">
        <v>1915</v>
      </c>
      <c r="D1566" s="10">
        <v>45639</v>
      </c>
      <c r="E1566" s="13" t="str">
        <f>+HYPERLINK("http://trademark.i-assist.jp/data/china/image_1915th/81052830.pdf","81052830")</f>
        <v>81052830</v>
      </c>
      <c r="F1566" s="9" t="s">
        <v>4331</v>
      </c>
      <c r="G1566" s="12" t="s">
        <v>4332</v>
      </c>
      <c r="H1566" s="9" t="s">
        <v>4333</v>
      </c>
      <c r="I1566" s="10">
        <v>45558</v>
      </c>
    </row>
    <row r="1567" spans="1:9" x14ac:dyDescent="0.15">
      <c r="A1567" s="9">
        <v>1566</v>
      </c>
      <c r="B1567" s="9" t="s">
        <v>9</v>
      </c>
      <c r="C1567" s="9">
        <v>1915</v>
      </c>
      <c r="D1567" s="10">
        <v>45639</v>
      </c>
      <c r="E1567" s="13" t="str">
        <f>+HYPERLINK("http://trademark.i-assist.jp/data/china/image_1915th/81053050.pdf","81053050")</f>
        <v>81053050</v>
      </c>
      <c r="F1567" s="9" t="s">
        <v>4334</v>
      </c>
      <c r="G1567" s="9" t="s">
        <v>4335</v>
      </c>
      <c r="H1567" s="12" t="s">
        <v>4336</v>
      </c>
      <c r="I1567" s="10">
        <v>45558</v>
      </c>
    </row>
    <row r="1568" spans="1:9" x14ac:dyDescent="0.15">
      <c r="A1568" s="9">
        <v>1567</v>
      </c>
      <c r="B1568" s="9" t="s">
        <v>9</v>
      </c>
      <c r="C1568" s="9">
        <v>1915</v>
      </c>
      <c r="D1568" s="10">
        <v>45639</v>
      </c>
      <c r="E1568" s="13" t="str">
        <f>+HYPERLINK("http://trademark.i-assist.jp/data/china/image_1915th/81053899.pdf","81053899")</f>
        <v>81053899</v>
      </c>
      <c r="F1568" s="12" t="s">
        <v>4337</v>
      </c>
      <c r="G1568" s="12" t="s">
        <v>37</v>
      </c>
      <c r="H1568" s="9" t="s">
        <v>4338</v>
      </c>
      <c r="I1568" s="10">
        <v>45558</v>
      </c>
    </row>
    <row r="1569" spans="1:9" x14ac:dyDescent="0.15">
      <c r="A1569" s="9">
        <v>1568</v>
      </c>
      <c r="B1569" s="9" t="s">
        <v>9</v>
      </c>
      <c r="C1569" s="9">
        <v>1915</v>
      </c>
      <c r="D1569" s="10">
        <v>45639</v>
      </c>
      <c r="E1569" s="13" t="str">
        <f>+HYPERLINK("http://trademark.i-assist.jp/data/china/image_1915th/81053996.pdf","81053996")</f>
        <v>81053996</v>
      </c>
      <c r="F1569" s="9" t="s">
        <v>4339</v>
      </c>
      <c r="G1569" s="9" t="s">
        <v>4340</v>
      </c>
      <c r="H1569" s="9" t="s">
        <v>4341</v>
      </c>
      <c r="I1569" s="10">
        <v>45558</v>
      </c>
    </row>
    <row r="1570" spans="1:9" x14ac:dyDescent="0.15">
      <c r="A1570" s="9">
        <v>1569</v>
      </c>
      <c r="B1570" s="9" t="s">
        <v>9</v>
      </c>
      <c r="C1570" s="9">
        <v>1915</v>
      </c>
      <c r="D1570" s="10">
        <v>45639</v>
      </c>
      <c r="E1570" s="13" t="str">
        <f>+HYPERLINK("http://trademark.i-assist.jp/data/china/image_1915th/81054062.pdf","81054062")</f>
        <v>81054062</v>
      </c>
      <c r="F1570" s="12" t="s">
        <v>4342</v>
      </c>
      <c r="G1570" s="12" t="s">
        <v>916</v>
      </c>
      <c r="H1570" s="9" t="s">
        <v>4343</v>
      </c>
      <c r="I1570" s="10">
        <v>45558</v>
      </c>
    </row>
    <row r="1571" spans="1:9" x14ac:dyDescent="0.15">
      <c r="A1571" s="9">
        <v>1570</v>
      </c>
      <c r="B1571" s="9" t="s">
        <v>9</v>
      </c>
      <c r="C1571" s="9">
        <v>1915</v>
      </c>
      <c r="D1571" s="10">
        <v>45639</v>
      </c>
      <c r="E1571" s="13" t="str">
        <f>+HYPERLINK("http://trademark.i-assist.jp/data/china/image_1915th/81054089.pdf","81054089")</f>
        <v>81054089</v>
      </c>
      <c r="F1571" s="12" t="s">
        <v>15</v>
      </c>
      <c r="G1571" s="9" t="s">
        <v>4344</v>
      </c>
      <c r="H1571" s="12" t="s">
        <v>4345</v>
      </c>
      <c r="I1571" s="10">
        <v>45558</v>
      </c>
    </row>
    <row r="1572" spans="1:9" x14ac:dyDescent="0.15">
      <c r="A1572" s="9">
        <v>1571</v>
      </c>
      <c r="B1572" s="9" t="s">
        <v>9</v>
      </c>
      <c r="C1572" s="9">
        <v>1915</v>
      </c>
      <c r="D1572" s="10">
        <v>45639</v>
      </c>
      <c r="E1572" s="13" t="str">
        <f>+HYPERLINK("http://trademark.i-assist.jp/data/china/image_1915th/81054110.pdf","81054110")</f>
        <v>81054110</v>
      </c>
      <c r="F1572" s="9" t="s">
        <v>4346</v>
      </c>
      <c r="G1572" s="9" t="s">
        <v>4173</v>
      </c>
      <c r="H1572" s="9" t="s">
        <v>4347</v>
      </c>
      <c r="I1572" s="10">
        <v>45558</v>
      </c>
    </row>
    <row r="1573" spans="1:9" x14ac:dyDescent="0.15">
      <c r="A1573" s="9">
        <v>1572</v>
      </c>
      <c r="B1573" s="9" t="s">
        <v>9</v>
      </c>
      <c r="C1573" s="9">
        <v>1915</v>
      </c>
      <c r="D1573" s="10">
        <v>45639</v>
      </c>
      <c r="E1573" s="13" t="str">
        <f>+HYPERLINK("http://trademark.i-assist.jp/data/china/image_1915th/81054219.pdf","81054219")</f>
        <v>81054219</v>
      </c>
      <c r="F1573" s="9" t="s">
        <v>4348</v>
      </c>
      <c r="G1573" s="9" t="s">
        <v>4349</v>
      </c>
      <c r="H1573" s="9" t="s">
        <v>4350</v>
      </c>
      <c r="I1573" s="10">
        <v>45558</v>
      </c>
    </row>
    <row r="1574" spans="1:9" x14ac:dyDescent="0.15">
      <c r="A1574" s="9">
        <v>1573</v>
      </c>
      <c r="B1574" s="9" t="s">
        <v>9</v>
      </c>
      <c r="C1574" s="9">
        <v>1915</v>
      </c>
      <c r="D1574" s="10">
        <v>45639</v>
      </c>
      <c r="E1574" s="13" t="str">
        <f>+HYPERLINK("http://trademark.i-assist.jp/data/china/image_1915th/81054327.pdf","81054327")</f>
        <v>81054327</v>
      </c>
      <c r="F1574" s="9" t="s">
        <v>4351</v>
      </c>
      <c r="G1574" s="12" t="s">
        <v>4352</v>
      </c>
      <c r="H1574" s="9" t="s">
        <v>4353</v>
      </c>
      <c r="I1574" s="10">
        <v>45558</v>
      </c>
    </row>
    <row r="1575" spans="1:9" x14ac:dyDescent="0.15">
      <c r="A1575" s="9">
        <v>1574</v>
      </c>
      <c r="B1575" s="9" t="s">
        <v>9</v>
      </c>
      <c r="C1575" s="9">
        <v>1915</v>
      </c>
      <c r="D1575" s="10">
        <v>45639</v>
      </c>
      <c r="E1575" s="13" t="str">
        <f>+HYPERLINK("http://trademark.i-assist.jp/data/china/image_1915th/81054744.pdf","81054744")</f>
        <v>81054744</v>
      </c>
      <c r="F1575" s="9" t="s">
        <v>4354</v>
      </c>
      <c r="G1575" s="9" t="s">
        <v>4355</v>
      </c>
      <c r="H1575" s="9" t="s">
        <v>4356</v>
      </c>
      <c r="I1575" s="10">
        <v>45558</v>
      </c>
    </row>
    <row r="1576" spans="1:9" x14ac:dyDescent="0.15">
      <c r="A1576" s="9">
        <v>1575</v>
      </c>
      <c r="B1576" s="9" t="s">
        <v>9</v>
      </c>
      <c r="C1576" s="9">
        <v>1915</v>
      </c>
      <c r="D1576" s="10">
        <v>45639</v>
      </c>
      <c r="E1576" s="13" t="str">
        <f>+HYPERLINK("http://trademark.i-assist.jp/data/china/image_1915th/81054907.pdf","81054907")</f>
        <v>81054907</v>
      </c>
      <c r="F1576" s="9" t="s">
        <v>4357</v>
      </c>
      <c r="G1576" s="9" t="s">
        <v>4358</v>
      </c>
      <c r="H1576" s="9" t="s">
        <v>4359</v>
      </c>
      <c r="I1576" s="10">
        <v>45558</v>
      </c>
    </row>
    <row r="1577" spans="1:9" x14ac:dyDescent="0.15">
      <c r="A1577" s="9">
        <v>1576</v>
      </c>
      <c r="B1577" s="9" t="s">
        <v>9</v>
      </c>
      <c r="C1577" s="9">
        <v>1915</v>
      </c>
      <c r="D1577" s="10">
        <v>45639</v>
      </c>
      <c r="E1577" s="13" t="str">
        <f>+HYPERLINK("http://trademark.i-assist.jp/data/china/image_1915th/81054975.pdf","81054975")</f>
        <v>81054975</v>
      </c>
      <c r="F1577" s="9" t="s">
        <v>4360</v>
      </c>
      <c r="G1577" s="9" t="s">
        <v>4361</v>
      </c>
      <c r="H1577" s="9" t="s">
        <v>4362</v>
      </c>
      <c r="I1577" s="10">
        <v>45558</v>
      </c>
    </row>
    <row r="1578" spans="1:9" x14ac:dyDescent="0.15">
      <c r="A1578" s="9">
        <v>1577</v>
      </c>
      <c r="B1578" s="9" t="s">
        <v>9</v>
      </c>
      <c r="C1578" s="9">
        <v>1915</v>
      </c>
      <c r="D1578" s="10">
        <v>45639</v>
      </c>
      <c r="E1578" s="13" t="str">
        <f>+HYPERLINK("http://trademark.i-assist.jp/data/china/image_1915th/81055119.pdf","81055119")</f>
        <v>81055119</v>
      </c>
      <c r="F1578" s="9" t="s">
        <v>4363</v>
      </c>
      <c r="G1578" s="9" t="s">
        <v>4364</v>
      </c>
      <c r="H1578" s="9" t="s">
        <v>4365</v>
      </c>
      <c r="I1578" s="10">
        <v>45558</v>
      </c>
    </row>
    <row r="1579" spans="1:9" x14ac:dyDescent="0.15">
      <c r="A1579" s="9">
        <v>1578</v>
      </c>
      <c r="B1579" s="9" t="s">
        <v>9</v>
      </c>
      <c r="C1579" s="9">
        <v>1915</v>
      </c>
      <c r="D1579" s="10">
        <v>45639</v>
      </c>
      <c r="E1579" s="13" t="str">
        <f>+HYPERLINK("http://trademark.i-assist.jp/data/china/image_1915th/81055406.pdf","81055406")</f>
        <v>81055406</v>
      </c>
      <c r="F1579" s="9" t="s">
        <v>4366</v>
      </c>
      <c r="G1579" s="12" t="s">
        <v>4367</v>
      </c>
      <c r="H1579" s="9" t="s">
        <v>4368</v>
      </c>
      <c r="I1579" s="10">
        <v>45558</v>
      </c>
    </row>
    <row r="1580" spans="1:9" x14ac:dyDescent="0.15">
      <c r="A1580" s="9">
        <v>1579</v>
      </c>
      <c r="B1580" s="9" t="s">
        <v>9</v>
      </c>
      <c r="C1580" s="9">
        <v>1915</v>
      </c>
      <c r="D1580" s="10">
        <v>45639</v>
      </c>
      <c r="E1580" s="13" t="str">
        <f>+HYPERLINK("http://trademark.i-assist.jp/data/china/image_1915th/81055447.pdf","81055447")</f>
        <v>81055447</v>
      </c>
      <c r="F1580" s="9" t="s">
        <v>4369</v>
      </c>
      <c r="G1580" s="9" t="s">
        <v>4370</v>
      </c>
      <c r="H1580" s="9" t="s">
        <v>4371</v>
      </c>
      <c r="I1580" s="10">
        <v>45558</v>
      </c>
    </row>
    <row r="1581" spans="1:9" x14ac:dyDescent="0.15">
      <c r="A1581" s="9">
        <v>1580</v>
      </c>
      <c r="B1581" s="9" t="s">
        <v>9</v>
      </c>
      <c r="C1581" s="9">
        <v>1915</v>
      </c>
      <c r="D1581" s="10">
        <v>45639</v>
      </c>
      <c r="E1581" s="13" t="str">
        <f>+HYPERLINK("http://trademark.i-assist.jp/data/china/image_1915th/81055672.pdf","81055672")</f>
        <v>81055672</v>
      </c>
      <c r="F1581" s="12" t="s">
        <v>4372</v>
      </c>
      <c r="G1581" s="9" t="s">
        <v>3469</v>
      </c>
      <c r="H1581" s="9" t="s">
        <v>4373</v>
      </c>
      <c r="I1581" s="10">
        <v>45558</v>
      </c>
    </row>
    <row r="1582" spans="1:9" x14ac:dyDescent="0.15">
      <c r="A1582" s="9">
        <v>1581</v>
      </c>
      <c r="B1582" s="9" t="s">
        <v>9</v>
      </c>
      <c r="C1582" s="9">
        <v>1915</v>
      </c>
      <c r="D1582" s="10">
        <v>45639</v>
      </c>
      <c r="E1582" s="13" t="str">
        <f>+HYPERLINK("http://trademark.i-assist.jp/data/china/image_1915th/81055789.pdf","81055789")</f>
        <v>81055789</v>
      </c>
      <c r="F1582" s="9" t="s">
        <v>4374</v>
      </c>
      <c r="G1582" s="9" t="s">
        <v>4375</v>
      </c>
      <c r="H1582" s="9" t="s">
        <v>4376</v>
      </c>
      <c r="I1582" s="10">
        <v>45558</v>
      </c>
    </row>
    <row r="1583" spans="1:9" x14ac:dyDescent="0.15">
      <c r="A1583" s="9">
        <v>1582</v>
      </c>
      <c r="B1583" s="9" t="s">
        <v>9</v>
      </c>
      <c r="C1583" s="9">
        <v>1915</v>
      </c>
      <c r="D1583" s="10">
        <v>45639</v>
      </c>
      <c r="E1583" s="13" t="str">
        <f>+HYPERLINK("http://trademark.i-assist.jp/data/china/image_1915th/81056087.pdf","81056087")</f>
        <v>81056087</v>
      </c>
      <c r="F1583" s="9" t="s">
        <v>4377</v>
      </c>
      <c r="G1583" s="12" t="s">
        <v>4378</v>
      </c>
      <c r="H1583" s="9" t="s">
        <v>4379</v>
      </c>
      <c r="I1583" s="10">
        <v>45558</v>
      </c>
    </row>
    <row r="1584" spans="1:9" x14ac:dyDescent="0.15">
      <c r="A1584" s="9">
        <v>1583</v>
      </c>
      <c r="B1584" s="9" t="s">
        <v>9</v>
      </c>
      <c r="C1584" s="9">
        <v>1915</v>
      </c>
      <c r="D1584" s="10">
        <v>45639</v>
      </c>
      <c r="E1584" s="13" t="str">
        <f>+HYPERLINK("http://trademark.i-assist.jp/data/china/image_1915th/81056100.pdf","81056100")</f>
        <v>81056100</v>
      </c>
      <c r="F1584" s="9" t="s">
        <v>4377</v>
      </c>
      <c r="G1584" s="12" t="s">
        <v>4378</v>
      </c>
      <c r="H1584" s="9" t="s">
        <v>4380</v>
      </c>
      <c r="I1584" s="10">
        <v>45558</v>
      </c>
    </row>
    <row r="1585" spans="1:9" x14ac:dyDescent="0.15">
      <c r="A1585" s="9">
        <v>1584</v>
      </c>
      <c r="B1585" s="9" t="s">
        <v>9</v>
      </c>
      <c r="C1585" s="9">
        <v>1915</v>
      </c>
      <c r="D1585" s="10">
        <v>45639</v>
      </c>
      <c r="E1585" s="13" t="str">
        <f>+HYPERLINK("http://trademark.i-assist.jp/data/china/image_1915th/81056573.pdf","81056573")</f>
        <v>81056573</v>
      </c>
      <c r="F1585" s="9" t="s">
        <v>4381</v>
      </c>
      <c r="G1585" s="9" t="s">
        <v>4382</v>
      </c>
      <c r="H1585" s="9" t="s">
        <v>4383</v>
      </c>
      <c r="I1585" s="10">
        <v>45558</v>
      </c>
    </row>
    <row r="1586" spans="1:9" x14ac:dyDescent="0.15">
      <c r="A1586" s="9">
        <v>1585</v>
      </c>
      <c r="B1586" s="9" t="s">
        <v>9</v>
      </c>
      <c r="C1586" s="9">
        <v>1915</v>
      </c>
      <c r="D1586" s="10">
        <v>45639</v>
      </c>
      <c r="E1586" s="13" t="str">
        <f>+HYPERLINK("http://trademark.i-assist.jp/data/china/image_1915th/81056591.pdf","81056591")</f>
        <v>81056591</v>
      </c>
      <c r="F1586" s="9" t="s">
        <v>4384</v>
      </c>
      <c r="G1586" s="12" t="s">
        <v>4385</v>
      </c>
      <c r="H1586" s="9" t="s">
        <v>4386</v>
      </c>
      <c r="I1586" s="10">
        <v>45558</v>
      </c>
    </row>
    <row r="1587" spans="1:9" x14ac:dyDescent="0.15">
      <c r="A1587" s="9">
        <v>1586</v>
      </c>
      <c r="B1587" s="9" t="s">
        <v>9</v>
      </c>
      <c r="C1587" s="9">
        <v>1915</v>
      </c>
      <c r="D1587" s="10">
        <v>45639</v>
      </c>
      <c r="E1587" s="13" t="str">
        <f>+HYPERLINK("http://trademark.i-assist.jp/data/china/image_1915th/81056604.pdf","81056604")</f>
        <v>81056604</v>
      </c>
      <c r="F1587" s="12" t="s">
        <v>4387</v>
      </c>
      <c r="G1587" s="9" t="s">
        <v>4388</v>
      </c>
      <c r="H1587" s="9" t="s">
        <v>4389</v>
      </c>
      <c r="I1587" s="10">
        <v>45558</v>
      </c>
    </row>
    <row r="1588" spans="1:9" x14ac:dyDescent="0.15">
      <c r="A1588" s="9">
        <v>1587</v>
      </c>
      <c r="B1588" s="9" t="s">
        <v>9</v>
      </c>
      <c r="C1588" s="9">
        <v>1915</v>
      </c>
      <c r="D1588" s="10">
        <v>45639</v>
      </c>
      <c r="E1588" s="13" t="str">
        <f>+HYPERLINK("http://trademark.i-assist.jp/data/china/image_1915th/81056785.pdf","81056785")</f>
        <v>81056785</v>
      </c>
      <c r="F1588" s="9" t="s">
        <v>4390</v>
      </c>
      <c r="G1588" s="9" t="s">
        <v>4391</v>
      </c>
      <c r="H1588" s="9" t="s">
        <v>4392</v>
      </c>
      <c r="I1588" s="10">
        <v>45558</v>
      </c>
    </row>
    <row r="1589" spans="1:9" x14ac:dyDescent="0.15">
      <c r="A1589" s="9">
        <v>1588</v>
      </c>
      <c r="B1589" s="9" t="s">
        <v>9</v>
      </c>
      <c r="C1589" s="9">
        <v>1915</v>
      </c>
      <c r="D1589" s="10">
        <v>45639</v>
      </c>
      <c r="E1589" s="13" t="str">
        <f>+HYPERLINK("http://trademark.i-assist.jp/data/china/image_1915th/81056989.pdf","81056989")</f>
        <v>81056989</v>
      </c>
      <c r="F1589" s="9" t="s">
        <v>4393</v>
      </c>
      <c r="G1589" s="9" t="s">
        <v>4394</v>
      </c>
      <c r="H1589" s="9" t="s">
        <v>4395</v>
      </c>
      <c r="I1589" s="10">
        <v>45558</v>
      </c>
    </row>
    <row r="1590" spans="1:9" x14ac:dyDescent="0.15">
      <c r="A1590" s="9">
        <v>1589</v>
      </c>
      <c r="B1590" s="9" t="s">
        <v>9</v>
      </c>
      <c r="C1590" s="9">
        <v>1915</v>
      </c>
      <c r="D1590" s="10">
        <v>45639</v>
      </c>
      <c r="E1590" s="13" t="str">
        <f>+HYPERLINK("http://trademark.i-assist.jp/data/china/image_1915th/81057066.pdf","81057066")</f>
        <v>81057066</v>
      </c>
      <c r="F1590" s="12" t="s">
        <v>4396</v>
      </c>
      <c r="G1590" s="9" t="s">
        <v>4397</v>
      </c>
      <c r="H1590" s="9" t="s">
        <v>4398</v>
      </c>
      <c r="I1590" s="10">
        <v>45558</v>
      </c>
    </row>
    <row r="1591" spans="1:9" x14ac:dyDescent="0.15">
      <c r="A1591" s="9">
        <v>1590</v>
      </c>
      <c r="B1591" s="9" t="s">
        <v>9</v>
      </c>
      <c r="C1591" s="9">
        <v>1915</v>
      </c>
      <c r="D1591" s="10">
        <v>45639</v>
      </c>
      <c r="E1591" s="13" t="str">
        <f>+HYPERLINK("http://trademark.i-assist.jp/data/china/image_1915th/81057083.pdf","81057083")</f>
        <v>81057083</v>
      </c>
      <c r="F1591" s="9" t="s">
        <v>4399</v>
      </c>
      <c r="G1591" s="9" t="s">
        <v>4400</v>
      </c>
      <c r="H1591" s="9" t="s">
        <v>4401</v>
      </c>
      <c r="I1591" s="10">
        <v>45558</v>
      </c>
    </row>
    <row r="1592" spans="1:9" x14ac:dyDescent="0.15">
      <c r="A1592" s="9">
        <v>1591</v>
      </c>
      <c r="B1592" s="9" t="s">
        <v>9</v>
      </c>
      <c r="C1592" s="9">
        <v>1915</v>
      </c>
      <c r="D1592" s="10">
        <v>45639</v>
      </c>
      <c r="E1592" s="13" t="str">
        <f>+HYPERLINK("http://trademark.i-assist.jp/data/china/image_1915th/81057771.pdf","81057771")</f>
        <v>81057771</v>
      </c>
      <c r="F1592" s="9" t="s">
        <v>4402</v>
      </c>
      <c r="G1592" s="12" t="s">
        <v>4294</v>
      </c>
      <c r="H1592" s="9" t="s">
        <v>4403</v>
      </c>
      <c r="I1592" s="10">
        <v>45558</v>
      </c>
    </row>
    <row r="1593" spans="1:9" x14ac:dyDescent="0.15">
      <c r="A1593" s="9">
        <v>1592</v>
      </c>
      <c r="B1593" s="9" t="s">
        <v>9</v>
      </c>
      <c r="C1593" s="9">
        <v>1915</v>
      </c>
      <c r="D1593" s="10">
        <v>45639</v>
      </c>
      <c r="E1593" s="13" t="str">
        <f>+HYPERLINK("http://trademark.i-assist.jp/data/china/image_1915th/81057917.pdf","81057917")</f>
        <v>81057917</v>
      </c>
      <c r="F1593" s="9" t="s">
        <v>4404</v>
      </c>
      <c r="G1593" s="9" t="s">
        <v>3515</v>
      </c>
      <c r="H1593" s="9" t="s">
        <v>4405</v>
      </c>
      <c r="I1593" s="10">
        <v>45558</v>
      </c>
    </row>
    <row r="1594" spans="1:9" x14ac:dyDescent="0.15">
      <c r="A1594" s="9">
        <v>1593</v>
      </c>
      <c r="B1594" s="9" t="s">
        <v>9</v>
      </c>
      <c r="C1594" s="9">
        <v>1915</v>
      </c>
      <c r="D1594" s="10">
        <v>45639</v>
      </c>
      <c r="E1594" s="13" t="str">
        <f>+HYPERLINK("http://trademark.i-assist.jp/data/china/image_1915th/81057995.pdf","81057995")</f>
        <v>81057995</v>
      </c>
      <c r="F1594" s="11" t="s">
        <v>4406</v>
      </c>
      <c r="G1594" s="12" t="s">
        <v>4407</v>
      </c>
      <c r="H1594" s="9" t="s">
        <v>4408</v>
      </c>
      <c r="I1594" s="10">
        <v>45558</v>
      </c>
    </row>
    <row r="1595" spans="1:9" x14ac:dyDescent="0.15">
      <c r="A1595" s="9">
        <v>1594</v>
      </c>
      <c r="B1595" s="9" t="s">
        <v>9</v>
      </c>
      <c r="C1595" s="9">
        <v>1915</v>
      </c>
      <c r="D1595" s="10">
        <v>45639</v>
      </c>
      <c r="E1595" s="13" t="str">
        <f>+HYPERLINK("http://trademark.i-assist.jp/data/china/image_1915th/81058159.pdf","81058159")</f>
        <v>81058159</v>
      </c>
      <c r="F1595" s="12" t="s">
        <v>4409</v>
      </c>
      <c r="G1595" s="9" t="s">
        <v>1355</v>
      </c>
      <c r="H1595" s="9" t="s">
        <v>4410</v>
      </c>
      <c r="I1595" s="10">
        <v>45558</v>
      </c>
    </row>
    <row r="1596" spans="1:9" x14ac:dyDescent="0.15">
      <c r="A1596" s="9">
        <v>1595</v>
      </c>
      <c r="B1596" s="9" t="s">
        <v>9</v>
      </c>
      <c r="C1596" s="9">
        <v>1915</v>
      </c>
      <c r="D1596" s="10">
        <v>45639</v>
      </c>
      <c r="E1596" s="13" t="str">
        <f>+HYPERLINK("http://trademark.i-assist.jp/data/china/image_1915th/81058199.pdf","81058199")</f>
        <v>81058199</v>
      </c>
      <c r="F1596" s="9" t="s">
        <v>4411</v>
      </c>
      <c r="G1596" s="9" t="s">
        <v>4179</v>
      </c>
      <c r="H1596" s="9" t="s">
        <v>4412</v>
      </c>
      <c r="I1596" s="10">
        <v>45558</v>
      </c>
    </row>
    <row r="1597" spans="1:9" x14ac:dyDescent="0.15">
      <c r="A1597" s="9">
        <v>1596</v>
      </c>
      <c r="B1597" s="9" t="s">
        <v>9</v>
      </c>
      <c r="C1597" s="9">
        <v>1915</v>
      </c>
      <c r="D1597" s="10">
        <v>45639</v>
      </c>
      <c r="E1597" s="13" t="str">
        <f>+HYPERLINK("http://trademark.i-assist.jp/data/china/image_1915th/81058339.pdf","81058339")</f>
        <v>81058339</v>
      </c>
      <c r="F1597" s="9" t="s">
        <v>4413</v>
      </c>
      <c r="G1597" s="11" t="s">
        <v>4414</v>
      </c>
      <c r="H1597" s="9" t="s">
        <v>4415</v>
      </c>
      <c r="I1597" s="10">
        <v>45558</v>
      </c>
    </row>
    <row r="1598" spans="1:9" x14ac:dyDescent="0.15">
      <c r="A1598" s="9">
        <v>1597</v>
      </c>
      <c r="B1598" s="9" t="s">
        <v>9</v>
      </c>
      <c r="C1598" s="9">
        <v>1915</v>
      </c>
      <c r="D1598" s="10">
        <v>45639</v>
      </c>
      <c r="E1598" s="13" t="str">
        <f>+HYPERLINK("http://trademark.i-assist.jp/data/china/image_1915th/81058477.pdf","81058477")</f>
        <v>81058477</v>
      </c>
      <c r="F1598" s="9" t="s">
        <v>4416</v>
      </c>
      <c r="G1598" s="12" t="s">
        <v>4417</v>
      </c>
      <c r="H1598" s="9" t="s">
        <v>4418</v>
      </c>
      <c r="I1598" s="10">
        <v>45558</v>
      </c>
    </row>
    <row r="1599" spans="1:9" x14ac:dyDescent="0.15">
      <c r="A1599" s="9">
        <v>1598</v>
      </c>
      <c r="B1599" s="9" t="s">
        <v>9</v>
      </c>
      <c r="C1599" s="9">
        <v>1915</v>
      </c>
      <c r="D1599" s="10">
        <v>45639</v>
      </c>
      <c r="E1599" s="13" t="str">
        <f>+HYPERLINK("http://trademark.i-assist.jp/data/china/image_1915th/81058926.pdf","81058926")</f>
        <v>81058926</v>
      </c>
      <c r="F1599" s="12" t="s">
        <v>4419</v>
      </c>
      <c r="G1599" s="9" t="s">
        <v>4420</v>
      </c>
      <c r="H1599" s="9" t="s">
        <v>4421</v>
      </c>
      <c r="I1599" s="10">
        <v>45558</v>
      </c>
    </row>
    <row r="1600" spans="1:9" x14ac:dyDescent="0.15">
      <c r="A1600" s="9">
        <v>1599</v>
      </c>
      <c r="B1600" s="9" t="s">
        <v>9</v>
      </c>
      <c r="C1600" s="9">
        <v>1915</v>
      </c>
      <c r="D1600" s="10">
        <v>45639</v>
      </c>
      <c r="E1600" s="13" t="str">
        <f>+HYPERLINK("http://trademark.i-assist.jp/data/china/image_1915th/81058966.pdf","81058966")</f>
        <v>81058966</v>
      </c>
      <c r="F1600" s="12" t="s">
        <v>4422</v>
      </c>
      <c r="G1600" s="9" t="s">
        <v>4423</v>
      </c>
      <c r="H1600" s="9" t="s">
        <v>4424</v>
      </c>
      <c r="I1600" s="10">
        <v>45558</v>
      </c>
    </row>
    <row r="1601" spans="1:9" x14ac:dyDescent="0.15">
      <c r="A1601" s="9">
        <v>1600</v>
      </c>
      <c r="B1601" s="9" t="s">
        <v>9</v>
      </c>
      <c r="C1601" s="9">
        <v>1915</v>
      </c>
      <c r="D1601" s="10">
        <v>45639</v>
      </c>
      <c r="E1601" s="13" t="str">
        <f>+HYPERLINK("http://trademark.i-assist.jp/data/china/image_1915th/81059078.pdf","81059078")</f>
        <v>81059078</v>
      </c>
      <c r="F1601" s="9" t="s">
        <v>4425</v>
      </c>
      <c r="G1601" s="9" t="s">
        <v>4271</v>
      </c>
      <c r="H1601" s="9" t="s">
        <v>4426</v>
      </c>
      <c r="I1601" s="10">
        <v>45558</v>
      </c>
    </row>
    <row r="1602" spans="1:9" x14ac:dyDescent="0.15">
      <c r="A1602" s="9">
        <v>1601</v>
      </c>
      <c r="B1602" s="9" t="s">
        <v>9</v>
      </c>
      <c r="C1602" s="9">
        <v>1915</v>
      </c>
      <c r="D1602" s="10">
        <v>45639</v>
      </c>
      <c r="E1602" s="13" t="str">
        <f>+HYPERLINK("http://trademark.i-assist.jp/data/china/image_1915th/81059190.pdf","81059190")</f>
        <v>81059190</v>
      </c>
      <c r="F1602" s="9" t="s">
        <v>4427</v>
      </c>
      <c r="G1602" s="9" t="s">
        <v>3240</v>
      </c>
      <c r="H1602" s="9" t="s">
        <v>4428</v>
      </c>
      <c r="I1602" s="10">
        <v>45558</v>
      </c>
    </row>
    <row r="1603" spans="1:9" x14ac:dyDescent="0.15">
      <c r="A1603" s="9">
        <v>1602</v>
      </c>
      <c r="B1603" s="9" t="s">
        <v>9</v>
      </c>
      <c r="C1603" s="9">
        <v>1915</v>
      </c>
      <c r="D1603" s="10">
        <v>45639</v>
      </c>
      <c r="E1603" s="13" t="str">
        <f>+HYPERLINK("http://trademark.i-assist.jp/data/china/image_1915th/81059235.pdf","81059235")</f>
        <v>81059235</v>
      </c>
      <c r="F1603" s="9" t="s">
        <v>4429</v>
      </c>
      <c r="G1603" s="12" t="s">
        <v>4430</v>
      </c>
      <c r="H1603" s="12" t="s">
        <v>4431</v>
      </c>
      <c r="I1603" s="10">
        <v>45558</v>
      </c>
    </row>
    <row r="1604" spans="1:9" x14ac:dyDescent="0.15">
      <c r="A1604" s="9">
        <v>1603</v>
      </c>
      <c r="B1604" s="9" t="s">
        <v>9</v>
      </c>
      <c r="C1604" s="9">
        <v>1915</v>
      </c>
      <c r="D1604" s="10">
        <v>45639</v>
      </c>
      <c r="E1604" s="13" t="str">
        <f>+HYPERLINK("http://trademark.i-assist.jp/data/china/image_1915th/81059336.pdf","81059336")</f>
        <v>81059336</v>
      </c>
      <c r="F1604" s="9" t="s">
        <v>4432</v>
      </c>
      <c r="G1604" s="9" t="s">
        <v>4433</v>
      </c>
      <c r="H1604" s="9" t="s">
        <v>4434</v>
      </c>
      <c r="I1604" s="10">
        <v>45558</v>
      </c>
    </row>
    <row r="1605" spans="1:9" x14ac:dyDescent="0.15">
      <c r="A1605" s="9">
        <v>1604</v>
      </c>
      <c r="B1605" s="9" t="s">
        <v>9</v>
      </c>
      <c r="C1605" s="9">
        <v>1915</v>
      </c>
      <c r="D1605" s="10">
        <v>45639</v>
      </c>
      <c r="E1605" s="13" t="str">
        <f>+HYPERLINK("http://trademark.i-assist.jp/data/china/image_1915th/81059435.pdf","81059435")</f>
        <v>81059435</v>
      </c>
      <c r="F1605" s="9" t="s">
        <v>4435</v>
      </c>
      <c r="G1605" s="9" t="s">
        <v>4436</v>
      </c>
      <c r="H1605" s="9" t="s">
        <v>4437</v>
      </c>
      <c r="I1605" s="10">
        <v>45558</v>
      </c>
    </row>
    <row r="1606" spans="1:9" x14ac:dyDescent="0.15">
      <c r="A1606" s="9">
        <v>1605</v>
      </c>
      <c r="B1606" s="9" t="s">
        <v>9</v>
      </c>
      <c r="C1606" s="9">
        <v>1915</v>
      </c>
      <c r="D1606" s="10">
        <v>45639</v>
      </c>
      <c r="E1606" s="13" t="str">
        <f>+HYPERLINK("http://trademark.i-assist.jp/data/china/image_1915th/81059496.pdf","81059496")</f>
        <v>81059496</v>
      </c>
      <c r="F1606" s="9" t="s">
        <v>4438</v>
      </c>
      <c r="G1606" s="9" t="s">
        <v>4439</v>
      </c>
      <c r="H1606" s="9" t="s">
        <v>4440</v>
      </c>
      <c r="I1606" s="10">
        <v>45558</v>
      </c>
    </row>
    <row r="1607" spans="1:9" x14ac:dyDescent="0.15">
      <c r="A1607" s="9">
        <v>1606</v>
      </c>
      <c r="B1607" s="9" t="s">
        <v>9</v>
      </c>
      <c r="C1607" s="9">
        <v>1915</v>
      </c>
      <c r="D1607" s="10">
        <v>45639</v>
      </c>
      <c r="E1607" s="13" t="str">
        <f>+HYPERLINK("http://trademark.i-assist.jp/data/china/image_1915th/81059566.pdf","81059566")</f>
        <v>81059566</v>
      </c>
      <c r="F1607" s="9" t="s">
        <v>4441</v>
      </c>
      <c r="G1607" s="9" t="s">
        <v>4364</v>
      </c>
      <c r="H1607" s="9" t="s">
        <v>4442</v>
      </c>
      <c r="I1607" s="10">
        <v>45558</v>
      </c>
    </row>
    <row r="1608" spans="1:9" x14ac:dyDescent="0.15">
      <c r="A1608" s="9">
        <v>1607</v>
      </c>
      <c r="B1608" s="9" t="s">
        <v>9</v>
      </c>
      <c r="C1608" s="9">
        <v>1915</v>
      </c>
      <c r="D1608" s="10">
        <v>45639</v>
      </c>
      <c r="E1608" s="13" t="str">
        <f>+HYPERLINK("http://trademark.i-assist.jp/data/china/image_1915th/81059734.pdf","81059734")</f>
        <v>81059734</v>
      </c>
      <c r="F1608" s="9" t="s">
        <v>4443</v>
      </c>
      <c r="G1608" s="12" t="s">
        <v>4444</v>
      </c>
      <c r="H1608" s="9" t="s">
        <v>4445</v>
      </c>
      <c r="I1608" s="10">
        <v>45558</v>
      </c>
    </row>
    <row r="1609" spans="1:9" x14ac:dyDescent="0.15">
      <c r="A1609" s="9">
        <v>1608</v>
      </c>
      <c r="B1609" s="9" t="s">
        <v>9</v>
      </c>
      <c r="C1609" s="9">
        <v>1915</v>
      </c>
      <c r="D1609" s="10">
        <v>45639</v>
      </c>
      <c r="E1609" s="13" t="str">
        <f>+HYPERLINK("http://trademark.i-assist.jp/data/china/image_1915th/81059881.pdf","81059881")</f>
        <v>81059881</v>
      </c>
      <c r="F1609" s="9" t="s">
        <v>4446</v>
      </c>
      <c r="G1609" s="9" t="s">
        <v>4447</v>
      </c>
      <c r="H1609" s="9" t="s">
        <v>4448</v>
      </c>
      <c r="I1609" s="10">
        <v>45558</v>
      </c>
    </row>
    <row r="1610" spans="1:9" x14ac:dyDescent="0.15">
      <c r="A1610" s="9">
        <v>1609</v>
      </c>
      <c r="B1610" s="9" t="s">
        <v>9</v>
      </c>
      <c r="C1610" s="9">
        <v>1915</v>
      </c>
      <c r="D1610" s="10">
        <v>45639</v>
      </c>
      <c r="E1610" s="13" t="str">
        <f>+HYPERLINK("http://trademark.i-assist.jp/data/china/image_1915th/81060209.pdf","81060209")</f>
        <v>81060209</v>
      </c>
      <c r="F1610" s="9" t="s">
        <v>4449</v>
      </c>
      <c r="G1610" s="9" t="s">
        <v>4355</v>
      </c>
      <c r="H1610" s="9" t="s">
        <v>4450</v>
      </c>
      <c r="I1610" s="10">
        <v>45558</v>
      </c>
    </row>
    <row r="1611" spans="1:9" x14ac:dyDescent="0.15">
      <c r="A1611" s="9">
        <v>1610</v>
      </c>
      <c r="B1611" s="9" t="s">
        <v>9</v>
      </c>
      <c r="C1611" s="9">
        <v>1915</v>
      </c>
      <c r="D1611" s="10">
        <v>45639</v>
      </c>
      <c r="E1611" s="13" t="str">
        <f>+HYPERLINK("http://trademark.i-assist.jp/data/china/image_1915th/81060293.pdf","81060293")</f>
        <v>81060293</v>
      </c>
      <c r="F1611" s="12" t="s">
        <v>4451</v>
      </c>
      <c r="G1611" s="9" t="s">
        <v>45</v>
      </c>
      <c r="H1611" s="9" t="s">
        <v>4452</v>
      </c>
      <c r="I1611" s="10">
        <v>45558</v>
      </c>
    </row>
    <row r="1612" spans="1:9" x14ac:dyDescent="0.15">
      <c r="A1612" s="9">
        <v>1611</v>
      </c>
      <c r="B1612" s="9" t="s">
        <v>9</v>
      </c>
      <c r="C1612" s="9">
        <v>1915</v>
      </c>
      <c r="D1612" s="10">
        <v>45639</v>
      </c>
      <c r="E1612" s="13" t="str">
        <f>+HYPERLINK("http://trademark.i-assist.jp/data/china/image_1915th/81060316.pdf","81060316")</f>
        <v>81060316</v>
      </c>
      <c r="F1612" s="9" t="s">
        <v>4453</v>
      </c>
      <c r="G1612" s="9" t="s">
        <v>4194</v>
      </c>
      <c r="H1612" s="9" t="s">
        <v>4454</v>
      </c>
      <c r="I1612" s="10">
        <v>45558</v>
      </c>
    </row>
    <row r="1613" spans="1:9" x14ac:dyDescent="0.15">
      <c r="A1613" s="9">
        <v>1612</v>
      </c>
      <c r="B1613" s="9" t="s">
        <v>9</v>
      </c>
      <c r="C1613" s="9">
        <v>1915</v>
      </c>
      <c r="D1613" s="10">
        <v>45639</v>
      </c>
      <c r="E1613" s="13" t="str">
        <f>+HYPERLINK("http://trademark.i-assist.jp/data/china/image_1915th/81060699.pdf","81060699")</f>
        <v>81060699</v>
      </c>
      <c r="F1613" s="9" t="s">
        <v>4425</v>
      </c>
      <c r="G1613" s="9" t="s">
        <v>4271</v>
      </c>
      <c r="H1613" s="9" t="s">
        <v>4455</v>
      </c>
      <c r="I1613" s="10">
        <v>45558</v>
      </c>
    </row>
    <row r="1614" spans="1:9" x14ac:dyDescent="0.15">
      <c r="A1614" s="9">
        <v>1613</v>
      </c>
      <c r="B1614" s="9" t="s">
        <v>9</v>
      </c>
      <c r="C1614" s="9">
        <v>1915</v>
      </c>
      <c r="D1614" s="10">
        <v>45639</v>
      </c>
      <c r="E1614" s="13" t="str">
        <f>+HYPERLINK("http://trademark.i-assist.jp/data/china/image_1915th/81060760.pdf","81060760")</f>
        <v>81060760</v>
      </c>
      <c r="F1614" s="9" t="s">
        <v>4456</v>
      </c>
      <c r="G1614" s="9" t="s">
        <v>4457</v>
      </c>
      <c r="H1614" s="9" t="s">
        <v>4458</v>
      </c>
      <c r="I1614" s="10">
        <v>45558</v>
      </c>
    </row>
    <row r="1615" spans="1:9" x14ac:dyDescent="0.15">
      <c r="A1615" s="9">
        <v>1614</v>
      </c>
      <c r="B1615" s="9" t="s">
        <v>9</v>
      </c>
      <c r="C1615" s="9">
        <v>1915</v>
      </c>
      <c r="D1615" s="10">
        <v>45639</v>
      </c>
      <c r="E1615" s="13" t="str">
        <f>+HYPERLINK("http://trademark.i-assist.jp/data/china/image_1915th/81060846.pdf","81060846")</f>
        <v>81060846</v>
      </c>
      <c r="F1615" s="9" t="s">
        <v>4459</v>
      </c>
      <c r="G1615" s="9" t="s">
        <v>4460</v>
      </c>
      <c r="H1615" s="9" t="s">
        <v>4461</v>
      </c>
      <c r="I1615" s="10">
        <v>45558</v>
      </c>
    </row>
    <row r="1616" spans="1:9" x14ac:dyDescent="0.15">
      <c r="A1616" s="9">
        <v>1615</v>
      </c>
      <c r="B1616" s="9" t="s">
        <v>9</v>
      </c>
      <c r="C1616" s="9">
        <v>1915</v>
      </c>
      <c r="D1616" s="10">
        <v>45639</v>
      </c>
      <c r="E1616" s="13" t="str">
        <f>+HYPERLINK("http://trademark.i-assist.jp/data/china/image_1915th/81061371.pdf","81061371")</f>
        <v>81061371</v>
      </c>
      <c r="F1616" s="12" t="s">
        <v>4462</v>
      </c>
      <c r="G1616" s="9" t="s">
        <v>4194</v>
      </c>
      <c r="H1616" s="9" t="s">
        <v>4463</v>
      </c>
      <c r="I1616" s="10">
        <v>45558</v>
      </c>
    </row>
    <row r="1617" spans="1:9" x14ac:dyDescent="0.15">
      <c r="A1617" s="9">
        <v>1616</v>
      </c>
      <c r="B1617" s="9" t="s">
        <v>9</v>
      </c>
      <c r="C1617" s="9">
        <v>1915</v>
      </c>
      <c r="D1617" s="10">
        <v>45639</v>
      </c>
      <c r="E1617" s="13" t="str">
        <f>+HYPERLINK("http://trademark.i-assist.jp/data/china/image_1915th/81061487.pdf","81061487")</f>
        <v>81061487</v>
      </c>
      <c r="F1617" s="9" t="s">
        <v>4456</v>
      </c>
      <c r="G1617" s="9" t="s">
        <v>4457</v>
      </c>
      <c r="H1617" s="9" t="s">
        <v>4464</v>
      </c>
      <c r="I1617" s="10">
        <v>45558</v>
      </c>
    </row>
    <row r="1618" spans="1:9" x14ac:dyDescent="0.15">
      <c r="A1618" s="9">
        <v>1617</v>
      </c>
      <c r="B1618" s="9" t="s">
        <v>9</v>
      </c>
      <c r="C1618" s="9">
        <v>1915</v>
      </c>
      <c r="D1618" s="10">
        <v>45639</v>
      </c>
      <c r="E1618" s="13" t="str">
        <f>+HYPERLINK("http://trademark.i-assist.jp/data/china/image_1915th/81062807.pdf","81062807")</f>
        <v>81062807</v>
      </c>
      <c r="F1618" s="9" t="s">
        <v>4465</v>
      </c>
      <c r="G1618" s="9" t="s">
        <v>4466</v>
      </c>
      <c r="H1618" s="9" t="s">
        <v>4467</v>
      </c>
      <c r="I1618" s="10">
        <v>45558</v>
      </c>
    </row>
    <row r="1619" spans="1:9" x14ac:dyDescent="0.15">
      <c r="A1619" s="9">
        <v>1618</v>
      </c>
      <c r="B1619" s="9" t="s">
        <v>9</v>
      </c>
      <c r="C1619" s="9">
        <v>1915</v>
      </c>
      <c r="D1619" s="10">
        <v>45639</v>
      </c>
      <c r="E1619" s="13" t="str">
        <f>+HYPERLINK("http://trademark.i-assist.jp/data/china/image_1915th/81063003.pdf","81063003")</f>
        <v>81063003</v>
      </c>
      <c r="F1619" s="9" t="s">
        <v>4468</v>
      </c>
      <c r="G1619" s="12" t="s">
        <v>4385</v>
      </c>
      <c r="H1619" s="9" t="s">
        <v>4469</v>
      </c>
      <c r="I1619" s="10">
        <v>45558</v>
      </c>
    </row>
    <row r="1620" spans="1:9" x14ac:dyDescent="0.15">
      <c r="A1620" s="9">
        <v>1619</v>
      </c>
      <c r="B1620" s="9" t="s">
        <v>9</v>
      </c>
      <c r="C1620" s="9">
        <v>1915</v>
      </c>
      <c r="D1620" s="10">
        <v>45639</v>
      </c>
      <c r="E1620" s="13" t="str">
        <f>+HYPERLINK("http://trademark.i-assist.jp/data/china/image_1915th/81063071.pdf","81063071")</f>
        <v>81063071</v>
      </c>
      <c r="F1620" s="9" t="s">
        <v>4470</v>
      </c>
      <c r="G1620" s="9" t="s">
        <v>4471</v>
      </c>
      <c r="H1620" s="12" t="s">
        <v>4472</v>
      </c>
      <c r="I1620" s="10">
        <v>45558</v>
      </c>
    </row>
    <row r="1621" spans="1:9" x14ac:dyDescent="0.15">
      <c r="A1621" s="9">
        <v>1620</v>
      </c>
      <c r="B1621" s="9" t="s">
        <v>9</v>
      </c>
      <c r="C1621" s="9">
        <v>1915</v>
      </c>
      <c r="D1621" s="10">
        <v>45639</v>
      </c>
      <c r="E1621" s="13" t="str">
        <f>+HYPERLINK("http://trademark.i-assist.jp/data/china/image_1915th/81063439.pdf","81063439")</f>
        <v>81063439</v>
      </c>
      <c r="F1621" s="9" t="s">
        <v>4473</v>
      </c>
      <c r="G1621" s="12" t="s">
        <v>4474</v>
      </c>
      <c r="H1621" s="9" t="s">
        <v>4475</v>
      </c>
      <c r="I1621" s="10">
        <v>45558</v>
      </c>
    </row>
    <row r="1622" spans="1:9" x14ac:dyDescent="0.15">
      <c r="A1622" s="9">
        <v>1621</v>
      </c>
      <c r="B1622" s="9" t="s">
        <v>9</v>
      </c>
      <c r="C1622" s="9">
        <v>1915</v>
      </c>
      <c r="D1622" s="10">
        <v>45639</v>
      </c>
      <c r="E1622" s="13" t="str">
        <f>+HYPERLINK("http://trademark.i-assist.jp/data/china/image_1915th/81063530.pdf","81063530")</f>
        <v>81063530</v>
      </c>
      <c r="F1622" s="9" t="s">
        <v>4476</v>
      </c>
      <c r="G1622" s="9" t="s">
        <v>3515</v>
      </c>
      <c r="H1622" s="9" t="s">
        <v>4477</v>
      </c>
      <c r="I1622" s="10">
        <v>45558</v>
      </c>
    </row>
    <row r="1623" spans="1:9" x14ac:dyDescent="0.15">
      <c r="A1623" s="9">
        <v>1622</v>
      </c>
      <c r="B1623" s="9" t="s">
        <v>9</v>
      </c>
      <c r="C1623" s="9">
        <v>1915</v>
      </c>
      <c r="D1623" s="10">
        <v>45639</v>
      </c>
      <c r="E1623" s="13" t="str">
        <f>+HYPERLINK("http://trademark.i-assist.jp/data/china/image_1915th/81063914.pdf","81063914")</f>
        <v>81063914</v>
      </c>
      <c r="F1623" s="9" t="s">
        <v>4478</v>
      </c>
      <c r="G1623" s="9" t="s">
        <v>4479</v>
      </c>
      <c r="H1623" s="9" t="s">
        <v>4480</v>
      </c>
      <c r="I1623" s="10">
        <v>45558</v>
      </c>
    </row>
    <row r="1624" spans="1:9" x14ac:dyDescent="0.15">
      <c r="A1624" s="9">
        <v>1623</v>
      </c>
      <c r="B1624" s="9" t="s">
        <v>9</v>
      </c>
      <c r="C1624" s="9">
        <v>1915</v>
      </c>
      <c r="D1624" s="10">
        <v>45639</v>
      </c>
      <c r="E1624" s="13" t="str">
        <f>+HYPERLINK("http://trademark.i-assist.jp/data/china/image_1915th/81064132.pdf","81064132")</f>
        <v>81064132</v>
      </c>
      <c r="F1624" s="12" t="s">
        <v>4481</v>
      </c>
      <c r="G1624" s="12" t="s">
        <v>4294</v>
      </c>
      <c r="H1624" s="9" t="s">
        <v>4482</v>
      </c>
      <c r="I1624" s="10">
        <v>45558</v>
      </c>
    </row>
    <row r="1625" spans="1:9" x14ac:dyDescent="0.15">
      <c r="A1625" s="9">
        <v>1624</v>
      </c>
      <c r="B1625" s="9" t="s">
        <v>9</v>
      </c>
      <c r="C1625" s="9">
        <v>1915</v>
      </c>
      <c r="D1625" s="10">
        <v>45639</v>
      </c>
      <c r="E1625" s="13" t="str">
        <f>+HYPERLINK("http://trademark.i-assist.jp/data/china/image_1915th/81064246.pdf","81064246")</f>
        <v>81064246</v>
      </c>
      <c r="F1625" s="12" t="s">
        <v>4270</v>
      </c>
      <c r="G1625" s="9" t="s">
        <v>4271</v>
      </c>
      <c r="H1625" s="9" t="s">
        <v>4483</v>
      </c>
      <c r="I1625" s="10">
        <v>45558</v>
      </c>
    </row>
    <row r="1626" spans="1:9" x14ac:dyDescent="0.15">
      <c r="A1626" s="9">
        <v>1625</v>
      </c>
      <c r="B1626" s="9" t="s">
        <v>9</v>
      </c>
      <c r="C1626" s="9">
        <v>1915</v>
      </c>
      <c r="D1626" s="10">
        <v>45639</v>
      </c>
      <c r="E1626" s="13" t="str">
        <f>+HYPERLINK("http://trademark.i-assist.jp/data/china/image_1915th/81064660.pdf","81064660")</f>
        <v>81064660</v>
      </c>
      <c r="F1626" s="12" t="s">
        <v>4484</v>
      </c>
      <c r="G1626" s="9" t="s">
        <v>4485</v>
      </c>
      <c r="H1626" s="9" t="s">
        <v>4486</v>
      </c>
      <c r="I1626" s="10">
        <v>45558</v>
      </c>
    </row>
    <row r="1627" spans="1:9" x14ac:dyDescent="0.15">
      <c r="A1627" s="9">
        <v>1626</v>
      </c>
      <c r="B1627" s="9" t="s">
        <v>9</v>
      </c>
      <c r="C1627" s="9">
        <v>1915</v>
      </c>
      <c r="D1627" s="10">
        <v>45639</v>
      </c>
      <c r="E1627" s="13" t="str">
        <f>+HYPERLINK("http://trademark.i-assist.jp/data/china/image_1915th/81064981.pdf","81064981")</f>
        <v>81064981</v>
      </c>
      <c r="F1627" s="12" t="s">
        <v>4487</v>
      </c>
      <c r="G1627" s="9" t="s">
        <v>4231</v>
      </c>
      <c r="H1627" s="9" t="s">
        <v>4488</v>
      </c>
      <c r="I1627" s="10">
        <v>45558</v>
      </c>
    </row>
    <row r="1628" spans="1:9" x14ac:dyDescent="0.15">
      <c r="A1628" s="9">
        <v>1627</v>
      </c>
      <c r="B1628" s="9" t="s">
        <v>9</v>
      </c>
      <c r="C1628" s="9">
        <v>1915</v>
      </c>
      <c r="D1628" s="10">
        <v>45639</v>
      </c>
      <c r="E1628" s="13" t="str">
        <f>+HYPERLINK("http://trademark.i-assist.jp/data/china/image_1915th/81065128.pdf","81065128")</f>
        <v>81065128</v>
      </c>
      <c r="F1628" s="9" t="s">
        <v>4489</v>
      </c>
      <c r="G1628" s="9" t="s">
        <v>4490</v>
      </c>
      <c r="H1628" s="9" t="s">
        <v>4491</v>
      </c>
      <c r="I1628" s="10">
        <v>45558</v>
      </c>
    </row>
    <row r="1629" spans="1:9" x14ac:dyDescent="0.15">
      <c r="A1629" s="9">
        <v>1628</v>
      </c>
      <c r="B1629" s="9" t="s">
        <v>9</v>
      </c>
      <c r="C1629" s="9">
        <v>1915</v>
      </c>
      <c r="D1629" s="10">
        <v>45639</v>
      </c>
      <c r="E1629" s="13" t="str">
        <f>+HYPERLINK("http://trademark.i-assist.jp/data/china/image_1915th/81065167.pdf","81065167")</f>
        <v>81065167</v>
      </c>
      <c r="F1629" s="12" t="s">
        <v>4492</v>
      </c>
      <c r="G1629" s="9" t="s">
        <v>4479</v>
      </c>
      <c r="H1629" s="9" t="s">
        <v>4493</v>
      </c>
      <c r="I1629" s="10">
        <v>45558</v>
      </c>
    </row>
    <row r="1630" spans="1:9" x14ac:dyDescent="0.15">
      <c r="A1630" s="9">
        <v>1629</v>
      </c>
      <c r="B1630" s="9" t="s">
        <v>9</v>
      </c>
      <c r="C1630" s="9">
        <v>1915</v>
      </c>
      <c r="D1630" s="10">
        <v>45639</v>
      </c>
      <c r="E1630" s="13" t="str">
        <f>+HYPERLINK("http://trademark.i-assist.jp/data/china/image_1915th/81065181.pdf","81065181")</f>
        <v>81065181</v>
      </c>
      <c r="F1630" s="9" t="s">
        <v>4494</v>
      </c>
      <c r="G1630" s="9" t="s">
        <v>4495</v>
      </c>
      <c r="H1630" s="12" t="s">
        <v>4496</v>
      </c>
      <c r="I1630" s="10">
        <v>45558</v>
      </c>
    </row>
    <row r="1631" spans="1:9" x14ac:dyDescent="0.15">
      <c r="A1631" s="9">
        <v>1630</v>
      </c>
      <c r="B1631" s="9" t="s">
        <v>9</v>
      </c>
      <c r="C1631" s="9">
        <v>1915</v>
      </c>
      <c r="D1631" s="10">
        <v>45639</v>
      </c>
      <c r="E1631" s="13" t="str">
        <f>+HYPERLINK("http://trademark.i-assist.jp/data/china/image_1915th/81065196.pdf","81065196")</f>
        <v>81065196</v>
      </c>
      <c r="F1631" s="9" t="s">
        <v>4497</v>
      </c>
      <c r="G1631" s="9" t="s">
        <v>4498</v>
      </c>
      <c r="H1631" s="9" t="s">
        <v>4499</v>
      </c>
      <c r="I1631" s="10">
        <v>45558</v>
      </c>
    </row>
    <row r="1632" spans="1:9" x14ac:dyDescent="0.15">
      <c r="A1632" s="9">
        <v>1631</v>
      </c>
      <c r="B1632" s="9" t="s">
        <v>9</v>
      </c>
      <c r="C1632" s="9">
        <v>1915</v>
      </c>
      <c r="D1632" s="10">
        <v>45639</v>
      </c>
      <c r="E1632" s="13" t="str">
        <f>+HYPERLINK("http://trademark.i-assist.jp/data/china/image_1915th/81065346.pdf","81065346")</f>
        <v>81065346</v>
      </c>
      <c r="F1632" s="9" t="s">
        <v>4500</v>
      </c>
      <c r="G1632" s="9" t="s">
        <v>4501</v>
      </c>
      <c r="H1632" s="9" t="s">
        <v>4502</v>
      </c>
      <c r="I1632" s="10">
        <v>45558</v>
      </c>
    </row>
    <row r="1633" spans="1:9" x14ac:dyDescent="0.15">
      <c r="A1633" s="9">
        <v>1632</v>
      </c>
      <c r="B1633" s="9" t="s">
        <v>9</v>
      </c>
      <c r="C1633" s="9">
        <v>1915</v>
      </c>
      <c r="D1633" s="10">
        <v>45639</v>
      </c>
      <c r="E1633" s="13" t="str">
        <f>+HYPERLINK("http://trademark.i-assist.jp/data/china/image_1915th/81065520.pdf","81065520")</f>
        <v>81065520</v>
      </c>
      <c r="F1633" s="12" t="s">
        <v>15</v>
      </c>
      <c r="G1633" s="12" t="s">
        <v>4503</v>
      </c>
      <c r="H1633" s="9" t="s">
        <v>4504</v>
      </c>
      <c r="I1633" s="10">
        <v>45558</v>
      </c>
    </row>
    <row r="1634" spans="1:9" x14ac:dyDescent="0.15">
      <c r="A1634" s="9">
        <v>1633</v>
      </c>
      <c r="B1634" s="9" t="s">
        <v>9</v>
      </c>
      <c r="C1634" s="9">
        <v>1915</v>
      </c>
      <c r="D1634" s="10">
        <v>45639</v>
      </c>
      <c r="E1634" s="13" t="str">
        <f>+HYPERLINK("http://trademark.i-assist.jp/data/china/image_1915th/81065765.pdf","81065765")</f>
        <v>81065765</v>
      </c>
      <c r="F1634" s="9" t="s">
        <v>4505</v>
      </c>
      <c r="G1634" s="9" t="s">
        <v>4506</v>
      </c>
      <c r="H1634" s="9" t="s">
        <v>4507</v>
      </c>
      <c r="I1634" s="10">
        <v>45558</v>
      </c>
    </row>
    <row r="1635" spans="1:9" x14ac:dyDescent="0.15">
      <c r="A1635" s="9">
        <v>1634</v>
      </c>
      <c r="B1635" s="9" t="s">
        <v>9</v>
      </c>
      <c r="C1635" s="9">
        <v>1915</v>
      </c>
      <c r="D1635" s="10">
        <v>45639</v>
      </c>
      <c r="E1635" s="13" t="str">
        <f>+HYPERLINK("http://trademark.i-assist.jp/data/china/image_1915th/81065810.pdf","81065810")</f>
        <v>81065810</v>
      </c>
      <c r="F1635" s="12" t="s">
        <v>15</v>
      </c>
      <c r="G1635" s="9" t="s">
        <v>4508</v>
      </c>
      <c r="H1635" s="9" t="s">
        <v>4509</v>
      </c>
      <c r="I1635" s="10">
        <v>45558</v>
      </c>
    </row>
    <row r="1636" spans="1:9" x14ac:dyDescent="0.15">
      <c r="A1636" s="9">
        <v>1635</v>
      </c>
      <c r="B1636" s="9" t="s">
        <v>9</v>
      </c>
      <c r="C1636" s="9">
        <v>1915</v>
      </c>
      <c r="D1636" s="10">
        <v>45639</v>
      </c>
      <c r="E1636" s="13" t="str">
        <f>+HYPERLINK("http://trademark.i-assist.jp/data/china/image_1915th/81065931.pdf","81065931")</f>
        <v>81065931</v>
      </c>
      <c r="F1636" s="9" t="s">
        <v>4510</v>
      </c>
      <c r="G1636" s="9" t="s">
        <v>4511</v>
      </c>
      <c r="H1636" s="9" t="s">
        <v>4512</v>
      </c>
      <c r="I1636" s="10">
        <v>45558</v>
      </c>
    </row>
    <row r="1637" spans="1:9" x14ac:dyDescent="0.15">
      <c r="A1637" s="9">
        <v>1636</v>
      </c>
      <c r="B1637" s="9" t="s">
        <v>9</v>
      </c>
      <c r="C1637" s="9">
        <v>1915</v>
      </c>
      <c r="D1637" s="10">
        <v>45639</v>
      </c>
      <c r="E1637" s="13" t="str">
        <f>+HYPERLINK("http://trademark.i-assist.jp/data/china/image_1915th/81066435.pdf","81066435")</f>
        <v>81066435</v>
      </c>
      <c r="F1637" s="12" t="s">
        <v>4513</v>
      </c>
      <c r="G1637" s="9" t="s">
        <v>4514</v>
      </c>
      <c r="H1637" s="9" t="s">
        <v>4515</v>
      </c>
      <c r="I1637" s="10">
        <v>45558</v>
      </c>
    </row>
    <row r="1638" spans="1:9" x14ac:dyDescent="0.15">
      <c r="A1638" s="9">
        <v>1637</v>
      </c>
      <c r="B1638" s="9" t="s">
        <v>9</v>
      </c>
      <c r="C1638" s="9">
        <v>1915</v>
      </c>
      <c r="D1638" s="10">
        <v>45639</v>
      </c>
      <c r="E1638" s="13" t="str">
        <f>+HYPERLINK("http://trademark.i-assist.jp/data/china/image_1915th/81066670.pdf","81066670")</f>
        <v>81066670</v>
      </c>
      <c r="F1638" s="9" t="s">
        <v>4516</v>
      </c>
      <c r="G1638" s="9" t="s">
        <v>4517</v>
      </c>
      <c r="H1638" s="9" t="s">
        <v>4518</v>
      </c>
      <c r="I1638" s="10">
        <v>45558</v>
      </c>
    </row>
    <row r="1639" spans="1:9" x14ac:dyDescent="0.15">
      <c r="A1639" s="9">
        <v>1638</v>
      </c>
      <c r="B1639" s="9" t="s">
        <v>9</v>
      </c>
      <c r="C1639" s="9">
        <v>1915</v>
      </c>
      <c r="D1639" s="10">
        <v>45639</v>
      </c>
      <c r="E1639" s="13" t="str">
        <f>+HYPERLINK("http://trademark.i-assist.jp/data/china/image_1915th/81066800.pdf","81066800")</f>
        <v>81066800</v>
      </c>
      <c r="F1639" s="9" t="s">
        <v>4519</v>
      </c>
      <c r="G1639" s="9" t="s">
        <v>4520</v>
      </c>
      <c r="H1639" s="12" t="s">
        <v>4521</v>
      </c>
      <c r="I1639" s="10">
        <v>45558</v>
      </c>
    </row>
    <row r="1640" spans="1:9" x14ac:dyDescent="0.15">
      <c r="A1640" s="9">
        <v>1639</v>
      </c>
      <c r="B1640" s="9" t="s">
        <v>9</v>
      </c>
      <c r="C1640" s="9">
        <v>1915</v>
      </c>
      <c r="D1640" s="10">
        <v>45639</v>
      </c>
      <c r="E1640" s="13" t="str">
        <f>+HYPERLINK("http://trademark.i-assist.jp/data/china/image_1915th/81066820.pdf","81066820")</f>
        <v>81066820</v>
      </c>
      <c r="F1640" s="9" t="s">
        <v>4522</v>
      </c>
      <c r="G1640" s="12" t="s">
        <v>2864</v>
      </c>
      <c r="H1640" s="9" t="s">
        <v>4523</v>
      </c>
      <c r="I1640" s="10">
        <v>45558</v>
      </c>
    </row>
    <row r="1641" spans="1:9" x14ac:dyDescent="0.15">
      <c r="A1641" s="9">
        <v>1640</v>
      </c>
      <c r="B1641" s="9" t="s">
        <v>9</v>
      </c>
      <c r="C1641" s="9">
        <v>1915</v>
      </c>
      <c r="D1641" s="10">
        <v>45639</v>
      </c>
      <c r="E1641" s="13" t="str">
        <f>+HYPERLINK("http://trademark.i-assist.jp/data/china/image_1915th/81066844.pdf","81066844")</f>
        <v>81066844</v>
      </c>
      <c r="F1641" s="9" t="s">
        <v>4524</v>
      </c>
      <c r="G1641" s="9" t="s">
        <v>4525</v>
      </c>
      <c r="H1641" s="9" t="s">
        <v>4526</v>
      </c>
      <c r="I1641" s="10">
        <v>45558</v>
      </c>
    </row>
    <row r="1642" spans="1:9" x14ac:dyDescent="0.15">
      <c r="A1642" s="9">
        <v>1641</v>
      </c>
      <c r="B1642" s="9" t="s">
        <v>9</v>
      </c>
      <c r="C1642" s="9">
        <v>1915</v>
      </c>
      <c r="D1642" s="10">
        <v>45639</v>
      </c>
      <c r="E1642" s="13" t="str">
        <f>+HYPERLINK("http://trademark.i-assist.jp/data/china/image_1915th/81067006.pdf","81067006")</f>
        <v>81067006</v>
      </c>
      <c r="F1642" s="9" t="s">
        <v>4527</v>
      </c>
      <c r="G1642" s="9" t="s">
        <v>4528</v>
      </c>
      <c r="H1642" s="9" t="s">
        <v>4529</v>
      </c>
      <c r="I1642" s="10">
        <v>45558</v>
      </c>
    </row>
    <row r="1643" spans="1:9" x14ac:dyDescent="0.15">
      <c r="A1643" s="9">
        <v>1642</v>
      </c>
      <c r="B1643" s="9" t="s">
        <v>9</v>
      </c>
      <c r="C1643" s="9">
        <v>1915</v>
      </c>
      <c r="D1643" s="10">
        <v>45639</v>
      </c>
      <c r="E1643" s="13" t="str">
        <f>+HYPERLINK("http://trademark.i-assist.jp/data/china/image_1915th/81067093.pdf","81067093")</f>
        <v>81067093</v>
      </c>
      <c r="F1643" s="9" t="s">
        <v>4530</v>
      </c>
      <c r="G1643" s="9" t="s">
        <v>4531</v>
      </c>
      <c r="H1643" s="9" t="s">
        <v>4532</v>
      </c>
      <c r="I1643" s="10">
        <v>45558</v>
      </c>
    </row>
    <row r="1644" spans="1:9" x14ac:dyDescent="0.15">
      <c r="A1644" s="9">
        <v>1643</v>
      </c>
      <c r="B1644" s="9" t="s">
        <v>9</v>
      </c>
      <c r="C1644" s="9">
        <v>1915</v>
      </c>
      <c r="D1644" s="10">
        <v>45639</v>
      </c>
      <c r="E1644" s="13" t="str">
        <f>+HYPERLINK("http://trademark.i-assist.jp/data/china/image_1915th/81067150.pdf","81067150")</f>
        <v>81067150</v>
      </c>
      <c r="F1644" s="9" t="s">
        <v>4533</v>
      </c>
      <c r="G1644" s="9" t="s">
        <v>4231</v>
      </c>
      <c r="H1644" s="9" t="s">
        <v>4534</v>
      </c>
      <c r="I1644" s="10">
        <v>45558</v>
      </c>
    </row>
    <row r="1645" spans="1:9" x14ac:dyDescent="0.15">
      <c r="A1645" s="9">
        <v>1644</v>
      </c>
      <c r="B1645" s="9" t="s">
        <v>9</v>
      </c>
      <c r="C1645" s="9">
        <v>1915</v>
      </c>
      <c r="D1645" s="10">
        <v>45639</v>
      </c>
      <c r="E1645" s="13" t="str">
        <f>+HYPERLINK("http://trademark.i-assist.jp/data/china/image_1915th/81067200.pdf","81067200")</f>
        <v>81067200</v>
      </c>
      <c r="F1645" s="9" t="s">
        <v>4535</v>
      </c>
      <c r="G1645" s="9" t="s">
        <v>4536</v>
      </c>
      <c r="H1645" s="12" t="s">
        <v>4537</v>
      </c>
      <c r="I1645" s="10">
        <v>45558</v>
      </c>
    </row>
    <row r="1646" spans="1:9" x14ac:dyDescent="0.15">
      <c r="A1646" s="9">
        <v>1645</v>
      </c>
      <c r="B1646" s="9" t="s">
        <v>9</v>
      </c>
      <c r="C1646" s="9">
        <v>1915</v>
      </c>
      <c r="D1646" s="10">
        <v>45639</v>
      </c>
      <c r="E1646" s="13" t="str">
        <f>+HYPERLINK("http://trademark.i-assist.jp/data/china/image_1915th/81067288.pdf","81067288")</f>
        <v>81067288</v>
      </c>
      <c r="F1646" s="9" t="s">
        <v>4538</v>
      </c>
      <c r="G1646" s="9" t="s">
        <v>4539</v>
      </c>
      <c r="H1646" s="9" t="s">
        <v>4540</v>
      </c>
      <c r="I1646" s="10">
        <v>45558</v>
      </c>
    </row>
    <row r="1647" spans="1:9" x14ac:dyDescent="0.15">
      <c r="A1647" s="9">
        <v>1646</v>
      </c>
      <c r="B1647" s="9" t="s">
        <v>9</v>
      </c>
      <c r="C1647" s="9">
        <v>1915</v>
      </c>
      <c r="D1647" s="10">
        <v>45639</v>
      </c>
      <c r="E1647" s="13" t="str">
        <f>+HYPERLINK("http://trademark.i-assist.jp/data/china/image_1915th/81067477.pdf","81067477")</f>
        <v>81067477</v>
      </c>
      <c r="F1647" s="9" t="s">
        <v>4541</v>
      </c>
      <c r="G1647" s="9" t="s">
        <v>4231</v>
      </c>
      <c r="H1647" s="9" t="s">
        <v>4542</v>
      </c>
      <c r="I1647" s="10">
        <v>45558</v>
      </c>
    </row>
    <row r="1648" spans="1:9" x14ac:dyDescent="0.15">
      <c r="A1648" s="9">
        <v>1647</v>
      </c>
      <c r="B1648" s="9" t="s">
        <v>9</v>
      </c>
      <c r="C1648" s="9">
        <v>1915</v>
      </c>
      <c r="D1648" s="10">
        <v>45639</v>
      </c>
      <c r="E1648" s="13" t="str">
        <f>+HYPERLINK("http://trademark.i-assist.jp/data/china/image_1915th/81067494.pdf","81067494")</f>
        <v>81067494</v>
      </c>
      <c r="F1648" s="9" t="s">
        <v>4543</v>
      </c>
      <c r="G1648" s="9" t="s">
        <v>4173</v>
      </c>
      <c r="H1648" s="9" t="s">
        <v>4544</v>
      </c>
      <c r="I1648" s="10">
        <v>45558</v>
      </c>
    </row>
    <row r="1649" spans="1:9" x14ac:dyDescent="0.15">
      <c r="A1649" s="9">
        <v>1648</v>
      </c>
      <c r="B1649" s="9" t="s">
        <v>9</v>
      </c>
      <c r="C1649" s="9">
        <v>1915</v>
      </c>
      <c r="D1649" s="10">
        <v>45639</v>
      </c>
      <c r="E1649" s="13" t="str">
        <f>+HYPERLINK("http://trademark.i-assist.jp/data/china/image_1915th/81068150.pdf","81068150")</f>
        <v>81068150</v>
      </c>
      <c r="F1649" s="9" t="s">
        <v>4545</v>
      </c>
      <c r="G1649" s="9" t="s">
        <v>4546</v>
      </c>
      <c r="H1649" s="9" t="s">
        <v>4547</v>
      </c>
      <c r="I1649" s="10">
        <v>45558</v>
      </c>
    </row>
    <row r="1650" spans="1:9" x14ac:dyDescent="0.15">
      <c r="A1650" s="9">
        <v>1649</v>
      </c>
      <c r="B1650" s="9" t="s">
        <v>9</v>
      </c>
      <c r="C1650" s="9">
        <v>1915</v>
      </c>
      <c r="D1650" s="10">
        <v>45639</v>
      </c>
      <c r="E1650" s="13" t="str">
        <f>+HYPERLINK("http://trademark.i-assist.jp/data/china/image_1915th/81068374.pdf","81068374")</f>
        <v>81068374</v>
      </c>
      <c r="F1650" s="9" t="s">
        <v>4548</v>
      </c>
      <c r="G1650" s="9" t="s">
        <v>4549</v>
      </c>
      <c r="H1650" s="9" t="s">
        <v>4550</v>
      </c>
      <c r="I1650" s="10">
        <v>45558</v>
      </c>
    </row>
    <row r="1651" spans="1:9" x14ac:dyDescent="0.15">
      <c r="A1651" s="9">
        <v>1650</v>
      </c>
      <c r="B1651" s="9" t="s">
        <v>9</v>
      </c>
      <c r="C1651" s="9">
        <v>1915</v>
      </c>
      <c r="D1651" s="10">
        <v>45639</v>
      </c>
      <c r="E1651" s="13" t="str">
        <f>+HYPERLINK("http://trademark.i-assist.jp/data/china/image_1915th/81068631.pdf","81068631")</f>
        <v>81068631</v>
      </c>
      <c r="F1651" s="9" t="s">
        <v>4551</v>
      </c>
      <c r="G1651" s="9" t="s">
        <v>4355</v>
      </c>
      <c r="H1651" s="9" t="s">
        <v>4552</v>
      </c>
      <c r="I1651" s="10">
        <v>45558</v>
      </c>
    </row>
    <row r="1652" spans="1:9" x14ac:dyDescent="0.15">
      <c r="A1652" s="9">
        <v>1651</v>
      </c>
      <c r="B1652" s="9" t="s">
        <v>9</v>
      </c>
      <c r="C1652" s="9">
        <v>1915</v>
      </c>
      <c r="D1652" s="10">
        <v>45639</v>
      </c>
      <c r="E1652" s="13" t="str">
        <f>+HYPERLINK("http://trademark.i-assist.jp/data/china/image_1915th/81068997.pdf","81068997")</f>
        <v>81068997</v>
      </c>
      <c r="F1652" s="9" t="s">
        <v>4553</v>
      </c>
      <c r="G1652" s="9" t="s">
        <v>4554</v>
      </c>
      <c r="H1652" s="9" t="s">
        <v>4555</v>
      </c>
      <c r="I1652" s="10">
        <v>45558</v>
      </c>
    </row>
    <row r="1653" spans="1:9" x14ac:dyDescent="0.15">
      <c r="A1653" s="9">
        <v>1652</v>
      </c>
      <c r="B1653" s="9" t="s">
        <v>9</v>
      </c>
      <c r="C1653" s="9">
        <v>1915</v>
      </c>
      <c r="D1653" s="10">
        <v>45639</v>
      </c>
      <c r="E1653" s="13" t="str">
        <f>+HYPERLINK("http://trademark.i-assist.jp/data/china/image_1915th/81069087.pdf","81069087")</f>
        <v>81069087</v>
      </c>
      <c r="F1653" s="9" t="s">
        <v>4556</v>
      </c>
      <c r="G1653" s="9" t="s">
        <v>4557</v>
      </c>
      <c r="H1653" s="9" t="s">
        <v>4558</v>
      </c>
      <c r="I1653" s="10">
        <v>45558</v>
      </c>
    </row>
    <row r="1654" spans="1:9" x14ac:dyDescent="0.15">
      <c r="A1654" s="9">
        <v>1653</v>
      </c>
      <c r="B1654" s="9" t="s">
        <v>9</v>
      </c>
      <c r="C1654" s="9">
        <v>1915</v>
      </c>
      <c r="D1654" s="10">
        <v>45639</v>
      </c>
      <c r="E1654" s="13" t="str">
        <f>+HYPERLINK("http://trademark.i-assist.jp/data/china/image_1915th/81069090.pdf","81069090")</f>
        <v>81069090</v>
      </c>
      <c r="F1654" s="9" t="s">
        <v>4559</v>
      </c>
      <c r="G1654" s="9" t="s">
        <v>4560</v>
      </c>
      <c r="H1654" s="9" t="s">
        <v>4561</v>
      </c>
      <c r="I1654" s="10">
        <v>45558</v>
      </c>
    </row>
    <row r="1655" spans="1:9" x14ac:dyDescent="0.15">
      <c r="A1655" s="9">
        <v>1654</v>
      </c>
      <c r="B1655" s="9" t="s">
        <v>9</v>
      </c>
      <c r="C1655" s="9">
        <v>1915</v>
      </c>
      <c r="D1655" s="10">
        <v>45639</v>
      </c>
      <c r="E1655" s="13" t="str">
        <f>+HYPERLINK("http://trademark.i-assist.jp/data/china/image_1915th/81069122.pdf","81069122")</f>
        <v>81069122</v>
      </c>
      <c r="F1655" s="9" t="s">
        <v>4562</v>
      </c>
      <c r="G1655" s="12" t="s">
        <v>4563</v>
      </c>
      <c r="H1655" s="9" t="s">
        <v>4564</v>
      </c>
      <c r="I1655" s="10">
        <v>45558</v>
      </c>
    </row>
    <row r="1656" spans="1:9" x14ac:dyDescent="0.15">
      <c r="A1656" s="9">
        <v>1655</v>
      </c>
      <c r="B1656" s="9" t="s">
        <v>9</v>
      </c>
      <c r="C1656" s="9">
        <v>1915</v>
      </c>
      <c r="D1656" s="10">
        <v>45639</v>
      </c>
      <c r="E1656" s="13" t="str">
        <f>+HYPERLINK("http://trademark.i-assist.jp/data/china/image_1915th/81069140.pdf","81069140")</f>
        <v>81069140</v>
      </c>
      <c r="F1656" s="9" t="s">
        <v>4565</v>
      </c>
      <c r="G1656" s="9" t="s">
        <v>4566</v>
      </c>
      <c r="H1656" s="9" t="s">
        <v>4567</v>
      </c>
      <c r="I1656" s="10">
        <v>45558</v>
      </c>
    </row>
    <row r="1657" spans="1:9" x14ac:dyDescent="0.15">
      <c r="A1657" s="9">
        <v>1656</v>
      </c>
      <c r="B1657" s="9" t="s">
        <v>9</v>
      </c>
      <c r="C1657" s="9">
        <v>1915</v>
      </c>
      <c r="D1657" s="10">
        <v>45639</v>
      </c>
      <c r="E1657" s="13" t="str">
        <f>+HYPERLINK("http://trademark.i-assist.jp/data/china/image_1915th/81069463.pdf","81069463")</f>
        <v>81069463</v>
      </c>
      <c r="F1657" s="9" t="s">
        <v>4568</v>
      </c>
      <c r="G1657" s="9" t="s">
        <v>4569</v>
      </c>
      <c r="H1657" s="9" t="s">
        <v>4570</v>
      </c>
      <c r="I1657" s="10">
        <v>45559</v>
      </c>
    </row>
    <row r="1658" spans="1:9" x14ac:dyDescent="0.15">
      <c r="A1658" s="9">
        <v>1657</v>
      </c>
      <c r="B1658" s="9" t="s">
        <v>9</v>
      </c>
      <c r="C1658" s="9">
        <v>1915</v>
      </c>
      <c r="D1658" s="10">
        <v>45639</v>
      </c>
      <c r="E1658" s="13" t="str">
        <f>+HYPERLINK("http://trademark.i-assist.jp/data/china/image_1915th/81069567.pdf","81069567")</f>
        <v>81069567</v>
      </c>
      <c r="F1658" s="12" t="s">
        <v>4571</v>
      </c>
      <c r="G1658" s="9" t="s">
        <v>4572</v>
      </c>
      <c r="H1658" s="9" t="s">
        <v>4573</v>
      </c>
      <c r="I1658" s="10">
        <v>45559</v>
      </c>
    </row>
    <row r="1659" spans="1:9" x14ac:dyDescent="0.15">
      <c r="A1659" s="9">
        <v>1658</v>
      </c>
      <c r="B1659" s="9" t="s">
        <v>9</v>
      </c>
      <c r="C1659" s="9">
        <v>1915</v>
      </c>
      <c r="D1659" s="10">
        <v>45639</v>
      </c>
      <c r="E1659" s="13" t="str">
        <f>+HYPERLINK("http://trademark.i-assist.jp/data/china/image_1915th/81069647.pdf","81069647")</f>
        <v>81069647</v>
      </c>
      <c r="F1659" s="9" t="s">
        <v>4574</v>
      </c>
      <c r="G1659" s="12" t="s">
        <v>38</v>
      </c>
      <c r="H1659" s="9" t="s">
        <v>4575</v>
      </c>
      <c r="I1659" s="10">
        <v>45559</v>
      </c>
    </row>
    <row r="1660" spans="1:9" x14ac:dyDescent="0.15">
      <c r="A1660" s="9">
        <v>1659</v>
      </c>
      <c r="B1660" s="9" t="s">
        <v>9</v>
      </c>
      <c r="C1660" s="9">
        <v>1915</v>
      </c>
      <c r="D1660" s="10">
        <v>45639</v>
      </c>
      <c r="E1660" s="13" t="str">
        <f>+HYPERLINK("http://trademark.i-assist.jp/data/china/image_1915th/81069824.pdf","81069824")</f>
        <v>81069824</v>
      </c>
      <c r="F1660" s="9" t="s">
        <v>4576</v>
      </c>
      <c r="G1660" s="9" t="s">
        <v>4577</v>
      </c>
      <c r="H1660" s="9" t="s">
        <v>4578</v>
      </c>
      <c r="I1660" s="10">
        <v>45559</v>
      </c>
    </row>
    <row r="1661" spans="1:9" x14ac:dyDescent="0.15">
      <c r="A1661" s="9">
        <v>1660</v>
      </c>
      <c r="B1661" s="9" t="s">
        <v>9</v>
      </c>
      <c r="C1661" s="9">
        <v>1915</v>
      </c>
      <c r="D1661" s="10">
        <v>45639</v>
      </c>
      <c r="E1661" s="13" t="str">
        <f>+HYPERLINK("http://trademark.i-assist.jp/data/china/image_1915th/81069826.pdf","81069826")</f>
        <v>81069826</v>
      </c>
      <c r="F1661" s="9" t="s">
        <v>4579</v>
      </c>
      <c r="G1661" s="9" t="s">
        <v>34</v>
      </c>
      <c r="H1661" s="9" t="s">
        <v>4580</v>
      </c>
      <c r="I1661" s="10">
        <v>45559</v>
      </c>
    </row>
    <row r="1662" spans="1:9" x14ac:dyDescent="0.15">
      <c r="A1662" s="9">
        <v>1661</v>
      </c>
      <c r="B1662" s="9" t="s">
        <v>9</v>
      </c>
      <c r="C1662" s="9">
        <v>1915</v>
      </c>
      <c r="D1662" s="10">
        <v>45639</v>
      </c>
      <c r="E1662" s="13" t="str">
        <f>+HYPERLINK("http://trademark.i-assist.jp/data/china/image_1915th/81069843.pdf","81069843")</f>
        <v>81069843</v>
      </c>
      <c r="F1662" s="9" t="s">
        <v>4581</v>
      </c>
      <c r="G1662" s="9" t="s">
        <v>4582</v>
      </c>
      <c r="H1662" s="9" t="s">
        <v>4583</v>
      </c>
      <c r="I1662" s="10">
        <v>45559</v>
      </c>
    </row>
    <row r="1663" spans="1:9" x14ac:dyDescent="0.15">
      <c r="A1663" s="9">
        <v>1662</v>
      </c>
      <c r="B1663" s="9" t="s">
        <v>9</v>
      </c>
      <c r="C1663" s="9">
        <v>1915</v>
      </c>
      <c r="D1663" s="10">
        <v>45639</v>
      </c>
      <c r="E1663" s="13" t="str">
        <f>+HYPERLINK("http://trademark.i-assist.jp/data/china/image_1915th/81070066.pdf","81070066")</f>
        <v>81070066</v>
      </c>
      <c r="F1663" s="9" t="s">
        <v>4584</v>
      </c>
      <c r="G1663" s="9" t="s">
        <v>4585</v>
      </c>
      <c r="H1663" s="9" t="s">
        <v>4586</v>
      </c>
      <c r="I1663" s="10">
        <v>45559</v>
      </c>
    </row>
    <row r="1664" spans="1:9" x14ac:dyDescent="0.15">
      <c r="A1664" s="9">
        <v>1663</v>
      </c>
      <c r="B1664" s="9" t="s">
        <v>9</v>
      </c>
      <c r="C1664" s="9">
        <v>1915</v>
      </c>
      <c r="D1664" s="10">
        <v>45639</v>
      </c>
      <c r="E1664" s="13" t="str">
        <f>+HYPERLINK("http://trademark.i-assist.jp/data/china/image_1915th/81070287.pdf","81070287")</f>
        <v>81070287</v>
      </c>
      <c r="F1664" s="9" t="s">
        <v>4587</v>
      </c>
      <c r="G1664" s="9" t="s">
        <v>4588</v>
      </c>
      <c r="H1664" s="9" t="s">
        <v>4589</v>
      </c>
      <c r="I1664" s="10">
        <v>45559</v>
      </c>
    </row>
    <row r="1665" spans="1:9" x14ac:dyDescent="0.15">
      <c r="A1665" s="9">
        <v>1664</v>
      </c>
      <c r="B1665" s="9" t="s">
        <v>9</v>
      </c>
      <c r="C1665" s="9">
        <v>1915</v>
      </c>
      <c r="D1665" s="10">
        <v>45639</v>
      </c>
      <c r="E1665" s="13" t="str">
        <f>+HYPERLINK("http://trademark.i-assist.jp/data/china/image_1915th/81070525.pdf","81070525")</f>
        <v>81070525</v>
      </c>
      <c r="F1665" s="9" t="s">
        <v>4590</v>
      </c>
      <c r="G1665" s="12" t="s">
        <v>77</v>
      </c>
      <c r="H1665" s="9" t="s">
        <v>4591</v>
      </c>
      <c r="I1665" s="10">
        <v>45559</v>
      </c>
    </row>
    <row r="1666" spans="1:9" x14ac:dyDescent="0.15">
      <c r="A1666" s="9">
        <v>1665</v>
      </c>
      <c r="B1666" s="9" t="s">
        <v>9</v>
      </c>
      <c r="C1666" s="9">
        <v>1915</v>
      </c>
      <c r="D1666" s="10">
        <v>45639</v>
      </c>
      <c r="E1666" s="13" t="str">
        <f>+HYPERLINK("http://trademark.i-assist.jp/data/china/image_1915th/81070665.pdf","81070665")</f>
        <v>81070665</v>
      </c>
      <c r="F1666" s="9" t="s">
        <v>4592</v>
      </c>
      <c r="G1666" s="9" t="s">
        <v>4593</v>
      </c>
      <c r="H1666" s="9" t="s">
        <v>4594</v>
      </c>
      <c r="I1666" s="10">
        <v>45559</v>
      </c>
    </row>
    <row r="1667" spans="1:9" x14ac:dyDescent="0.15">
      <c r="A1667" s="9">
        <v>1666</v>
      </c>
      <c r="B1667" s="9" t="s">
        <v>9</v>
      </c>
      <c r="C1667" s="9">
        <v>1915</v>
      </c>
      <c r="D1667" s="10">
        <v>45639</v>
      </c>
      <c r="E1667" s="13" t="str">
        <f>+HYPERLINK("http://trademark.i-assist.jp/data/china/image_1915th/81070685.pdf","81070685")</f>
        <v>81070685</v>
      </c>
      <c r="F1667" s="9" t="s">
        <v>4595</v>
      </c>
      <c r="G1667" s="12" t="s">
        <v>77</v>
      </c>
      <c r="H1667" s="9" t="s">
        <v>4596</v>
      </c>
      <c r="I1667" s="10">
        <v>45559</v>
      </c>
    </row>
    <row r="1668" spans="1:9" x14ac:dyDescent="0.15">
      <c r="A1668" s="9">
        <v>1667</v>
      </c>
      <c r="B1668" s="9" t="s">
        <v>9</v>
      </c>
      <c r="C1668" s="9">
        <v>1915</v>
      </c>
      <c r="D1668" s="10">
        <v>45639</v>
      </c>
      <c r="E1668" s="13" t="str">
        <f>+HYPERLINK("http://trademark.i-assist.jp/data/china/image_1915th/81070958.pdf","81070958")</f>
        <v>81070958</v>
      </c>
      <c r="F1668" s="9" t="s">
        <v>4597</v>
      </c>
      <c r="G1668" s="9" t="s">
        <v>4598</v>
      </c>
      <c r="H1668" s="9" t="s">
        <v>4599</v>
      </c>
      <c r="I1668" s="10">
        <v>45559</v>
      </c>
    </row>
    <row r="1669" spans="1:9" x14ac:dyDescent="0.15">
      <c r="A1669" s="9">
        <v>1668</v>
      </c>
      <c r="B1669" s="9" t="s">
        <v>9</v>
      </c>
      <c r="C1669" s="9">
        <v>1915</v>
      </c>
      <c r="D1669" s="10">
        <v>45639</v>
      </c>
      <c r="E1669" s="13" t="str">
        <f>+HYPERLINK("http://trademark.i-assist.jp/data/china/image_1915th/81070982.pdf","81070982")</f>
        <v>81070982</v>
      </c>
      <c r="F1669" s="9" t="s">
        <v>4600</v>
      </c>
      <c r="G1669" s="9" t="s">
        <v>4601</v>
      </c>
      <c r="H1669" s="9" t="s">
        <v>4602</v>
      </c>
      <c r="I1669" s="10">
        <v>45559</v>
      </c>
    </row>
    <row r="1670" spans="1:9" x14ac:dyDescent="0.15">
      <c r="A1670" s="9">
        <v>1669</v>
      </c>
      <c r="B1670" s="9" t="s">
        <v>9</v>
      </c>
      <c r="C1670" s="9">
        <v>1915</v>
      </c>
      <c r="D1670" s="10">
        <v>45639</v>
      </c>
      <c r="E1670" s="13" t="str">
        <f>+HYPERLINK("http://trademark.i-assist.jp/data/china/image_1915th/81071008.pdf","81071008")</f>
        <v>81071008</v>
      </c>
      <c r="F1670" s="9" t="s">
        <v>4603</v>
      </c>
      <c r="G1670" s="9" t="s">
        <v>4604</v>
      </c>
      <c r="H1670" s="9" t="s">
        <v>4605</v>
      </c>
      <c r="I1670" s="10">
        <v>45559</v>
      </c>
    </row>
    <row r="1671" spans="1:9" x14ac:dyDescent="0.15">
      <c r="A1671" s="9">
        <v>1670</v>
      </c>
      <c r="B1671" s="9" t="s">
        <v>9</v>
      </c>
      <c r="C1671" s="9">
        <v>1915</v>
      </c>
      <c r="D1671" s="10">
        <v>45639</v>
      </c>
      <c r="E1671" s="13" t="str">
        <f>+HYPERLINK("http://trademark.i-assist.jp/data/china/image_1915th/81071079.pdf","81071079")</f>
        <v>81071079</v>
      </c>
      <c r="F1671" s="9" t="s">
        <v>4606</v>
      </c>
      <c r="G1671" s="12" t="s">
        <v>4607</v>
      </c>
      <c r="H1671" s="9" t="s">
        <v>4608</v>
      </c>
      <c r="I1671" s="10">
        <v>45559</v>
      </c>
    </row>
    <row r="1672" spans="1:9" x14ac:dyDescent="0.15">
      <c r="A1672" s="9">
        <v>1671</v>
      </c>
      <c r="B1672" s="9" t="s">
        <v>9</v>
      </c>
      <c r="C1672" s="9">
        <v>1915</v>
      </c>
      <c r="D1672" s="10">
        <v>45639</v>
      </c>
      <c r="E1672" s="13" t="str">
        <f>+HYPERLINK("http://trademark.i-assist.jp/data/china/image_1915th/81071543.pdf","81071543")</f>
        <v>81071543</v>
      </c>
      <c r="F1672" s="12" t="s">
        <v>4609</v>
      </c>
      <c r="G1672" s="9" t="s">
        <v>4610</v>
      </c>
      <c r="H1672" s="12" t="s">
        <v>4611</v>
      </c>
      <c r="I1672" s="10">
        <v>45559</v>
      </c>
    </row>
    <row r="1673" spans="1:9" x14ac:dyDescent="0.15">
      <c r="A1673" s="9">
        <v>1672</v>
      </c>
      <c r="B1673" s="9" t="s">
        <v>9</v>
      </c>
      <c r="C1673" s="9">
        <v>1915</v>
      </c>
      <c r="D1673" s="10">
        <v>45639</v>
      </c>
      <c r="E1673" s="13" t="str">
        <f>+HYPERLINK("http://trademark.i-assist.jp/data/china/image_1915th/81071547.pdf","81071547")</f>
        <v>81071547</v>
      </c>
      <c r="F1673" s="9" t="s">
        <v>4612</v>
      </c>
      <c r="G1673" s="9" t="s">
        <v>4613</v>
      </c>
      <c r="H1673" s="9" t="s">
        <v>4614</v>
      </c>
      <c r="I1673" s="10">
        <v>45559</v>
      </c>
    </row>
    <row r="1674" spans="1:9" x14ac:dyDescent="0.15">
      <c r="A1674" s="9">
        <v>1673</v>
      </c>
      <c r="B1674" s="9" t="s">
        <v>9</v>
      </c>
      <c r="C1674" s="9">
        <v>1915</v>
      </c>
      <c r="D1674" s="10">
        <v>45639</v>
      </c>
      <c r="E1674" s="13" t="str">
        <f>+HYPERLINK("http://trademark.i-assist.jp/data/china/image_1915th/81071631.pdf","81071631")</f>
        <v>81071631</v>
      </c>
      <c r="F1674" s="9" t="s">
        <v>4615</v>
      </c>
      <c r="G1674" s="9" t="s">
        <v>4616</v>
      </c>
      <c r="H1674" s="9" t="s">
        <v>4617</v>
      </c>
      <c r="I1674" s="10">
        <v>45559</v>
      </c>
    </row>
    <row r="1675" spans="1:9" x14ac:dyDescent="0.15">
      <c r="A1675" s="9">
        <v>1674</v>
      </c>
      <c r="B1675" s="9" t="s">
        <v>9</v>
      </c>
      <c r="C1675" s="9">
        <v>1915</v>
      </c>
      <c r="D1675" s="10">
        <v>45639</v>
      </c>
      <c r="E1675" s="13" t="str">
        <f>+HYPERLINK("http://trademark.i-assist.jp/data/china/image_1915th/81071806.pdf","81071806")</f>
        <v>81071806</v>
      </c>
      <c r="F1675" s="12" t="s">
        <v>4618</v>
      </c>
      <c r="G1675" s="9" t="s">
        <v>4619</v>
      </c>
      <c r="H1675" s="9" t="s">
        <v>4620</v>
      </c>
      <c r="I1675" s="10">
        <v>45559</v>
      </c>
    </row>
    <row r="1676" spans="1:9" x14ac:dyDescent="0.15">
      <c r="A1676" s="9">
        <v>1675</v>
      </c>
      <c r="B1676" s="9" t="s">
        <v>9</v>
      </c>
      <c r="C1676" s="9">
        <v>1915</v>
      </c>
      <c r="D1676" s="10">
        <v>45639</v>
      </c>
      <c r="E1676" s="13" t="str">
        <f>+HYPERLINK("http://trademark.i-assist.jp/data/china/image_1915th/81072063.pdf","81072063")</f>
        <v>81072063</v>
      </c>
      <c r="F1676" s="9" t="s">
        <v>4621</v>
      </c>
      <c r="G1676" s="9" t="s">
        <v>4622</v>
      </c>
      <c r="H1676" s="9" t="s">
        <v>4623</v>
      </c>
      <c r="I1676" s="10">
        <v>45559</v>
      </c>
    </row>
    <row r="1677" spans="1:9" x14ac:dyDescent="0.15">
      <c r="A1677" s="9">
        <v>1676</v>
      </c>
      <c r="B1677" s="9" t="s">
        <v>9</v>
      </c>
      <c r="C1677" s="9">
        <v>1915</v>
      </c>
      <c r="D1677" s="10">
        <v>45639</v>
      </c>
      <c r="E1677" s="13" t="str">
        <f>+HYPERLINK("http://trademark.i-assist.jp/data/china/image_1915th/81072134.pdf","81072134")</f>
        <v>81072134</v>
      </c>
      <c r="F1677" s="9" t="s">
        <v>4624</v>
      </c>
      <c r="G1677" s="12" t="s">
        <v>4625</v>
      </c>
      <c r="H1677" s="12" t="s">
        <v>4626</v>
      </c>
      <c r="I1677" s="10">
        <v>45559</v>
      </c>
    </row>
    <row r="1678" spans="1:9" x14ac:dyDescent="0.15">
      <c r="A1678" s="9">
        <v>1677</v>
      </c>
      <c r="B1678" s="9" t="s">
        <v>9</v>
      </c>
      <c r="C1678" s="9">
        <v>1915</v>
      </c>
      <c r="D1678" s="10">
        <v>45639</v>
      </c>
      <c r="E1678" s="13" t="str">
        <f>+HYPERLINK("http://trademark.i-assist.jp/data/china/image_1915th/81072218.pdf","81072218")</f>
        <v>81072218</v>
      </c>
      <c r="F1678" s="9" t="s">
        <v>4627</v>
      </c>
      <c r="G1678" s="9" t="s">
        <v>4628</v>
      </c>
      <c r="H1678" s="9" t="s">
        <v>4629</v>
      </c>
      <c r="I1678" s="10">
        <v>45559</v>
      </c>
    </row>
    <row r="1679" spans="1:9" x14ac:dyDescent="0.15">
      <c r="A1679" s="9">
        <v>1678</v>
      </c>
      <c r="B1679" s="9" t="s">
        <v>9</v>
      </c>
      <c r="C1679" s="9">
        <v>1915</v>
      </c>
      <c r="D1679" s="10">
        <v>45639</v>
      </c>
      <c r="E1679" s="13" t="str">
        <f>+HYPERLINK("http://trademark.i-assist.jp/data/china/image_1915th/81072504.pdf","81072504")</f>
        <v>81072504</v>
      </c>
      <c r="F1679" s="11" t="s">
        <v>4630</v>
      </c>
      <c r="G1679" s="9" t="s">
        <v>4631</v>
      </c>
      <c r="H1679" s="12" t="s">
        <v>4632</v>
      </c>
      <c r="I1679" s="10">
        <v>45559</v>
      </c>
    </row>
    <row r="1680" spans="1:9" x14ac:dyDescent="0.15">
      <c r="A1680" s="9">
        <v>1679</v>
      </c>
      <c r="B1680" s="9" t="s">
        <v>9</v>
      </c>
      <c r="C1680" s="9">
        <v>1915</v>
      </c>
      <c r="D1680" s="10">
        <v>45639</v>
      </c>
      <c r="E1680" s="13" t="str">
        <f>+HYPERLINK("http://trademark.i-assist.jp/data/china/image_1915th/81072886.pdf","81072886")</f>
        <v>81072886</v>
      </c>
      <c r="F1680" s="9" t="s">
        <v>4633</v>
      </c>
      <c r="G1680" s="9" t="s">
        <v>4634</v>
      </c>
      <c r="H1680" s="9" t="s">
        <v>4635</v>
      </c>
      <c r="I1680" s="10">
        <v>45559</v>
      </c>
    </row>
    <row r="1681" spans="1:9" x14ac:dyDescent="0.15">
      <c r="A1681" s="9">
        <v>1680</v>
      </c>
      <c r="B1681" s="9" t="s">
        <v>9</v>
      </c>
      <c r="C1681" s="9">
        <v>1915</v>
      </c>
      <c r="D1681" s="10">
        <v>45639</v>
      </c>
      <c r="E1681" s="13" t="str">
        <f>+HYPERLINK("http://trademark.i-assist.jp/data/china/image_1915th/81073058.pdf","81073058")</f>
        <v>81073058</v>
      </c>
      <c r="F1681" s="9" t="s">
        <v>4636</v>
      </c>
      <c r="G1681" s="9" t="s">
        <v>4637</v>
      </c>
      <c r="H1681" s="9" t="s">
        <v>4638</v>
      </c>
      <c r="I1681" s="10">
        <v>45559</v>
      </c>
    </row>
    <row r="1682" spans="1:9" x14ac:dyDescent="0.15">
      <c r="A1682" s="9">
        <v>1681</v>
      </c>
      <c r="B1682" s="9" t="s">
        <v>9</v>
      </c>
      <c r="C1682" s="9">
        <v>1915</v>
      </c>
      <c r="D1682" s="10">
        <v>45639</v>
      </c>
      <c r="E1682" s="13" t="str">
        <f>+HYPERLINK("http://trademark.i-assist.jp/data/china/image_1915th/81073083.pdf","81073083")</f>
        <v>81073083</v>
      </c>
      <c r="F1682" s="12" t="s">
        <v>4639</v>
      </c>
      <c r="G1682" s="9" t="s">
        <v>4610</v>
      </c>
      <c r="H1682" s="9" t="s">
        <v>4640</v>
      </c>
      <c r="I1682" s="10">
        <v>45559</v>
      </c>
    </row>
    <row r="1683" spans="1:9" x14ac:dyDescent="0.15">
      <c r="A1683" s="9">
        <v>1682</v>
      </c>
      <c r="B1683" s="9" t="s">
        <v>9</v>
      </c>
      <c r="C1683" s="9">
        <v>1915</v>
      </c>
      <c r="D1683" s="10">
        <v>45639</v>
      </c>
      <c r="E1683" s="13" t="str">
        <f>+HYPERLINK("http://trademark.i-assist.jp/data/china/image_1915th/81073182.pdf","81073182")</f>
        <v>81073182</v>
      </c>
      <c r="F1683" s="9" t="s">
        <v>4641</v>
      </c>
      <c r="G1683" s="9" t="s">
        <v>4642</v>
      </c>
      <c r="H1683" s="9" t="s">
        <v>4643</v>
      </c>
      <c r="I1683" s="10">
        <v>45559</v>
      </c>
    </row>
    <row r="1684" spans="1:9" x14ac:dyDescent="0.15">
      <c r="A1684" s="9">
        <v>1683</v>
      </c>
      <c r="B1684" s="9" t="s">
        <v>9</v>
      </c>
      <c r="C1684" s="9">
        <v>1915</v>
      </c>
      <c r="D1684" s="10">
        <v>45639</v>
      </c>
      <c r="E1684" s="13" t="str">
        <f>+HYPERLINK("http://trademark.i-assist.jp/data/china/image_1915th/81073192.pdf","81073192")</f>
        <v>81073192</v>
      </c>
      <c r="F1684" s="12" t="s">
        <v>15</v>
      </c>
      <c r="G1684" s="9" t="s">
        <v>4644</v>
      </c>
      <c r="H1684" s="9" t="s">
        <v>4645</v>
      </c>
      <c r="I1684" s="10">
        <v>45559</v>
      </c>
    </row>
    <row r="1685" spans="1:9" x14ac:dyDescent="0.15">
      <c r="A1685" s="9">
        <v>1684</v>
      </c>
      <c r="B1685" s="9" t="s">
        <v>9</v>
      </c>
      <c r="C1685" s="9">
        <v>1915</v>
      </c>
      <c r="D1685" s="10">
        <v>45639</v>
      </c>
      <c r="E1685" s="13" t="str">
        <f>+HYPERLINK("http://trademark.i-assist.jp/data/china/image_1915th/81073543.pdf","81073543")</f>
        <v>81073543</v>
      </c>
      <c r="F1685" s="9" t="s">
        <v>4646</v>
      </c>
      <c r="G1685" s="9" t="s">
        <v>4647</v>
      </c>
      <c r="H1685" s="9" t="s">
        <v>4648</v>
      </c>
      <c r="I1685" s="10">
        <v>45559</v>
      </c>
    </row>
    <row r="1686" spans="1:9" x14ac:dyDescent="0.15">
      <c r="A1686" s="9">
        <v>1685</v>
      </c>
      <c r="B1686" s="9" t="s">
        <v>9</v>
      </c>
      <c r="C1686" s="9">
        <v>1915</v>
      </c>
      <c r="D1686" s="10">
        <v>45639</v>
      </c>
      <c r="E1686" s="13" t="str">
        <f>+HYPERLINK("http://trademark.i-assist.jp/data/china/image_1915th/81073587.pdf","81073587")</f>
        <v>81073587</v>
      </c>
      <c r="F1686" s="12" t="s">
        <v>4649</v>
      </c>
      <c r="G1686" s="12" t="s">
        <v>4650</v>
      </c>
      <c r="H1686" s="9" t="s">
        <v>4651</v>
      </c>
      <c r="I1686" s="10">
        <v>45559</v>
      </c>
    </row>
    <row r="1687" spans="1:9" x14ac:dyDescent="0.15">
      <c r="A1687" s="9">
        <v>1686</v>
      </c>
      <c r="B1687" s="9" t="s">
        <v>9</v>
      </c>
      <c r="C1687" s="9">
        <v>1915</v>
      </c>
      <c r="D1687" s="10">
        <v>45639</v>
      </c>
      <c r="E1687" s="13" t="str">
        <f>+HYPERLINK("http://trademark.i-assist.jp/data/china/image_1915th/81073703.pdf","81073703")</f>
        <v>81073703</v>
      </c>
      <c r="F1687" s="9" t="s">
        <v>4652</v>
      </c>
      <c r="G1687" s="9" t="s">
        <v>4653</v>
      </c>
      <c r="H1687" s="9" t="s">
        <v>4654</v>
      </c>
      <c r="I1687" s="10">
        <v>45559</v>
      </c>
    </row>
    <row r="1688" spans="1:9" x14ac:dyDescent="0.15">
      <c r="A1688" s="9">
        <v>1687</v>
      </c>
      <c r="B1688" s="9" t="s">
        <v>9</v>
      </c>
      <c r="C1688" s="9">
        <v>1915</v>
      </c>
      <c r="D1688" s="10">
        <v>45639</v>
      </c>
      <c r="E1688" s="13" t="str">
        <f>+HYPERLINK("http://trademark.i-assist.jp/data/china/image_1915th/81073713.pdf","81073713")</f>
        <v>81073713</v>
      </c>
      <c r="F1688" s="12" t="s">
        <v>4655</v>
      </c>
      <c r="G1688" s="9" t="s">
        <v>4656</v>
      </c>
      <c r="H1688" s="9" t="s">
        <v>4657</v>
      </c>
      <c r="I1688" s="10">
        <v>45559</v>
      </c>
    </row>
    <row r="1689" spans="1:9" x14ac:dyDescent="0.15">
      <c r="A1689" s="9">
        <v>1688</v>
      </c>
      <c r="B1689" s="9" t="s">
        <v>9</v>
      </c>
      <c r="C1689" s="9">
        <v>1915</v>
      </c>
      <c r="D1689" s="10">
        <v>45639</v>
      </c>
      <c r="E1689" s="13" t="str">
        <f>+HYPERLINK("http://trademark.i-assist.jp/data/china/image_1915th/81073759.pdf","81073759")</f>
        <v>81073759</v>
      </c>
      <c r="F1689" s="9" t="s">
        <v>4658</v>
      </c>
      <c r="G1689" s="12" t="s">
        <v>23</v>
      </c>
      <c r="H1689" s="9" t="s">
        <v>4659</v>
      </c>
      <c r="I1689" s="10">
        <v>45559</v>
      </c>
    </row>
    <row r="1690" spans="1:9" x14ac:dyDescent="0.15">
      <c r="A1690" s="9">
        <v>1689</v>
      </c>
      <c r="B1690" s="9" t="s">
        <v>9</v>
      </c>
      <c r="C1690" s="9">
        <v>1915</v>
      </c>
      <c r="D1690" s="10">
        <v>45639</v>
      </c>
      <c r="E1690" s="13" t="str">
        <f>+HYPERLINK("http://trademark.i-assist.jp/data/china/image_1915th/81073800.pdf","81073800")</f>
        <v>81073800</v>
      </c>
      <c r="F1690" s="9" t="s">
        <v>4660</v>
      </c>
      <c r="G1690" s="9" t="s">
        <v>4661</v>
      </c>
      <c r="H1690" s="9" t="s">
        <v>4662</v>
      </c>
      <c r="I1690" s="10">
        <v>45559</v>
      </c>
    </row>
    <row r="1691" spans="1:9" x14ac:dyDescent="0.15">
      <c r="A1691" s="9">
        <v>1690</v>
      </c>
      <c r="B1691" s="9" t="s">
        <v>9</v>
      </c>
      <c r="C1691" s="9">
        <v>1915</v>
      </c>
      <c r="D1691" s="10">
        <v>45639</v>
      </c>
      <c r="E1691" s="13" t="str">
        <f>+HYPERLINK("http://trademark.i-assist.jp/data/china/image_1915th/81074189.pdf","81074189")</f>
        <v>81074189</v>
      </c>
      <c r="F1691" s="9" t="s">
        <v>4663</v>
      </c>
      <c r="G1691" s="9" t="s">
        <v>4664</v>
      </c>
      <c r="H1691" s="9" t="s">
        <v>4665</v>
      </c>
      <c r="I1691" s="10">
        <v>45559</v>
      </c>
    </row>
    <row r="1692" spans="1:9" x14ac:dyDescent="0.15">
      <c r="A1692" s="9">
        <v>1691</v>
      </c>
      <c r="B1692" s="9" t="s">
        <v>9</v>
      </c>
      <c r="C1692" s="9">
        <v>1915</v>
      </c>
      <c r="D1692" s="10">
        <v>45639</v>
      </c>
      <c r="E1692" s="13" t="str">
        <f>+HYPERLINK("http://trademark.i-assist.jp/data/china/image_1915th/81074363.pdf","81074363")</f>
        <v>81074363</v>
      </c>
      <c r="F1692" s="12" t="s">
        <v>15</v>
      </c>
      <c r="G1692" s="9" t="s">
        <v>4666</v>
      </c>
      <c r="H1692" s="9" t="s">
        <v>4667</v>
      </c>
      <c r="I1692" s="10">
        <v>45559</v>
      </c>
    </row>
    <row r="1693" spans="1:9" x14ac:dyDescent="0.15">
      <c r="A1693" s="9">
        <v>1692</v>
      </c>
      <c r="B1693" s="9" t="s">
        <v>9</v>
      </c>
      <c r="C1693" s="9">
        <v>1915</v>
      </c>
      <c r="D1693" s="10">
        <v>45639</v>
      </c>
      <c r="E1693" s="13" t="str">
        <f>+HYPERLINK("http://trademark.i-assist.jp/data/china/image_1915th/81074473.pdf","81074473")</f>
        <v>81074473</v>
      </c>
      <c r="F1693" s="9" t="s">
        <v>4668</v>
      </c>
      <c r="G1693" s="9" t="s">
        <v>4669</v>
      </c>
      <c r="H1693" s="9" t="s">
        <v>4670</v>
      </c>
      <c r="I1693" s="10">
        <v>45559</v>
      </c>
    </row>
    <row r="1694" spans="1:9" x14ac:dyDescent="0.15">
      <c r="A1694" s="9">
        <v>1693</v>
      </c>
      <c r="B1694" s="9" t="s">
        <v>9</v>
      </c>
      <c r="C1694" s="9">
        <v>1915</v>
      </c>
      <c r="D1694" s="10">
        <v>45639</v>
      </c>
      <c r="E1694" s="13" t="str">
        <f>+HYPERLINK("http://trademark.i-assist.jp/data/china/image_1915th/81074711.pdf","81074711")</f>
        <v>81074711</v>
      </c>
      <c r="F1694" s="9" t="s">
        <v>4671</v>
      </c>
      <c r="G1694" s="9" t="s">
        <v>4672</v>
      </c>
      <c r="H1694" s="9" t="s">
        <v>4673</v>
      </c>
      <c r="I1694" s="10">
        <v>45559</v>
      </c>
    </row>
    <row r="1695" spans="1:9" x14ac:dyDescent="0.15">
      <c r="A1695" s="9">
        <v>1694</v>
      </c>
      <c r="B1695" s="9" t="s">
        <v>9</v>
      </c>
      <c r="C1695" s="9">
        <v>1915</v>
      </c>
      <c r="D1695" s="10">
        <v>45639</v>
      </c>
      <c r="E1695" s="13" t="str">
        <f>+HYPERLINK("http://trademark.i-assist.jp/data/china/image_1915th/81074775.pdf","81074775")</f>
        <v>81074775</v>
      </c>
      <c r="F1695" s="12" t="s">
        <v>15</v>
      </c>
      <c r="G1695" s="12" t="s">
        <v>4674</v>
      </c>
      <c r="H1695" s="9" t="s">
        <v>4675</v>
      </c>
      <c r="I1695" s="10">
        <v>45559</v>
      </c>
    </row>
    <row r="1696" spans="1:9" x14ac:dyDescent="0.15">
      <c r="A1696" s="9">
        <v>1695</v>
      </c>
      <c r="B1696" s="9" t="s">
        <v>9</v>
      </c>
      <c r="C1696" s="9">
        <v>1915</v>
      </c>
      <c r="D1696" s="10">
        <v>45639</v>
      </c>
      <c r="E1696" s="13" t="str">
        <f>+HYPERLINK("http://trademark.i-assist.jp/data/china/image_1915th/81075022.pdf","81075022")</f>
        <v>81075022</v>
      </c>
      <c r="F1696" s="9" t="s">
        <v>4676</v>
      </c>
      <c r="G1696" s="9" t="s">
        <v>4677</v>
      </c>
      <c r="H1696" s="9" t="s">
        <v>4678</v>
      </c>
      <c r="I1696" s="10">
        <v>45559</v>
      </c>
    </row>
    <row r="1697" spans="1:9" x14ac:dyDescent="0.15">
      <c r="A1697" s="9">
        <v>1696</v>
      </c>
      <c r="B1697" s="9" t="s">
        <v>9</v>
      </c>
      <c r="C1697" s="9">
        <v>1915</v>
      </c>
      <c r="D1697" s="10">
        <v>45639</v>
      </c>
      <c r="E1697" s="13" t="str">
        <f>+HYPERLINK("http://trademark.i-assist.jp/data/china/image_1915th/81075065.pdf","81075065")</f>
        <v>81075065</v>
      </c>
      <c r="F1697" s="9" t="s">
        <v>4679</v>
      </c>
      <c r="G1697" s="9" t="s">
        <v>4680</v>
      </c>
      <c r="H1697" s="9" t="s">
        <v>4681</v>
      </c>
      <c r="I1697" s="10">
        <v>45559</v>
      </c>
    </row>
    <row r="1698" spans="1:9" x14ac:dyDescent="0.15">
      <c r="A1698" s="9">
        <v>1697</v>
      </c>
      <c r="B1698" s="9" t="s">
        <v>9</v>
      </c>
      <c r="C1698" s="9">
        <v>1915</v>
      </c>
      <c r="D1698" s="10">
        <v>45639</v>
      </c>
      <c r="E1698" s="13" t="str">
        <f>+HYPERLINK("http://trademark.i-assist.jp/data/china/image_1915th/81075073.pdf","81075073")</f>
        <v>81075073</v>
      </c>
      <c r="F1698" s="9" t="s">
        <v>4682</v>
      </c>
      <c r="G1698" s="12" t="s">
        <v>4683</v>
      </c>
      <c r="H1698" s="9" t="s">
        <v>4684</v>
      </c>
      <c r="I1698" s="10">
        <v>45559</v>
      </c>
    </row>
    <row r="1699" spans="1:9" x14ac:dyDescent="0.15">
      <c r="A1699" s="9">
        <v>1698</v>
      </c>
      <c r="B1699" s="9" t="s">
        <v>9</v>
      </c>
      <c r="C1699" s="9">
        <v>1915</v>
      </c>
      <c r="D1699" s="10">
        <v>45639</v>
      </c>
      <c r="E1699" s="13" t="str">
        <f>+HYPERLINK("http://trademark.i-assist.jp/data/china/image_1915th/81075126.pdf","81075126")</f>
        <v>81075126</v>
      </c>
      <c r="F1699" s="9" t="s">
        <v>4685</v>
      </c>
      <c r="G1699" s="9" t="s">
        <v>4686</v>
      </c>
      <c r="H1699" s="9" t="s">
        <v>4687</v>
      </c>
      <c r="I1699" s="10">
        <v>45559</v>
      </c>
    </row>
    <row r="1700" spans="1:9" x14ac:dyDescent="0.15">
      <c r="A1700" s="9">
        <v>1699</v>
      </c>
      <c r="B1700" s="9" t="s">
        <v>9</v>
      </c>
      <c r="C1700" s="9">
        <v>1915</v>
      </c>
      <c r="D1700" s="10">
        <v>45639</v>
      </c>
      <c r="E1700" s="13" t="str">
        <f>+HYPERLINK("http://trademark.i-assist.jp/data/china/image_1915th/81075225.pdf","81075225")</f>
        <v>81075225</v>
      </c>
      <c r="F1700" s="9" t="s">
        <v>4688</v>
      </c>
      <c r="G1700" s="9" t="s">
        <v>86</v>
      </c>
      <c r="H1700" s="9" t="s">
        <v>4689</v>
      </c>
      <c r="I1700" s="10">
        <v>45559</v>
      </c>
    </row>
    <row r="1701" spans="1:9" x14ac:dyDescent="0.15">
      <c r="A1701" s="9">
        <v>1700</v>
      </c>
      <c r="B1701" s="9" t="s">
        <v>9</v>
      </c>
      <c r="C1701" s="9">
        <v>1915</v>
      </c>
      <c r="D1701" s="10">
        <v>45639</v>
      </c>
      <c r="E1701" s="13" t="str">
        <f>+HYPERLINK("http://trademark.i-assist.jp/data/china/image_1915th/81075388.pdf","81075388")</f>
        <v>81075388</v>
      </c>
      <c r="F1701" s="9" t="s">
        <v>4690</v>
      </c>
      <c r="G1701" s="9" t="s">
        <v>4644</v>
      </c>
      <c r="H1701" s="9" t="s">
        <v>4691</v>
      </c>
      <c r="I1701" s="10">
        <v>45559</v>
      </c>
    </row>
    <row r="1702" spans="1:9" x14ac:dyDescent="0.15">
      <c r="A1702" s="9">
        <v>1701</v>
      </c>
      <c r="B1702" s="9" t="s">
        <v>9</v>
      </c>
      <c r="C1702" s="9">
        <v>1915</v>
      </c>
      <c r="D1702" s="10">
        <v>45639</v>
      </c>
      <c r="E1702" s="13" t="str">
        <f>+HYPERLINK("http://trademark.i-assist.jp/data/china/image_1915th/81075392.pdf","81075392")</f>
        <v>81075392</v>
      </c>
      <c r="F1702" s="9" t="s">
        <v>4692</v>
      </c>
      <c r="G1702" s="12" t="s">
        <v>4693</v>
      </c>
      <c r="H1702" s="9" t="s">
        <v>4694</v>
      </c>
      <c r="I1702" s="10">
        <v>45559</v>
      </c>
    </row>
    <row r="1703" spans="1:9" x14ac:dyDescent="0.15">
      <c r="A1703" s="9">
        <v>1702</v>
      </c>
      <c r="B1703" s="9" t="s">
        <v>9</v>
      </c>
      <c r="C1703" s="9">
        <v>1915</v>
      </c>
      <c r="D1703" s="10">
        <v>45639</v>
      </c>
      <c r="E1703" s="13" t="str">
        <f>+HYPERLINK("http://trademark.i-assist.jp/data/china/image_1915th/81075453.pdf","81075453")</f>
        <v>81075453</v>
      </c>
      <c r="F1703" s="9" t="s">
        <v>4695</v>
      </c>
      <c r="G1703" s="12" t="s">
        <v>4696</v>
      </c>
      <c r="H1703" s="9" t="s">
        <v>4697</v>
      </c>
      <c r="I1703" s="10">
        <v>45559</v>
      </c>
    </row>
    <row r="1704" spans="1:9" x14ac:dyDescent="0.15">
      <c r="A1704" s="9">
        <v>1703</v>
      </c>
      <c r="B1704" s="9" t="s">
        <v>9</v>
      </c>
      <c r="C1704" s="9">
        <v>1915</v>
      </c>
      <c r="D1704" s="10">
        <v>45639</v>
      </c>
      <c r="E1704" s="13" t="str">
        <f>+HYPERLINK("http://trademark.i-assist.jp/data/china/image_1915th/81075749.pdf","81075749")</f>
        <v>81075749</v>
      </c>
      <c r="F1704" s="9" t="s">
        <v>4698</v>
      </c>
      <c r="G1704" s="9" t="s">
        <v>4572</v>
      </c>
      <c r="H1704" s="9" t="s">
        <v>4699</v>
      </c>
      <c r="I1704" s="10">
        <v>45559</v>
      </c>
    </row>
    <row r="1705" spans="1:9" x14ac:dyDescent="0.15">
      <c r="A1705" s="9">
        <v>1704</v>
      </c>
      <c r="B1705" s="9" t="s">
        <v>9</v>
      </c>
      <c r="C1705" s="9">
        <v>1915</v>
      </c>
      <c r="D1705" s="10">
        <v>45639</v>
      </c>
      <c r="E1705" s="13" t="str">
        <f>+HYPERLINK("http://trademark.i-assist.jp/data/china/image_1915th/81075961.pdf","81075961")</f>
        <v>81075961</v>
      </c>
      <c r="F1705" s="12" t="s">
        <v>15</v>
      </c>
      <c r="G1705" s="9" t="s">
        <v>4700</v>
      </c>
      <c r="H1705" s="9" t="s">
        <v>4701</v>
      </c>
      <c r="I1705" s="10">
        <v>45559</v>
      </c>
    </row>
    <row r="1706" spans="1:9" x14ac:dyDescent="0.15">
      <c r="A1706" s="9">
        <v>1705</v>
      </c>
      <c r="B1706" s="9" t="s">
        <v>9</v>
      </c>
      <c r="C1706" s="9">
        <v>1915</v>
      </c>
      <c r="D1706" s="10">
        <v>45639</v>
      </c>
      <c r="E1706" s="13" t="str">
        <f>+HYPERLINK("http://trademark.i-assist.jp/data/china/image_1915th/81076053.pdf","81076053")</f>
        <v>81076053</v>
      </c>
      <c r="F1706" s="12" t="s">
        <v>4702</v>
      </c>
      <c r="G1706" s="9" t="s">
        <v>4703</v>
      </c>
      <c r="H1706" s="9" t="s">
        <v>4704</v>
      </c>
      <c r="I1706" s="10">
        <v>45559</v>
      </c>
    </row>
    <row r="1707" spans="1:9" x14ac:dyDescent="0.15">
      <c r="A1707" s="9">
        <v>1706</v>
      </c>
      <c r="B1707" s="9" t="s">
        <v>9</v>
      </c>
      <c r="C1707" s="9">
        <v>1915</v>
      </c>
      <c r="D1707" s="10">
        <v>45639</v>
      </c>
      <c r="E1707" s="13" t="str">
        <f>+HYPERLINK("http://trademark.i-assist.jp/data/china/image_1915th/81076680.pdf","81076680")</f>
        <v>81076680</v>
      </c>
      <c r="F1707" s="9" t="s">
        <v>4705</v>
      </c>
      <c r="G1707" s="9" t="s">
        <v>4706</v>
      </c>
      <c r="H1707" s="9" t="s">
        <v>4707</v>
      </c>
      <c r="I1707" s="10">
        <v>45559</v>
      </c>
    </row>
    <row r="1708" spans="1:9" x14ac:dyDescent="0.15">
      <c r="A1708" s="9">
        <v>1707</v>
      </c>
      <c r="B1708" s="9" t="s">
        <v>9</v>
      </c>
      <c r="C1708" s="9">
        <v>1915</v>
      </c>
      <c r="D1708" s="10">
        <v>45639</v>
      </c>
      <c r="E1708" s="13" t="str">
        <f>+HYPERLINK("http://trademark.i-assist.jp/data/china/image_1915th/81077693.pdf","81077693")</f>
        <v>81077693</v>
      </c>
      <c r="F1708" s="9" t="s">
        <v>4708</v>
      </c>
      <c r="G1708" s="9" t="s">
        <v>4709</v>
      </c>
      <c r="H1708" s="9" t="s">
        <v>4710</v>
      </c>
      <c r="I1708" s="10">
        <v>45559</v>
      </c>
    </row>
    <row r="1709" spans="1:9" x14ac:dyDescent="0.15">
      <c r="A1709" s="9">
        <v>1708</v>
      </c>
      <c r="B1709" s="9" t="s">
        <v>9</v>
      </c>
      <c r="C1709" s="9">
        <v>1915</v>
      </c>
      <c r="D1709" s="10">
        <v>45639</v>
      </c>
      <c r="E1709" s="13" t="str">
        <f>+HYPERLINK("http://trademark.i-assist.jp/data/china/image_1915th/81077933.pdf","81077933")</f>
        <v>81077933</v>
      </c>
      <c r="F1709" s="9" t="s">
        <v>4711</v>
      </c>
      <c r="G1709" s="9" t="s">
        <v>4712</v>
      </c>
      <c r="H1709" s="9" t="s">
        <v>4713</v>
      </c>
      <c r="I1709" s="10">
        <v>45559</v>
      </c>
    </row>
    <row r="1710" spans="1:9" x14ac:dyDescent="0.15">
      <c r="A1710" s="9">
        <v>1709</v>
      </c>
      <c r="B1710" s="9" t="s">
        <v>9</v>
      </c>
      <c r="C1710" s="9">
        <v>1915</v>
      </c>
      <c r="D1710" s="10">
        <v>45639</v>
      </c>
      <c r="E1710" s="13" t="str">
        <f>+HYPERLINK("http://trademark.i-assist.jp/data/china/image_1915th/81077983.pdf","81077983")</f>
        <v>81077983</v>
      </c>
      <c r="F1710" s="9" t="s">
        <v>4714</v>
      </c>
      <c r="G1710" s="9" t="s">
        <v>2468</v>
      </c>
      <c r="H1710" s="12" t="s">
        <v>4715</v>
      </c>
      <c r="I1710" s="10">
        <v>45559</v>
      </c>
    </row>
    <row r="1711" spans="1:9" x14ac:dyDescent="0.15">
      <c r="A1711" s="9">
        <v>1710</v>
      </c>
      <c r="B1711" s="9" t="s">
        <v>9</v>
      </c>
      <c r="C1711" s="9">
        <v>1915</v>
      </c>
      <c r="D1711" s="10">
        <v>45639</v>
      </c>
      <c r="E1711" s="13" t="str">
        <f>+HYPERLINK("http://trademark.i-assist.jp/data/china/image_1915th/81077999.pdf","81077999")</f>
        <v>81077999</v>
      </c>
      <c r="F1711" s="9" t="s">
        <v>4716</v>
      </c>
      <c r="G1711" s="9" t="s">
        <v>4717</v>
      </c>
      <c r="H1711" s="9" t="s">
        <v>4718</v>
      </c>
      <c r="I1711" s="10">
        <v>45559</v>
      </c>
    </row>
    <row r="1712" spans="1:9" x14ac:dyDescent="0.15">
      <c r="A1712" s="9">
        <v>1711</v>
      </c>
      <c r="B1712" s="9" t="s">
        <v>9</v>
      </c>
      <c r="C1712" s="9">
        <v>1915</v>
      </c>
      <c r="D1712" s="10">
        <v>45639</v>
      </c>
      <c r="E1712" s="13" t="str">
        <f>+HYPERLINK("http://trademark.i-assist.jp/data/china/image_1915th/81078243.pdf","81078243")</f>
        <v>81078243</v>
      </c>
      <c r="F1712" s="9" t="s">
        <v>4719</v>
      </c>
      <c r="G1712" s="9" t="s">
        <v>4720</v>
      </c>
      <c r="H1712" s="9" t="s">
        <v>4721</v>
      </c>
      <c r="I1712" s="10">
        <v>45559</v>
      </c>
    </row>
    <row r="1713" spans="1:9" x14ac:dyDescent="0.15">
      <c r="A1713" s="9">
        <v>1712</v>
      </c>
      <c r="B1713" s="9" t="s">
        <v>9</v>
      </c>
      <c r="C1713" s="9">
        <v>1915</v>
      </c>
      <c r="D1713" s="10">
        <v>45639</v>
      </c>
      <c r="E1713" s="13" t="str">
        <f>+HYPERLINK("http://trademark.i-assist.jp/data/china/image_1915th/81078505.pdf","81078505")</f>
        <v>81078505</v>
      </c>
      <c r="F1713" s="9" t="s">
        <v>4722</v>
      </c>
      <c r="G1713" s="12" t="s">
        <v>4723</v>
      </c>
      <c r="H1713" s="9" t="s">
        <v>4724</v>
      </c>
      <c r="I1713" s="10">
        <v>45559</v>
      </c>
    </row>
    <row r="1714" spans="1:9" x14ac:dyDescent="0.15">
      <c r="A1714" s="9">
        <v>1713</v>
      </c>
      <c r="B1714" s="9" t="s">
        <v>9</v>
      </c>
      <c r="C1714" s="9">
        <v>1915</v>
      </c>
      <c r="D1714" s="10">
        <v>45639</v>
      </c>
      <c r="E1714" s="13" t="str">
        <f>+HYPERLINK("http://trademark.i-assist.jp/data/china/image_1915th/81078687.pdf","81078687")</f>
        <v>81078687</v>
      </c>
      <c r="F1714" s="9" t="s">
        <v>4725</v>
      </c>
      <c r="G1714" s="9" t="s">
        <v>4610</v>
      </c>
      <c r="H1714" s="9" t="s">
        <v>4726</v>
      </c>
      <c r="I1714" s="10">
        <v>45559</v>
      </c>
    </row>
    <row r="1715" spans="1:9" x14ac:dyDescent="0.15">
      <c r="A1715" s="9">
        <v>1714</v>
      </c>
      <c r="B1715" s="9" t="s">
        <v>9</v>
      </c>
      <c r="C1715" s="9">
        <v>1915</v>
      </c>
      <c r="D1715" s="10">
        <v>45639</v>
      </c>
      <c r="E1715" s="13" t="str">
        <f>+HYPERLINK("http://trademark.i-assist.jp/data/china/image_1915th/81078951.pdf","81078951")</f>
        <v>81078951</v>
      </c>
      <c r="F1715" s="9" t="s">
        <v>4727</v>
      </c>
      <c r="G1715" s="9" t="s">
        <v>4728</v>
      </c>
      <c r="H1715" s="9" t="s">
        <v>4729</v>
      </c>
      <c r="I1715" s="10">
        <v>45559</v>
      </c>
    </row>
    <row r="1716" spans="1:9" x14ac:dyDescent="0.15">
      <c r="A1716" s="9">
        <v>1715</v>
      </c>
      <c r="B1716" s="9" t="s">
        <v>9</v>
      </c>
      <c r="C1716" s="9">
        <v>1915</v>
      </c>
      <c r="D1716" s="10">
        <v>45639</v>
      </c>
      <c r="E1716" s="13" t="str">
        <f>+HYPERLINK("http://trademark.i-assist.jp/data/china/image_1915th/81079031.pdf","81079031")</f>
        <v>81079031</v>
      </c>
      <c r="F1716" s="12" t="s">
        <v>4730</v>
      </c>
      <c r="G1716" s="9" t="s">
        <v>4628</v>
      </c>
      <c r="H1716" s="12" t="s">
        <v>4731</v>
      </c>
      <c r="I1716" s="10">
        <v>45559</v>
      </c>
    </row>
    <row r="1717" spans="1:9" x14ac:dyDescent="0.15">
      <c r="A1717" s="9">
        <v>1716</v>
      </c>
      <c r="B1717" s="9" t="s">
        <v>9</v>
      </c>
      <c r="C1717" s="9">
        <v>1915</v>
      </c>
      <c r="D1717" s="10">
        <v>45639</v>
      </c>
      <c r="E1717" s="13" t="str">
        <f>+HYPERLINK("http://trademark.i-assist.jp/data/china/image_1915th/81079224.pdf","81079224")</f>
        <v>81079224</v>
      </c>
      <c r="F1717" s="9" t="s">
        <v>4732</v>
      </c>
      <c r="G1717" s="9" t="s">
        <v>4733</v>
      </c>
      <c r="H1717" s="12" t="s">
        <v>4734</v>
      </c>
      <c r="I1717" s="10">
        <v>45559</v>
      </c>
    </row>
    <row r="1718" spans="1:9" x14ac:dyDescent="0.15">
      <c r="A1718" s="9">
        <v>1717</v>
      </c>
      <c r="B1718" s="9" t="s">
        <v>9</v>
      </c>
      <c r="C1718" s="9">
        <v>1915</v>
      </c>
      <c r="D1718" s="10">
        <v>45639</v>
      </c>
      <c r="E1718" s="13" t="str">
        <f>+HYPERLINK("http://trademark.i-assist.jp/data/china/image_1915th/81079346.pdf","81079346")</f>
        <v>81079346</v>
      </c>
      <c r="F1718" s="9" t="s">
        <v>4735</v>
      </c>
      <c r="G1718" s="9" t="s">
        <v>4736</v>
      </c>
      <c r="H1718" s="9" t="s">
        <v>4737</v>
      </c>
      <c r="I1718" s="10">
        <v>45559</v>
      </c>
    </row>
    <row r="1719" spans="1:9" x14ac:dyDescent="0.15">
      <c r="A1719" s="9">
        <v>1718</v>
      </c>
      <c r="B1719" s="9" t="s">
        <v>9</v>
      </c>
      <c r="C1719" s="9">
        <v>1915</v>
      </c>
      <c r="D1719" s="10">
        <v>45639</v>
      </c>
      <c r="E1719" s="13" t="str">
        <f>+HYPERLINK("http://trademark.i-assist.jp/data/china/image_1915th/81079882.pdf","81079882")</f>
        <v>81079882</v>
      </c>
      <c r="F1719" s="12" t="s">
        <v>4738</v>
      </c>
      <c r="G1719" s="9" t="s">
        <v>68</v>
      </c>
      <c r="H1719" s="12" t="s">
        <v>4739</v>
      </c>
      <c r="I1719" s="10">
        <v>45559</v>
      </c>
    </row>
    <row r="1720" spans="1:9" x14ac:dyDescent="0.15">
      <c r="A1720" s="9">
        <v>1719</v>
      </c>
      <c r="B1720" s="9" t="s">
        <v>9</v>
      </c>
      <c r="C1720" s="9">
        <v>1915</v>
      </c>
      <c r="D1720" s="10">
        <v>45639</v>
      </c>
      <c r="E1720" s="13" t="str">
        <f>+HYPERLINK("http://trademark.i-assist.jp/data/china/image_1915th/81079895.pdf","81079895")</f>
        <v>81079895</v>
      </c>
      <c r="F1720" s="9" t="s">
        <v>4740</v>
      </c>
      <c r="G1720" s="12" t="s">
        <v>23</v>
      </c>
      <c r="H1720" s="9" t="s">
        <v>4741</v>
      </c>
      <c r="I1720" s="10">
        <v>45559</v>
      </c>
    </row>
    <row r="1721" spans="1:9" x14ac:dyDescent="0.15">
      <c r="A1721" s="9">
        <v>1720</v>
      </c>
      <c r="B1721" s="9" t="s">
        <v>9</v>
      </c>
      <c r="C1721" s="9">
        <v>1915</v>
      </c>
      <c r="D1721" s="10">
        <v>45639</v>
      </c>
      <c r="E1721" s="13" t="str">
        <f>+HYPERLINK("http://trademark.i-assist.jp/data/china/image_1915th/81080257.pdf","81080257")</f>
        <v>81080257</v>
      </c>
      <c r="F1721" s="9" t="s">
        <v>4742</v>
      </c>
      <c r="G1721" s="9" t="s">
        <v>4743</v>
      </c>
      <c r="H1721" s="9" t="s">
        <v>4744</v>
      </c>
      <c r="I1721" s="10">
        <v>45559</v>
      </c>
    </row>
    <row r="1722" spans="1:9" x14ac:dyDescent="0.15">
      <c r="A1722" s="9">
        <v>1721</v>
      </c>
      <c r="B1722" s="9" t="s">
        <v>9</v>
      </c>
      <c r="C1722" s="9">
        <v>1915</v>
      </c>
      <c r="D1722" s="10">
        <v>45639</v>
      </c>
      <c r="E1722" s="13" t="str">
        <f>+HYPERLINK("http://trademark.i-assist.jp/data/china/image_1915th/81080992.pdf","81080992")</f>
        <v>81080992</v>
      </c>
      <c r="F1722" s="9" t="s">
        <v>4745</v>
      </c>
      <c r="G1722" s="9" t="s">
        <v>4746</v>
      </c>
      <c r="H1722" s="9" t="s">
        <v>4747</v>
      </c>
      <c r="I1722" s="10">
        <v>45559</v>
      </c>
    </row>
    <row r="1723" spans="1:9" x14ac:dyDescent="0.15">
      <c r="A1723" s="9">
        <v>1722</v>
      </c>
      <c r="B1723" s="9" t="s">
        <v>9</v>
      </c>
      <c r="C1723" s="9">
        <v>1915</v>
      </c>
      <c r="D1723" s="10">
        <v>45639</v>
      </c>
      <c r="E1723" s="13" t="str">
        <f>+HYPERLINK("http://trademark.i-assist.jp/data/china/image_1915th/81080994.pdf","81080994")</f>
        <v>81080994</v>
      </c>
      <c r="F1723" s="12" t="s">
        <v>15</v>
      </c>
      <c r="G1723" s="9" t="s">
        <v>4748</v>
      </c>
      <c r="H1723" s="9" t="s">
        <v>4749</v>
      </c>
      <c r="I1723" s="10">
        <v>45559</v>
      </c>
    </row>
    <row r="1724" spans="1:9" x14ac:dyDescent="0.15">
      <c r="A1724" s="9">
        <v>1723</v>
      </c>
      <c r="B1724" s="9" t="s">
        <v>9</v>
      </c>
      <c r="C1724" s="9">
        <v>1915</v>
      </c>
      <c r="D1724" s="10">
        <v>45639</v>
      </c>
      <c r="E1724" s="13" t="str">
        <f>+HYPERLINK("http://trademark.i-assist.jp/data/china/image_1915th/81081174.pdf","81081174")</f>
        <v>81081174</v>
      </c>
      <c r="F1724" s="12" t="s">
        <v>4750</v>
      </c>
      <c r="G1724" s="9" t="s">
        <v>4751</v>
      </c>
      <c r="H1724" s="9" t="s">
        <v>4752</v>
      </c>
      <c r="I1724" s="10">
        <v>45559</v>
      </c>
    </row>
    <row r="1725" spans="1:9" x14ac:dyDescent="0.15">
      <c r="A1725" s="9">
        <v>1724</v>
      </c>
      <c r="B1725" s="9" t="s">
        <v>9</v>
      </c>
      <c r="C1725" s="9">
        <v>1915</v>
      </c>
      <c r="D1725" s="10">
        <v>45639</v>
      </c>
      <c r="E1725" s="13" t="str">
        <f>+HYPERLINK("http://trademark.i-assist.jp/data/china/image_1915th/81081241.pdf","81081241")</f>
        <v>81081241</v>
      </c>
      <c r="F1725" s="9" t="s">
        <v>4753</v>
      </c>
      <c r="G1725" s="9" t="s">
        <v>4754</v>
      </c>
      <c r="H1725" s="9" t="s">
        <v>4755</v>
      </c>
      <c r="I1725" s="10">
        <v>45559</v>
      </c>
    </row>
    <row r="1726" spans="1:9" x14ac:dyDescent="0.15">
      <c r="A1726" s="9">
        <v>1725</v>
      </c>
      <c r="B1726" s="9" t="s">
        <v>9</v>
      </c>
      <c r="C1726" s="9">
        <v>1915</v>
      </c>
      <c r="D1726" s="10">
        <v>45639</v>
      </c>
      <c r="E1726" s="13" t="str">
        <f>+HYPERLINK("http://trademark.i-assist.jp/data/china/image_1915th/81081419.pdf","81081419")</f>
        <v>81081419</v>
      </c>
      <c r="F1726" s="9" t="s">
        <v>4756</v>
      </c>
      <c r="G1726" s="9" t="s">
        <v>4757</v>
      </c>
      <c r="H1726" s="9" t="s">
        <v>4758</v>
      </c>
      <c r="I1726" s="10">
        <v>45559</v>
      </c>
    </row>
    <row r="1727" spans="1:9" x14ac:dyDescent="0.15">
      <c r="A1727" s="9">
        <v>1726</v>
      </c>
      <c r="B1727" s="9" t="s">
        <v>9</v>
      </c>
      <c r="C1727" s="9">
        <v>1915</v>
      </c>
      <c r="D1727" s="10">
        <v>45639</v>
      </c>
      <c r="E1727" s="13" t="str">
        <f>+HYPERLINK("http://trademark.i-assist.jp/data/china/image_1915th/81082873.pdf","81082873")</f>
        <v>81082873</v>
      </c>
      <c r="F1727" s="9" t="s">
        <v>4759</v>
      </c>
      <c r="G1727" s="9" t="s">
        <v>4760</v>
      </c>
      <c r="H1727" s="9" t="s">
        <v>4761</v>
      </c>
      <c r="I1727" s="10">
        <v>45559</v>
      </c>
    </row>
    <row r="1728" spans="1:9" x14ac:dyDescent="0.15">
      <c r="A1728" s="9">
        <v>1727</v>
      </c>
      <c r="B1728" s="9" t="s">
        <v>9</v>
      </c>
      <c r="C1728" s="9">
        <v>1915</v>
      </c>
      <c r="D1728" s="10">
        <v>45639</v>
      </c>
      <c r="E1728" s="13" t="str">
        <f>+HYPERLINK("http://trademark.i-assist.jp/data/china/image_1915th/81082939.pdf","81082939")</f>
        <v>81082939</v>
      </c>
      <c r="F1728" s="9" t="s">
        <v>4762</v>
      </c>
      <c r="G1728" s="9" t="s">
        <v>4760</v>
      </c>
      <c r="H1728" s="9" t="s">
        <v>4763</v>
      </c>
      <c r="I1728" s="10">
        <v>45559</v>
      </c>
    </row>
    <row r="1729" spans="1:9" x14ac:dyDescent="0.15">
      <c r="A1729" s="9">
        <v>1728</v>
      </c>
      <c r="B1729" s="9" t="s">
        <v>9</v>
      </c>
      <c r="C1729" s="9">
        <v>1915</v>
      </c>
      <c r="D1729" s="10">
        <v>45639</v>
      </c>
      <c r="E1729" s="13" t="str">
        <f>+HYPERLINK("http://trademark.i-assist.jp/data/china/image_1915th/81082946.pdf","81082946")</f>
        <v>81082946</v>
      </c>
      <c r="F1729" s="9" t="s">
        <v>4764</v>
      </c>
      <c r="G1729" s="9" t="s">
        <v>4765</v>
      </c>
      <c r="H1729" s="12" t="s">
        <v>4766</v>
      </c>
      <c r="I1729" s="10">
        <v>45559</v>
      </c>
    </row>
    <row r="1730" spans="1:9" x14ac:dyDescent="0.15">
      <c r="A1730" s="9">
        <v>1729</v>
      </c>
      <c r="B1730" s="9" t="s">
        <v>9</v>
      </c>
      <c r="C1730" s="9">
        <v>1915</v>
      </c>
      <c r="D1730" s="10">
        <v>45639</v>
      </c>
      <c r="E1730" s="13" t="str">
        <f>+HYPERLINK("http://trademark.i-assist.jp/data/china/image_1915th/81083212.pdf","81083212")</f>
        <v>81083212</v>
      </c>
      <c r="F1730" s="9" t="s">
        <v>4767</v>
      </c>
      <c r="G1730" s="9" t="s">
        <v>4768</v>
      </c>
      <c r="H1730" s="9" t="s">
        <v>4769</v>
      </c>
      <c r="I1730" s="10">
        <v>45559</v>
      </c>
    </row>
    <row r="1731" spans="1:9" x14ac:dyDescent="0.15">
      <c r="A1731" s="9">
        <v>1730</v>
      </c>
      <c r="B1731" s="9" t="s">
        <v>9</v>
      </c>
      <c r="C1731" s="9">
        <v>1915</v>
      </c>
      <c r="D1731" s="10">
        <v>45639</v>
      </c>
      <c r="E1731" s="13" t="str">
        <f>+HYPERLINK("http://trademark.i-assist.jp/data/china/image_1915th/81083486.pdf","81083486")</f>
        <v>81083486</v>
      </c>
      <c r="F1731" s="9" t="s">
        <v>4770</v>
      </c>
      <c r="G1731" s="12" t="s">
        <v>4625</v>
      </c>
      <c r="H1731" s="12" t="s">
        <v>4771</v>
      </c>
      <c r="I1731" s="10">
        <v>45559</v>
      </c>
    </row>
    <row r="1732" spans="1:9" x14ac:dyDescent="0.15">
      <c r="A1732" s="9">
        <v>1731</v>
      </c>
      <c r="B1732" s="9" t="s">
        <v>9</v>
      </c>
      <c r="C1732" s="9">
        <v>1915</v>
      </c>
      <c r="D1732" s="10">
        <v>45639</v>
      </c>
      <c r="E1732" s="13" t="str">
        <f>+HYPERLINK("http://trademark.i-assist.jp/data/china/image_1915th/81083752.pdf","81083752")</f>
        <v>81083752</v>
      </c>
      <c r="F1732" s="9" t="s">
        <v>4772</v>
      </c>
      <c r="G1732" s="9" t="s">
        <v>4773</v>
      </c>
      <c r="H1732" s="9" t="s">
        <v>4774</v>
      </c>
      <c r="I1732" s="10">
        <v>45559</v>
      </c>
    </row>
    <row r="1733" spans="1:9" x14ac:dyDescent="0.15">
      <c r="A1733" s="9">
        <v>1732</v>
      </c>
      <c r="B1733" s="9" t="s">
        <v>9</v>
      </c>
      <c r="C1733" s="9">
        <v>1915</v>
      </c>
      <c r="D1733" s="10">
        <v>45639</v>
      </c>
      <c r="E1733" s="13" t="str">
        <f>+HYPERLINK("http://trademark.i-assist.jp/data/china/image_1915th/81083800.pdf","81083800")</f>
        <v>81083800</v>
      </c>
      <c r="F1733" s="9" t="s">
        <v>4775</v>
      </c>
      <c r="G1733" s="9" t="s">
        <v>4776</v>
      </c>
      <c r="H1733" s="9" t="s">
        <v>4777</v>
      </c>
      <c r="I1733" s="10">
        <v>45559</v>
      </c>
    </row>
    <row r="1734" spans="1:9" x14ac:dyDescent="0.15">
      <c r="A1734" s="9">
        <v>1733</v>
      </c>
      <c r="B1734" s="9" t="s">
        <v>9</v>
      </c>
      <c r="C1734" s="9">
        <v>1915</v>
      </c>
      <c r="D1734" s="10">
        <v>45639</v>
      </c>
      <c r="E1734" s="13" t="str">
        <f>+HYPERLINK("http://trademark.i-assist.jp/data/china/image_1915th/81083814.pdf","81083814")</f>
        <v>81083814</v>
      </c>
      <c r="F1734" s="9" t="s">
        <v>4778</v>
      </c>
      <c r="G1734" s="9" t="s">
        <v>4653</v>
      </c>
      <c r="H1734" s="9" t="s">
        <v>4779</v>
      </c>
      <c r="I1734" s="10">
        <v>45559</v>
      </c>
    </row>
    <row r="1735" spans="1:9" x14ac:dyDescent="0.15">
      <c r="A1735" s="9">
        <v>1734</v>
      </c>
      <c r="B1735" s="9" t="s">
        <v>9</v>
      </c>
      <c r="C1735" s="9">
        <v>1915</v>
      </c>
      <c r="D1735" s="10">
        <v>45639</v>
      </c>
      <c r="E1735" s="13" t="str">
        <f>+HYPERLINK("http://trademark.i-assist.jp/data/china/image_1915th/81083818.pdf","81083818")</f>
        <v>81083818</v>
      </c>
      <c r="F1735" s="9" t="s">
        <v>4780</v>
      </c>
      <c r="G1735" s="12" t="s">
        <v>23</v>
      </c>
      <c r="H1735" s="9" t="s">
        <v>4781</v>
      </c>
      <c r="I1735" s="10">
        <v>45559</v>
      </c>
    </row>
    <row r="1736" spans="1:9" x14ac:dyDescent="0.15">
      <c r="A1736" s="9">
        <v>1735</v>
      </c>
      <c r="B1736" s="9" t="s">
        <v>9</v>
      </c>
      <c r="C1736" s="9">
        <v>1915</v>
      </c>
      <c r="D1736" s="10">
        <v>45639</v>
      </c>
      <c r="E1736" s="13" t="str">
        <f>+HYPERLINK("http://trademark.i-assist.jp/data/china/image_1915th/81083827.pdf","81083827")</f>
        <v>81083827</v>
      </c>
      <c r="F1736" s="9" t="s">
        <v>4782</v>
      </c>
      <c r="G1736" s="12" t="s">
        <v>23</v>
      </c>
      <c r="H1736" s="9" t="s">
        <v>4783</v>
      </c>
      <c r="I1736" s="10">
        <v>45559</v>
      </c>
    </row>
    <row r="1737" spans="1:9" x14ac:dyDescent="0.15">
      <c r="A1737" s="9">
        <v>1736</v>
      </c>
      <c r="B1737" s="9" t="s">
        <v>9</v>
      </c>
      <c r="C1737" s="9">
        <v>1915</v>
      </c>
      <c r="D1737" s="10">
        <v>45639</v>
      </c>
      <c r="E1737" s="13" t="str">
        <f>+HYPERLINK("http://trademark.i-assist.jp/data/china/image_1915th/81083849.pdf","81083849")</f>
        <v>81083849</v>
      </c>
      <c r="F1737" s="9" t="s">
        <v>4784</v>
      </c>
      <c r="G1737" s="9" t="s">
        <v>4628</v>
      </c>
      <c r="H1737" s="9" t="s">
        <v>4785</v>
      </c>
      <c r="I1737" s="10">
        <v>45559</v>
      </c>
    </row>
    <row r="1738" spans="1:9" x14ac:dyDescent="0.15">
      <c r="A1738" s="9">
        <v>1737</v>
      </c>
      <c r="B1738" s="9" t="s">
        <v>9</v>
      </c>
      <c r="C1738" s="9">
        <v>1915</v>
      </c>
      <c r="D1738" s="10">
        <v>45639</v>
      </c>
      <c r="E1738" s="13" t="str">
        <f>+HYPERLINK("http://trademark.i-assist.jp/data/china/image_1915th/81083880.pdf","81083880")</f>
        <v>81083880</v>
      </c>
      <c r="F1738" s="9" t="s">
        <v>4786</v>
      </c>
      <c r="G1738" s="9" t="s">
        <v>4787</v>
      </c>
      <c r="H1738" s="9" t="s">
        <v>4788</v>
      </c>
      <c r="I1738" s="10">
        <v>45559</v>
      </c>
    </row>
    <row r="1739" spans="1:9" x14ac:dyDescent="0.15">
      <c r="A1739" s="9">
        <v>1738</v>
      </c>
      <c r="B1739" s="9" t="s">
        <v>9</v>
      </c>
      <c r="C1739" s="9">
        <v>1915</v>
      </c>
      <c r="D1739" s="10">
        <v>45639</v>
      </c>
      <c r="E1739" s="13" t="str">
        <f>+HYPERLINK("http://trademark.i-assist.jp/data/china/image_1915th/81083986.pdf","81083986")</f>
        <v>81083986</v>
      </c>
      <c r="F1739" s="9" t="s">
        <v>4789</v>
      </c>
      <c r="G1739" s="9" t="s">
        <v>4790</v>
      </c>
      <c r="H1739" s="9" t="s">
        <v>4791</v>
      </c>
      <c r="I1739" s="10">
        <v>45559</v>
      </c>
    </row>
    <row r="1740" spans="1:9" x14ac:dyDescent="0.15">
      <c r="A1740" s="9">
        <v>1739</v>
      </c>
      <c r="B1740" s="9" t="s">
        <v>9</v>
      </c>
      <c r="C1740" s="9">
        <v>1915</v>
      </c>
      <c r="D1740" s="10">
        <v>45639</v>
      </c>
      <c r="E1740" s="13" t="str">
        <f>+HYPERLINK("http://trademark.i-assist.jp/data/china/image_1915th/81084083.pdf","81084083")</f>
        <v>81084083</v>
      </c>
      <c r="F1740" s="12" t="s">
        <v>4792</v>
      </c>
      <c r="G1740" s="9" t="s">
        <v>4793</v>
      </c>
      <c r="H1740" s="9" t="s">
        <v>4794</v>
      </c>
      <c r="I1740" s="10">
        <v>45559</v>
      </c>
    </row>
    <row r="1741" spans="1:9" x14ac:dyDescent="0.15">
      <c r="A1741" s="9">
        <v>1740</v>
      </c>
      <c r="B1741" s="9" t="s">
        <v>9</v>
      </c>
      <c r="C1741" s="9">
        <v>1915</v>
      </c>
      <c r="D1741" s="10">
        <v>45639</v>
      </c>
      <c r="E1741" s="13" t="str">
        <f>+HYPERLINK("http://trademark.i-assist.jp/data/china/image_1915th/81084105.pdf","81084105")</f>
        <v>81084105</v>
      </c>
      <c r="F1741" s="9" t="s">
        <v>4795</v>
      </c>
      <c r="G1741" s="9" t="s">
        <v>4585</v>
      </c>
      <c r="H1741" s="9" t="s">
        <v>4796</v>
      </c>
      <c r="I1741" s="10">
        <v>45559</v>
      </c>
    </row>
    <row r="1742" spans="1:9" x14ac:dyDescent="0.15">
      <c r="A1742" s="9">
        <v>1741</v>
      </c>
      <c r="B1742" s="9" t="s">
        <v>9</v>
      </c>
      <c r="C1742" s="9">
        <v>1915</v>
      </c>
      <c r="D1742" s="10">
        <v>45639</v>
      </c>
      <c r="E1742" s="13" t="str">
        <f>+HYPERLINK("http://trademark.i-assist.jp/data/china/image_1915th/81084451.pdf","81084451")</f>
        <v>81084451</v>
      </c>
      <c r="F1742" s="9" t="s">
        <v>4797</v>
      </c>
      <c r="G1742" s="9" t="s">
        <v>4798</v>
      </c>
      <c r="H1742" s="9" t="s">
        <v>4799</v>
      </c>
      <c r="I1742" s="10">
        <v>45559</v>
      </c>
    </row>
    <row r="1743" spans="1:9" x14ac:dyDescent="0.15">
      <c r="A1743" s="9">
        <v>1742</v>
      </c>
      <c r="B1743" s="9" t="s">
        <v>9</v>
      </c>
      <c r="C1743" s="9">
        <v>1915</v>
      </c>
      <c r="D1743" s="10">
        <v>45639</v>
      </c>
      <c r="E1743" s="13" t="str">
        <f>+HYPERLINK("http://trademark.i-assist.jp/data/china/image_1915th/81084458.pdf","81084458")</f>
        <v>81084458</v>
      </c>
      <c r="F1743" s="9" t="s">
        <v>4800</v>
      </c>
      <c r="G1743" s="9" t="s">
        <v>4798</v>
      </c>
      <c r="H1743" s="9" t="s">
        <v>4801</v>
      </c>
      <c r="I1743" s="10">
        <v>45559</v>
      </c>
    </row>
    <row r="1744" spans="1:9" x14ac:dyDescent="0.15">
      <c r="A1744" s="9">
        <v>1743</v>
      </c>
      <c r="B1744" s="9" t="s">
        <v>9</v>
      </c>
      <c r="C1744" s="9">
        <v>1915</v>
      </c>
      <c r="D1744" s="10">
        <v>45639</v>
      </c>
      <c r="E1744" s="13" t="str">
        <f>+HYPERLINK("http://trademark.i-assist.jp/data/china/image_1915th/81084957.pdf","81084957")</f>
        <v>81084957</v>
      </c>
      <c r="F1744" s="9" t="s">
        <v>4802</v>
      </c>
      <c r="G1744" s="9" t="s">
        <v>4803</v>
      </c>
      <c r="H1744" s="9" t="s">
        <v>4804</v>
      </c>
      <c r="I1744" s="10">
        <v>45559</v>
      </c>
    </row>
    <row r="1745" spans="1:9" x14ac:dyDescent="0.15">
      <c r="A1745" s="9">
        <v>1744</v>
      </c>
      <c r="B1745" s="9" t="s">
        <v>9</v>
      </c>
      <c r="C1745" s="9">
        <v>1915</v>
      </c>
      <c r="D1745" s="10">
        <v>45639</v>
      </c>
      <c r="E1745" s="13" t="str">
        <f>+HYPERLINK("http://trademark.i-assist.jp/data/china/image_1915th/81084976.pdf","81084976")</f>
        <v>81084976</v>
      </c>
      <c r="F1745" s="9" t="s">
        <v>4805</v>
      </c>
      <c r="G1745" s="9" t="s">
        <v>4806</v>
      </c>
      <c r="H1745" s="9" t="s">
        <v>4807</v>
      </c>
      <c r="I1745" s="10">
        <v>45559</v>
      </c>
    </row>
    <row r="1746" spans="1:9" x14ac:dyDescent="0.15">
      <c r="A1746" s="9">
        <v>1745</v>
      </c>
      <c r="B1746" s="9" t="s">
        <v>9</v>
      </c>
      <c r="C1746" s="9">
        <v>1915</v>
      </c>
      <c r="D1746" s="10">
        <v>45639</v>
      </c>
      <c r="E1746" s="13" t="str">
        <f>+HYPERLINK("http://trademark.i-assist.jp/data/china/image_1915th/81085119.pdf","81085119")</f>
        <v>81085119</v>
      </c>
      <c r="F1746" s="9" t="s">
        <v>4808</v>
      </c>
      <c r="G1746" s="12" t="s">
        <v>66</v>
      </c>
      <c r="H1746" s="9" t="s">
        <v>4809</v>
      </c>
      <c r="I1746" s="10">
        <v>45559</v>
      </c>
    </row>
    <row r="1747" spans="1:9" x14ac:dyDescent="0.15">
      <c r="A1747" s="9">
        <v>1746</v>
      </c>
      <c r="B1747" s="9" t="s">
        <v>9</v>
      </c>
      <c r="C1747" s="9">
        <v>1915</v>
      </c>
      <c r="D1747" s="10">
        <v>45639</v>
      </c>
      <c r="E1747" s="13" t="str">
        <f>+HYPERLINK("http://trademark.i-assist.jp/data/china/image_1915th/81085138.pdf","81085138")</f>
        <v>81085138</v>
      </c>
      <c r="F1747" s="12" t="s">
        <v>4810</v>
      </c>
      <c r="G1747" s="9" t="s">
        <v>68</v>
      </c>
      <c r="H1747" s="9" t="s">
        <v>4811</v>
      </c>
      <c r="I1747" s="10">
        <v>45559</v>
      </c>
    </row>
    <row r="1748" spans="1:9" x14ac:dyDescent="0.15">
      <c r="A1748" s="9">
        <v>1747</v>
      </c>
      <c r="B1748" s="9" t="s">
        <v>9</v>
      </c>
      <c r="C1748" s="9">
        <v>1915</v>
      </c>
      <c r="D1748" s="10">
        <v>45639</v>
      </c>
      <c r="E1748" s="13" t="str">
        <f>+HYPERLINK("http://trademark.i-assist.jp/data/china/image_1915th/81085435.pdf","81085435")</f>
        <v>81085435</v>
      </c>
      <c r="F1748" s="9" t="s">
        <v>4812</v>
      </c>
      <c r="G1748" s="9" t="s">
        <v>4813</v>
      </c>
      <c r="H1748" s="9" t="s">
        <v>4814</v>
      </c>
      <c r="I1748" s="10">
        <v>45559</v>
      </c>
    </row>
    <row r="1749" spans="1:9" x14ac:dyDescent="0.15">
      <c r="A1749" s="9">
        <v>1748</v>
      </c>
      <c r="B1749" s="9" t="s">
        <v>9</v>
      </c>
      <c r="C1749" s="9">
        <v>1915</v>
      </c>
      <c r="D1749" s="10">
        <v>45639</v>
      </c>
      <c r="E1749" s="13" t="str">
        <f>+HYPERLINK("http://trademark.i-assist.jp/data/china/image_1915th/81085523.pdf","81085523")</f>
        <v>81085523</v>
      </c>
      <c r="F1749" s="9" t="s">
        <v>4815</v>
      </c>
      <c r="G1749" s="9" t="s">
        <v>4816</v>
      </c>
      <c r="H1749" s="9" t="s">
        <v>4817</v>
      </c>
      <c r="I1749" s="10">
        <v>45559</v>
      </c>
    </row>
    <row r="1750" spans="1:9" x14ac:dyDescent="0.15">
      <c r="A1750" s="9">
        <v>1749</v>
      </c>
      <c r="B1750" s="9" t="s">
        <v>9</v>
      </c>
      <c r="C1750" s="9">
        <v>1915</v>
      </c>
      <c r="D1750" s="10">
        <v>45639</v>
      </c>
      <c r="E1750" s="13" t="str">
        <f>+HYPERLINK("http://trademark.i-assist.jp/data/china/image_1915th/81085892.pdf","81085892")</f>
        <v>81085892</v>
      </c>
      <c r="F1750" s="9" t="s">
        <v>4818</v>
      </c>
      <c r="G1750" s="9" t="s">
        <v>34</v>
      </c>
      <c r="H1750" s="9" t="s">
        <v>4819</v>
      </c>
      <c r="I1750" s="10">
        <v>45559</v>
      </c>
    </row>
    <row r="1751" spans="1:9" x14ac:dyDescent="0.15">
      <c r="A1751" s="9">
        <v>1750</v>
      </c>
      <c r="B1751" s="9" t="s">
        <v>9</v>
      </c>
      <c r="C1751" s="9">
        <v>1915</v>
      </c>
      <c r="D1751" s="10">
        <v>45639</v>
      </c>
      <c r="E1751" s="13" t="str">
        <f>+HYPERLINK("http://trademark.i-assist.jp/data/china/image_1915th/81085906.pdf","81085906")</f>
        <v>81085906</v>
      </c>
      <c r="F1751" s="9" t="s">
        <v>4820</v>
      </c>
      <c r="G1751" s="9" t="s">
        <v>4821</v>
      </c>
      <c r="H1751" s="9" t="s">
        <v>4822</v>
      </c>
      <c r="I1751" s="10">
        <v>45559</v>
      </c>
    </row>
    <row r="1752" spans="1:9" x14ac:dyDescent="0.15">
      <c r="A1752" s="9">
        <v>1751</v>
      </c>
      <c r="B1752" s="9" t="s">
        <v>9</v>
      </c>
      <c r="C1752" s="9">
        <v>1915</v>
      </c>
      <c r="D1752" s="10">
        <v>45639</v>
      </c>
      <c r="E1752" s="13" t="str">
        <f>+HYPERLINK("http://trademark.i-assist.jp/data/china/image_1915th/81085913.pdf","81085913")</f>
        <v>81085913</v>
      </c>
      <c r="F1752" s="9" t="s">
        <v>4823</v>
      </c>
      <c r="G1752" s="9" t="s">
        <v>3674</v>
      </c>
      <c r="H1752" s="9" t="s">
        <v>4824</v>
      </c>
      <c r="I1752" s="10">
        <v>45559</v>
      </c>
    </row>
    <row r="1753" spans="1:9" x14ac:dyDescent="0.15">
      <c r="A1753" s="9">
        <v>1752</v>
      </c>
      <c r="B1753" s="9" t="s">
        <v>9</v>
      </c>
      <c r="C1753" s="9">
        <v>1915</v>
      </c>
      <c r="D1753" s="10">
        <v>45639</v>
      </c>
      <c r="E1753" s="13" t="str">
        <f>+HYPERLINK("http://trademark.i-assist.jp/data/china/image_1915th/81085961.pdf","81085961")</f>
        <v>81085961</v>
      </c>
      <c r="F1753" s="9" t="s">
        <v>4825</v>
      </c>
      <c r="G1753" s="12" t="s">
        <v>4826</v>
      </c>
      <c r="H1753" s="9" t="s">
        <v>4827</v>
      </c>
      <c r="I1753" s="10">
        <v>45559</v>
      </c>
    </row>
    <row r="1754" spans="1:9" x14ac:dyDescent="0.15">
      <c r="A1754" s="9">
        <v>1753</v>
      </c>
      <c r="B1754" s="9" t="s">
        <v>9</v>
      </c>
      <c r="C1754" s="9">
        <v>1915</v>
      </c>
      <c r="D1754" s="10">
        <v>45639</v>
      </c>
      <c r="E1754" s="13" t="str">
        <f>+HYPERLINK("http://trademark.i-assist.jp/data/china/image_1915th/81086190.pdf","81086190")</f>
        <v>81086190</v>
      </c>
      <c r="F1754" s="12" t="s">
        <v>4828</v>
      </c>
      <c r="G1754" s="9" t="s">
        <v>4610</v>
      </c>
      <c r="H1754" s="9" t="s">
        <v>4829</v>
      </c>
      <c r="I1754" s="10">
        <v>45559</v>
      </c>
    </row>
    <row r="1755" spans="1:9" x14ac:dyDescent="0.15">
      <c r="A1755" s="9">
        <v>1754</v>
      </c>
      <c r="B1755" s="9" t="s">
        <v>9</v>
      </c>
      <c r="C1755" s="9">
        <v>1915</v>
      </c>
      <c r="D1755" s="10">
        <v>45639</v>
      </c>
      <c r="E1755" s="13" t="str">
        <f>+HYPERLINK("http://trademark.i-assist.jp/data/china/image_1915th/81086212.pdf","81086212")</f>
        <v>81086212</v>
      </c>
      <c r="F1755" s="9" t="s">
        <v>4830</v>
      </c>
      <c r="G1755" s="9" t="s">
        <v>4610</v>
      </c>
      <c r="H1755" s="9" t="s">
        <v>4831</v>
      </c>
      <c r="I1755" s="10">
        <v>45559</v>
      </c>
    </row>
    <row r="1756" spans="1:9" x14ac:dyDescent="0.15">
      <c r="A1756" s="9">
        <v>1755</v>
      </c>
      <c r="B1756" s="9" t="s">
        <v>9</v>
      </c>
      <c r="C1756" s="9">
        <v>1915</v>
      </c>
      <c r="D1756" s="10">
        <v>45639</v>
      </c>
      <c r="E1756" s="13" t="str">
        <f>+HYPERLINK("http://trademark.i-assist.jp/data/china/image_1915th/81086216.pdf","81086216")</f>
        <v>81086216</v>
      </c>
      <c r="F1756" s="9" t="s">
        <v>4832</v>
      </c>
      <c r="G1756" s="9" t="s">
        <v>4610</v>
      </c>
      <c r="H1756" s="9" t="s">
        <v>4833</v>
      </c>
      <c r="I1756" s="10">
        <v>45559</v>
      </c>
    </row>
    <row r="1757" spans="1:9" x14ac:dyDescent="0.15">
      <c r="A1757" s="9">
        <v>1756</v>
      </c>
      <c r="B1757" s="9" t="s">
        <v>9</v>
      </c>
      <c r="C1757" s="9">
        <v>1915</v>
      </c>
      <c r="D1757" s="10">
        <v>45639</v>
      </c>
      <c r="E1757" s="13" t="str">
        <f>+HYPERLINK("http://trademark.i-assist.jp/data/china/image_1915th/81086565.pdf","81086565")</f>
        <v>81086565</v>
      </c>
      <c r="F1757" s="12" t="s">
        <v>4834</v>
      </c>
      <c r="G1757" s="9" t="s">
        <v>4757</v>
      </c>
      <c r="H1757" s="9" t="s">
        <v>4835</v>
      </c>
      <c r="I1757" s="10">
        <v>45559</v>
      </c>
    </row>
    <row r="1758" spans="1:9" x14ac:dyDescent="0.15">
      <c r="A1758" s="9">
        <v>1757</v>
      </c>
      <c r="B1758" s="9" t="s">
        <v>9</v>
      </c>
      <c r="C1758" s="9">
        <v>1915</v>
      </c>
      <c r="D1758" s="10">
        <v>45639</v>
      </c>
      <c r="E1758" s="13" t="str">
        <f>+HYPERLINK("http://trademark.i-assist.jp/data/china/image_1915th/81086654.pdf","81086654")</f>
        <v>81086654</v>
      </c>
      <c r="F1758" s="9" t="s">
        <v>4836</v>
      </c>
      <c r="G1758" s="12" t="s">
        <v>23</v>
      </c>
      <c r="H1758" s="9" t="s">
        <v>4837</v>
      </c>
      <c r="I1758" s="10">
        <v>45559</v>
      </c>
    </row>
    <row r="1759" spans="1:9" x14ac:dyDescent="0.15">
      <c r="A1759" s="9">
        <v>1758</v>
      </c>
      <c r="B1759" s="9" t="s">
        <v>9</v>
      </c>
      <c r="C1759" s="9">
        <v>1915</v>
      </c>
      <c r="D1759" s="10">
        <v>45639</v>
      </c>
      <c r="E1759" s="13" t="str">
        <f>+HYPERLINK("http://trademark.i-assist.jp/data/china/image_1915th/81086829.pdf","81086829")</f>
        <v>81086829</v>
      </c>
      <c r="F1759" s="12" t="s">
        <v>4838</v>
      </c>
      <c r="G1759" s="9" t="s">
        <v>4653</v>
      </c>
      <c r="H1759" s="9" t="s">
        <v>4839</v>
      </c>
      <c r="I1759" s="10">
        <v>45559</v>
      </c>
    </row>
    <row r="1760" spans="1:9" x14ac:dyDescent="0.15">
      <c r="A1760" s="9">
        <v>1759</v>
      </c>
      <c r="B1760" s="9" t="s">
        <v>9</v>
      </c>
      <c r="C1760" s="9">
        <v>1915</v>
      </c>
      <c r="D1760" s="10">
        <v>45639</v>
      </c>
      <c r="E1760" s="13" t="str">
        <f>+HYPERLINK("http://trademark.i-assist.jp/data/china/image_1915th/81086892.pdf","81086892")</f>
        <v>81086892</v>
      </c>
      <c r="F1760" s="9" t="s">
        <v>4840</v>
      </c>
      <c r="G1760" s="9" t="s">
        <v>4841</v>
      </c>
      <c r="H1760" s="9" t="s">
        <v>4842</v>
      </c>
      <c r="I1760" s="10">
        <v>45559</v>
      </c>
    </row>
    <row r="1761" spans="1:9" x14ac:dyDescent="0.15">
      <c r="A1761" s="9">
        <v>1760</v>
      </c>
      <c r="B1761" s="9" t="s">
        <v>9</v>
      </c>
      <c r="C1761" s="9">
        <v>1915</v>
      </c>
      <c r="D1761" s="10">
        <v>45639</v>
      </c>
      <c r="E1761" s="13" t="str">
        <f>+HYPERLINK("http://trademark.i-assist.jp/data/china/image_1915th/81087368.pdf","81087368")</f>
        <v>81087368</v>
      </c>
      <c r="F1761" s="9" t="s">
        <v>4843</v>
      </c>
      <c r="G1761" s="9" t="s">
        <v>4844</v>
      </c>
      <c r="H1761" s="9" t="s">
        <v>4845</v>
      </c>
      <c r="I1761" s="10">
        <v>45559</v>
      </c>
    </row>
    <row r="1762" spans="1:9" x14ac:dyDescent="0.15">
      <c r="A1762" s="9">
        <v>1761</v>
      </c>
      <c r="B1762" s="9" t="s">
        <v>9</v>
      </c>
      <c r="C1762" s="9">
        <v>1915</v>
      </c>
      <c r="D1762" s="10">
        <v>45639</v>
      </c>
      <c r="E1762" s="13" t="str">
        <f>+HYPERLINK("http://trademark.i-assist.jp/data/china/image_1915th/81087791.pdf","81087791")</f>
        <v>81087791</v>
      </c>
      <c r="F1762" s="9" t="s">
        <v>4846</v>
      </c>
      <c r="G1762" s="12" t="s">
        <v>4847</v>
      </c>
      <c r="H1762" s="9" t="s">
        <v>4848</v>
      </c>
      <c r="I1762" s="10">
        <v>45559</v>
      </c>
    </row>
    <row r="1763" spans="1:9" x14ac:dyDescent="0.15">
      <c r="A1763" s="9">
        <v>1762</v>
      </c>
      <c r="B1763" s="9" t="s">
        <v>9</v>
      </c>
      <c r="C1763" s="9">
        <v>1915</v>
      </c>
      <c r="D1763" s="10">
        <v>45639</v>
      </c>
      <c r="E1763" s="13" t="str">
        <f>+HYPERLINK("http://trademark.i-assist.jp/data/china/image_1915th/81088076.pdf","81088076")</f>
        <v>81088076</v>
      </c>
      <c r="F1763" s="12" t="s">
        <v>4849</v>
      </c>
      <c r="G1763" s="9" t="s">
        <v>4850</v>
      </c>
      <c r="H1763" s="9" t="s">
        <v>4851</v>
      </c>
      <c r="I1763" s="10">
        <v>45559</v>
      </c>
    </row>
    <row r="1764" spans="1:9" x14ac:dyDescent="0.15">
      <c r="A1764" s="9">
        <v>1763</v>
      </c>
      <c r="B1764" s="9" t="s">
        <v>9</v>
      </c>
      <c r="C1764" s="9">
        <v>1915</v>
      </c>
      <c r="D1764" s="10">
        <v>45639</v>
      </c>
      <c r="E1764" s="13" t="str">
        <f>+HYPERLINK("http://trademark.i-assist.jp/data/china/image_1915th/81088502.pdf","81088502")</f>
        <v>81088502</v>
      </c>
      <c r="F1764" s="9" t="s">
        <v>4740</v>
      </c>
      <c r="G1764" s="12" t="s">
        <v>23</v>
      </c>
      <c r="H1764" s="9" t="s">
        <v>4852</v>
      </c>
      <c r="I1764" s="10">
        <v>45559</v>
      </c>
    </row>
    <row r="1765" spans="1:9" x14ac:dyDescent="0.15">
      <c r="A1765" s="9">
        <v>1764</v>
      </c>
      <c r="B1765" s="9" t="s">
        <v>9</v>
      </c>
      <c r="C1765" s="9">
        <v>1915</v>
      </c>
      <c r="D1765" s="10">
        <v>45639</v>
      </c>
      <c r="E1765" s="13" t="str">
        <f>+HYPERLINK("http://trademark.i-assist.jp/data/china/image_1915th/81088702.pdf","81088702")</f>
        <v>81088702</v>
      </c>
      <c r="F1765" s="9" t="s">
        <v>4853</v>
      </c>
      <c r="G1765" s="9" t="s">
        <v>4604</v>
      </c>
      <c r="H1765" s="9" t="s">
        <v>4854</v>
      </c>
      <c r="I1765" s="10">
        <v>45559</v>
      </c>
    </row>
    <row r="1766" spans="1:9" x14ac:dyDescent="0.15">
      <c r="A1766" s="9">
        <v>1765</v>
      </c>
      <c r="B1766" s="9" t="s">
        <v>9</v>
      </c>
      <c r="C1766" s="9">
        <v>1915</v>
      </c>
      <c r="D1766" s="10">
        <v>45639</v>
      </c>
      <c r="E1766" s="13" t="str">
        <f>+HYPERLINK("http://trademark.i-assist.jp/data/china/image_1915th/81088910.pdf","81088910")</f>
        <v>81088910</v>
      </c>
      <c r="F1766" s="11" t="s">
        <v>4855</v>
      </c>
      <c r="G1766" s="9" t="s">
        <v>4856</v>
      </c>
      <c r="H1766" s="12" t="s">
        <v>4857</v>
      </c>
      <c r="I1766" s="10">
        <v>45559</v>
      </c>
    </row>
    <row r="1767" spans="1:9" x14ac:dyDescent="0.15">
      <c r="A1767" s="9">
        <v>1766</v>
      </c>
      <c r="B1767" s="9" t="s">
        <v>9</v>
      </c>
      <c r="C1767" s="9">
        <v>1915</v>
      </c>
      <c r="D1767" s="10">
        <v>45639</v>
      </c>
      <c r="E1767" s="13" t="str">
        <f>+HYPERLINK("http://trademark.i-assist.jp/data/china/image_1915th/81089076.pdf","81089076")</f>
        <v>81089076</v>
      </c>
      <c r="F1767" s="12" t="s">
        <v>4858</v>
      </c>
      <c r="G1767" s="9" t="s">
        <v>4746</v>
      </c>
      <c r="H1767" s="9" t="s">
        <v>4859</v>
      </c>
      <c r="I1767" s="10">
        <v>45559</v>
      </c>
    </row>
    <row r="1768" spans="1:9" x14ac:dyDescent="0.15">
      <c r="A1768" s="9">
        <v>1767</v>
      </c>
      <c r="B1768" s="9" t="s">
        <v>9</v>
      </c>
      <c r="C1768" s="9">
        <v>1915</v>
      </c>
      <c r="D1768" s="10">
        <v>45639</v>
      </c>
      <c r="E1768" s="13" t="str">
        <f>+HYPERLINK("http://trademark.i-assist.jp/data/china/image_1915th/81089635.pdf","81089635")</f>
        <v>81089635</v>
      </c>
      <c r="F1768" s="12" t="s">
        <v>4860</v>
      </c>
      <c r="G1768" s="9" t="s">
        <v>4790</v>
      </c>
      <c r="H1768" s="9" t="s">
        <v>4861</v>
      </c>
      <c r="I1768" s="10">
        <v>45559</v>
      </c>
    </row>
    <row r="1769" spans="1:9" x14ac:dyDescent="0.15">
      <c r="A1769" s="9">
        <v>1768</v>
      </c>
      <c r="B1769" s="9" t="s">
        <v>9</v>
      </c>
      <c r="C1769" s="9">
        <v>1915</v>
      </c>
      <c r="D1769" s="10">
        <v>45639</v>
      </c>
      <c r="E1769" s="13" t="str">
        <f>+HYPERLINK("http://trademark.i-assist.jp/data/china/image_1915th/81089760.pdf","81089760")</f>
        <v>81089760</v>
      </c>
      <c r="F1769" s="9" t="s">
        <v>4862</v>
      </c>
      <c r="G1769" s="9" t="s">
        <v>4863</v>
      </c>
      <c r="H1769" s="12" t="s">
        <v>4864</v>
      </c>
      <c r="I1769" s="10">
        <v>45559</v>
      </c>
    </row>
    <row r="1770" spans="1:9" x14ac:dyDescent="0.15">
      <c r="A1770" s="9">
        <v>1769</v>
      </c>
      <c r="B1770" s="9" t="s">
        <v>9</v>
      </c>
      <c r="C1770" s="9">
        <v>1915</v>
      </c>
      <c r="D1770" s="10">
        <v>45639</v>
      </c>
      <c r="E1770" s="13" t="str">
        <f>+HYPERLINK("http://trademark.i-assist.jp/data/china/image_1915th/81089791.pdf","81089791")</f>
        <v>81089791</v>
      </c>
      <c r="F1770" s="9" t="s">
        <v>4865</v>
      </c>
      <c r="G1770" s="9" t="s">
        <v>4866</v>
      </c>
      <c r="H1770" s="9" t="s">
        <v>4867</v>
      </c>
      <c r="I1770" s="10">
        <v>45559</v>
      </c>
    </row>
    <row r="1771" spans="1:9" x14ac:dyDescent="0.15">
      <c r="A1771" s="9">
        <v>1770</v>
      </c>
      <c r="B1771" s="9" t="s">
        <v>9</v>
      </c>
      <c r="C1771" s="9">
        <v>1915</v>
      </c>
      <c r="D1771" s="10">
        <v>45639</v>
      </c>
      <c r="E1771" s="13" t="str">
        <f>+HYPERLINK("http://trademark.i-assist.jp/data/china/image_1915th/81089809.pdf","81089809")</f>
        <v>81089809</v>
      </c>
      <c r="F1771" s="9" t="s">
        <v>4868</v>
      </c>
      <c r="G1771" s="9" t="s">
        <v>4866</v>
      </c>
      <c r="H1771" s="12" t="s">
        <v>4869</v>
      </c>
      <c r="I1771" s="10">
        <v>45559</v>
      </c>
    </row>
    <row r="1772" spans="1:9" x14ac:dyDescent="0.15">
      <c r="A1772" s="9">
        <v>1771</v>
      </c>
      <c r="B1772" s="9" t="s">
        <v>9</v>
      </c>
      <c r="C1772" s="9">
        <v>1915</v>
      </c>
      <c r="D1772" s="10">
        <v>45639</v>
      </c>
      <c r="E1772" s="13" t="str">
        <f>+HYPERLINK("http://trademark.i-assist.jp/data/china/image_1915th/81089840.pdf","81089840")</f>
        <v>81089840</v>
      </c>
      <c r="F1772" s="9" t="s">
        <v>4870</v>
      </c>
      <c r="G1772" s="12" t="s">
        <v>4607</v>
      </c>
      <c r="H1772" s="9" t="s">
        <v>4871</v>
      </c>
      <c r="I1772" s="10">
        <v>45559</v>
      </c>
    </row>
    <row r="1773" spans="1:9" x14ac:dyDescent="0.15">
      <c r="A1773" s="9">
        <v>1772</v>
      </c>
      <c r="B1773" s="9" t="s">
        <v>9</v>
      </c>
      <c r="C1773" s="9">
        <v>1915</v>
      </c>
      <c r="D1773" s="10">
        <v>45639</v>
      </c>
      <c r="E1773" s="13" t="str">
        <f>+HYPERLINK("http://trademark.i-assist.jp/data/china/image_1915th/81089850.pdf","81089850")</f>
        <v>81089850</v>
      </c>
      <c r="F1773" s="9" t="s">
        <v>4872</v>
      </c>
      <c r="G1773" s="9" t="s">
        <v>4873</v>
      </c>
      <c r="H1773" s="9" t="s">
        <v>4874</v>
      </c>
      <c r="I1773" s="10">
        <v>45559</v>
      </c>
    </row>
    <row r="1774" spans="1:9" x14ac:dyDescent="0.15">
      <c r="A1774" s="9">
        <v>1773</v>
      </c>
      <c r="B1774" s="9" t="s">
        <v>9</v>
      </c>
      <c r="C1774" s="9">
        <v>1915</v>
      </c>
      <c r="D1774" s="10">
        <v>45639</v>
      </c>
      <c r="E1774" s="13" t="str">
        <f>+HYPERLINK("http://trademark.i-assist.jp/data/china/image_1915th/81090085.pdf","81090085")</f>
        <v>81090085</v>
      </c>
      <c r="F1774" s="9" t="s">
        <v>4875</v>
      </c>
      <c r="G1774" s="9" t="s">
        <v>4876</v>
      </c>
      <c r="H1774" s="12" t="s">
        <v>4877</v>
      </c>
      <c r="I1774" s="10">
        <v>45559</v>
      </c>
    </row>
    <row r="1775" spans="1:9" x14ac:dyDescent="0.15">
      <c r="A1775" s="9">
        <v>1774</v>
      </c>
      <c r="B1775" s="9" t="s">
        <v>9</v>
      </c>
      <c r="C1775" s="9">
        <v>1915</v>
      </c>
      <c r="D1775" s="10">
        <v>45639</v>
      </c>
      <c r="E1775" s="13" t="str">
        <f>+HYPERLINK("http://trademark.i-assist.jp/data/china/image_1915th/81090202.pdf","81090202")</f>
        <v>81090202</v>
      </c>
      <c r="F1775" s="12" t="s">
        <v>4878</v>
      </c>
      <c r="G1775" s="12" t="s">
        <v>4879</v>
      </c>
      <c r="H1775" s="9" t="s">
        <v>4880</v>
      </c>
      <c r="I1775" s="10">
        <v>45559</v>
      </c>
    </row>
    <row r="1776" spans="1:9" x14ac:dyDescent="0.15">
      <c r="A1776" s="9">
        <v>1775</v>
      </c>
      <c r="B1776" s="9" t="s">
        <v>9</v>
      </c>
      <c r="C1776" s="9">
        <v>1915</v>
      </c>
      <c r="D1776" s="10">
        <v>45639</v>
      </c>
      <c r="E1776" s="13" t="str">
        <f>+HYPERLINK("http://trademark.i-assist.jp/data/china/image_1915th/81090216.pdf","81090216")</f>
        <v>81090216</v>
      </c>
      <c r="F1776" s="9" t="s">
        <v>4881</v>
      </c>
      <c r="G1776" s="12" t="s">
        <v>4879</v>
      </c>
      <c r="H1776" s="9" t="s">
        <v>4882</v>
      </c>
      <c r="I1776" s="10">
        <v>45559</v>
      </c>
    </row>
    <row r="1777" spans="1:9" x14ac:dyDescent="0.15">
      <c r="A1777" s="9">
        <v>1776</v>
      </c>
      <c r="B1777" s="9" t="s">
        <v>9</v>
      </c>
      <c r="C1777" s="9">
        <v>1915</v>
      </c>
      <c r="D1777" s="10">
        <v>45639</v>
      </c>
      <c r="E1777" s="13" t="str">
        <f>+HYPERLINK("http://trademark.i-assist.jp/data/china/image_1915th/81090423.pdf","81090423")</f>
        <v>81090423</v>
      </c>
      <c r="F1777" s="9" t="s">
        <v>4883</v>
      </c>
      <c r="G1777" s="9" t="s">
        <v>4856</v>
      </c>
      <c r="H1777" s="9" t="s">
        <v>4884</v>
      </c>
      <c r="I1777" s="10">
        <v>45559</v>
      </c>
    </row>
    <row r="1778" spans="1:9" x14ac:dyDescent="0.15">
      <c r="A1778" s="9">
        <v>1777</v>
      </c>
      <c r="B1778" s="9" t="s">
        <v>9</v>
      </c>
      <c r="C1778" s="9">
        <v>1915</v>
      </c>
      <c r="D1778" s="10">
        <v>45639</v>
      </c>
      <c r="E1778" s="13" t="str">
        <f>+HYPERLINK("http://trademark.i-assist.jp/data/china/image_1915th/81090538.pdf","81090538")</f>
        <v>81090538</v>
      </c>
      <c r="F1778" s="12" t="s">
        <v>4885</v>
      </c>
      <c r="G1778" s="9" t="s">
        <v>4886</v>
      </c>
      <c r="H1778" s="9" t="s">
        <v>4887</v>
      </c>
      <c r="I1778" s="10">
        <v>45559</v>
      </c>
    </row>
    <row r="1779" spans="1:9" x14ac:dyDescent="0.15">
      <c r="A1779" s="9">
        <v>1778</v>
      </c>
      <c r="B1779" s="9" t="s">
        <v>9</v>
      </c>
      <c r="C1779" s="9">
        <v>1915</v>
      </c>
      <c r="D1779" s="10">
        <v>45639</v>
      </c>
      <c r="E1779" s="13" t="str">
        <f>+HYPERLINK("http://trademark.i-assist.jp/data/china/image_1915th/81090900.pdf","81090900")</f>
        <v>81090900</v>
      </c>
      <c r="F1779" s="9" t="s">
        <v>4888</v>
      </c>
      <c r="G1779" s="9" t="s">
        <v>4889</v>
      </c>
      <c r="H1779" s="9" t="s">
        <v>4890</v>
      </c>
      <c r="I1779" s="10">
        <v>45559</v>
      </c>
    </row>
    <row r="1780" spans="1:9" x14ac:dyDescent="0.15">
      <c r="A1780" s="9">
        <v>1779</v>
      </c>
      <c r="B1780" s="9" t="s">
        <v>9</v>
      </c>
      <c r="C1780" s="9">
        <v>1915</v>
      </c>
      <c r="D1780" s="10">
        <v>45639</v>
      </c>
      <c r="E1780" s="13" t="str">
        <f>+HYPERLINK("http://trademark.i-assist.jp/data/china/image_1915th/81091103.pdf","81091103")</f>
        <v>81091103</v>
      </c>
      <c r="F1780" s="9" t="s">
        <v>4891</v>
      </c>
      <c r="G1780" s="12" t="s">
        <v>4892</v>
      </c>
      <c r="H1780" s="9" t="s">
        <v>4893</v>
      </c>
      <c r="I1780" s="10">
        <v>45559</v>
      </c>
    </row>
    <row r="1781" spans="1:9" x14ac:dyDescent="0.15">
      <c r="A1781" s="9">
        <v>1780</v>
      </c>
      <c r="B1781" s="9" t="s">
        <v>9</v>
      </c>
      <c r="C1781" s="9">
        <v>1915</v>
      </c>
      <c r="D1781" s="10">
        <v>45639</v>
      </c>
      <c r="E1781" s="13" t="str">
        <f>+HYPERLINK("http://trademark.i-assist.jp/data/china/image_1915th/81091222.pdf","81091222")</f>
        <v>81091222</v>
      </c>
      <c r="F1781" s="9" t="s">
        <v>4894</v>
      </c>
      <c r="G1781" s="9" t="s">
        <v>4895</v>
      </c>
      <c r="H1781" s="9" t="s">
        <v>4896</v>
      </c>
      <c r="I1781" s="10">
        <v>45559</v>
      </c>
    </row>
    <row r="1782" spans="1:9" x14ac:dyDescent="0.15">
      <c r="A1782" s="9">
        <v>1781</v>
      </c>
      <c r="B1782" s="9" t="s">
        <v>9</v>
      </c>
      <c r="C1782" s="9">
        <v>1915</v>
      </c>
      <c r="D1782" s="10">
        <v>45639</v>
      </c>
      <c r="E1782" s="13" t="str">
        <f>+HYPERLINK("http://trademark.i-assist.jp/data/china/image_1915th/81091891.pdf","81091891")</f>
        <v>81091891</v>
      </c>
      <c r="F1782" s="12" t="s">
        <v>4897</v>
      </c>
      <c r="G1782" s="9" t="s">
        <v>4898</v>
      </c>
      <c r="H1782" s="9" t="s">
        <v>4899</v>
      </c>
      <c r="I1782" s="10">
        <v>45559</v>
      </c>
    </row>
    <row r="1783" spans="1:9" x14ac:dyDescent="0.15">
      <c r="A1783" s="9">
        <v>1782</v>
      </c>
      <c r="B1783" s="9" t="s">
        <v>9</v>
      </c>
      <c r="C1783" s="9">
        <v>1915</v>
      </c>
      <c r="D1783" s="10">
        <v>45639</v>
      </c>
      <c r="E1783" s="13" t="str">
        <f>+HYPERLINK("http://trademark.i-assist.jp/data/china/image_1915th/81091987.pdf","81091987")</f>
        <v>81091987</v>
      </c>
      <c r="F1783" s="12" t="s">
        <v>4900</v>
      </c>
      <c r="G1783" s="9" t="s">
        <v>34</v>
      </c>
      <c r="H1783" s="9" t="s">
        <v>4901</v>
      </c>
      <c r="I1783" s="10">
        <v>45559</v>
      </c>
    </row>
    <row r="1784" spans="1:9" x14ac:dyDescent="0.15">
      <c r="A1784" s="9">
        <v>1783</v>
      </c>
      <c r="B1784" s="9" t="s">
        <v>9</v>
      </c>
      <c r="C1784" s="9">
        <v>1915</v>
      </c>
      <c r="D1784" s="10">
        <v>45639</v>
      </c>
      <c r="E1784" s="13" t="str">
        <f>+HYPERLINK("http://trademark.i-assist.jp/data/china/image_1915th/81092002.pdf","81092002")</f>
        <v>81092002</v>
      </c>
      <c r="F1784" s="9" t="s">
        <v>4902</v>
      </c>
      <c r="G1784" s="9" t="s">
        <v>34</v>
      </c>
      <c r="H1784" s="9" t="s">
        <v>4903</v>
      </c>
      <c r="I1784" s="10">
        <v>45559</v>
      </c>
    </row>
    <row r="1785" spans="1:9" x14ac:dyDescent="0.15">
      <c r="A1785" s="9">
        <v>1784</v>
      </c>
      <c r="B1785" s="9" t="s">
        <v>9</v>
      </c>
      <c r="C1785" s="9">
        <v>1915</v>
      </c>
      <c r="D1785" s="10">
        <v>45639</v>
      </c>
      <c r="E1785" s="13" t="str">
        <f>+HYPERLINK("http://trademark.i-assist.jp/data/china/image_1915th/81092249.pdf","81092249")</f>
        <v>81092249</v>
      </c>
      <c r="F1785" s="9" t="s">
        <v>4904</v>
      </c>
      <c r="G1785" s="9" t="s">
        <v>4905</v>
      </c>
      <c r="H1785" s="9" t="s">
        <v>4906</v>
      </c>
      <c r="I1785" s="10">
        <v>45559</v>
      </c>
    </row>
    <row r="1786" spans="1:9" x14ac:dyDescent="0.15">
      <c r="A1786" s="9">
        <v>1785</v>
      </c>
      <c r="B1786" s="9" t="s">
        <v>9</v>
      </c>
      <c r="C1786" s="9">
        <v>1915</v>
      </c>
      <c r="D1786" s="10">
        <v>45639</v>
      </c>
      <c r="E1786" s="13" t="str">
        <f>+HYPERLINK("http://trademark.i-assist.jp/data/china/image_1915th/81092468.pdf","81092468")</f>
        <v>81092468</v>
      </c>
      <c r="F1786" s="9" t="s">
        <v>4907</v>
      </c>
      <c r="G1786" s="9" t="s">
        <v>4908</v>
      </c>
      <c r="H1786" s="9" t="s">
        <v>4909</v>
      </c>
      <c r="I1786" s="10">
        <v>45559</v>
      </c>
    </row>
    <row r="1787" spans="1:9" x14ac:dyDescent="0.15">
      <c r="A1787" s="9">
        <v>1786</v>
      </c>
      <c r="B1787" s="9" t="s">
        <v>9</v>
      </c>
      <c r="C1787" s="9">
        <v>1915</v>
      </c>
      <c r="D1787" s="10">
        <v>45639</v>
      </c>
      <c r="E1787" s="13" t="str">
        <f>+HYPERLINK("http://trademark.i-assist.jp/data/china/image_1915th/81092707.pdf","81092707")</f>
        <v>81092707</v>
      </c>
      <c r="F1787" s="9" t="s">
        <v>4910</v>
      </c>
      <c r="G1787" s="9" t="s">
        <v>4728</v>
      </c>
      <c r="H1787" s="9" t="s">
        <v>4911</v>
      </c>
      <c r="I1787" s="10">
        <v>45559</v>
      </c>
    </row>
    <row r="1788" spans="1:9" x14ac:dyDescent="0.15">
      <c r="A1788" s="9">
        <v>1787</v>
      </c>
      <c r="B1788" s="9" t="s">
        <v>9</v>
      </c>
      <c r="C1788" s="9">
        <v>1915</v>
      </c>
      <c r="D1788" s="10">
        <v>45639</v>
      </c>
      <c r="E1788" s="13" t="str">
        <f>+HYPERLINK("http://trademark.i-assist.jp/data/china/image_1915th/81092718.pdf","81092718")</f>
        <v>81092718</v>
      </c>
      <c r="F1788" s="9" t="s">
        <v>4912</v>
      </c>
      <c r="G1788" s="9" t="s">
        <v>4604</v>
      </c>
      <c r="H1788" s="9" t="s">
        <v>4913</v>
      </c>
      <c r="I1788" s="10">
        <v>45559</v>
      </c>
    </row>
    <row r="1789" spans="1:9" x14ac:dyDescent="0.15">
      <c r="A1789" s="9">
        <v>1788</v>
      </c>
      <c r="B1789" s="9" t="s">
        <v>9</v>
      </c>
      <c r="C1789" s="9">
        <v>1915</v>
      </c>
      <c r="D1789" s="10">
        <v>45639</v>
      </c>
      <c r="E1789" s="13" t="str">
        <f>+HYPERLINK("http://trademark.i-assist.jp/data/china/image_1915th/81092748.pdf","81092748")</f>
        <v>81092748</v>
      </c>
      <c r="F1789" s="9" t="s">
        <v>4914</v>
      </c>
      <c r="G1789" s="9" t="s">
        <v>4728</v>
      </c>
      <c r="H1789" s="9" t="s">
        <v>4915</v>
      </c>
      <c r="I1789" s="10">
        <v>45559</v>
      </c>
    </row>
    <row r="1790" spans="1:9" x14ac:dyDescent="0.15">
      <c r="A1790" s="9">
        <v>1789</v>
      </c>
      <c r="B1790" s="9" t="s">
        <v>9</v>
      </c>
      <c r="C1790" s="9">
        <v>1915</v>
      </c>
      <c r="D1790" s="10">
        <v>45639</v>
      </c>
      <c r="E1790" s="13" t="str">
        <f>+HYPERLINK("http://trademark.i-assist.jp/data/china/image_1915th/81092957.pdf","81092957")</f>
        <v>81092957</v>
      </c>
      <c r="F1790" s="9" t="s">
        <v>4836</v>
      </c>
      <c r="G1790" s="12" t="s">
        <v>23</v>
      </c>
      <c r="H1790" s="9" t="s">
        <v>4916</v>
      </c>
      <c r="I1790" s="10">
        <v>45559</v>
      </c>
    </row>
    <row r="1791" spans="1:9" x14ac:dyDescent="0.15">
      <c r="A1791" s="9">
        <v>1790</v>
      </c>
      <c r="B1791" s="9" t="s">
        <v>9</v>
      </c>
      <c r="C1791" s="9">
        <v>1915</v>
      </c>
      <c r="D1791" s="10">
        <v>45639</v>
      </c>
      <c r="E1791" s="13" t="str">
        <f>+HYPERLINK("http://trademark.i-assist.jp/data/china/image_1915th/81093164.pdf","81093164")</f>
        <v>81093164</v>
      </c>
      <c r="F1791" s="9" t="s">
        <v>4917</v>
      </c>
      <c r="G1791" s="9" t="s">
        <v>4653</v>
      </c>
      <c r="H1791" s="9" t="s">
        <v>4918</v>
      </c>
      <c r="I1791" s="10">
        <v>45559</v>
      </c>
    </row>
    <row r="1792" spans="1:9" x14ac:dyDescent="0.15">
      <c r="A1792" s="9">
        <v>1791</v>
      </c>
      <c r="B1792" s="9" t="s">
        <v>9</v>
      </c>
      <c r="C1792" s="9">
        <v>1915</v>
      </c>
      <c r="D1792" s="10">
        <v>45639</v>
      </c>
      <c r="E1792" s="13" t="str">
        <f>+HYPERLINK("http://trademark.i-assist.jp/data/china/image_1915th/81093268.pdf","81093268")</f>
        <v>81093268</v>
      </c>
      <c r="F1792" s="9" t="s">
        <v>4919</v>
      </c>
      <c r="G1792" s="9" t="s">
        <v>4920</v>
      </c>
      <c r="H1792" s="9" t="s">
        <v>4921</v>
      </c>
      <c r="I1792" s="10">
        <v>45559</v>
      </c>
    </row>
    <row r="1793" spans="1:9" x14ac:dyDescent="0.15">
      <c r="A1793" s="9">
        <v>1792</v>
      </c>
      <c r="B1793" s="9" t="s">
        <v>9</v>
      </c>
      <c r="C1793" s="9">
        <v>1915</v>
      </c>
      <c r="D1793" s="10">
        <v>45639</v>
      </c>
      <c r="E1793" s="13" t="str">
        <f>+HYPERLINK("http://trademark.i-assist.jp/data/china/image_1915th/81093381.pdf","81093381")</f>
        <v>81093381</v>
      </c>
      <c r="F1793" s="9" t="s">
        <v>4922</v>
      </c>
      <c r="G1793" s="9" t="s">
        <v>4923</v>
      </c>
      <c r="H1793" s="9" t="s">
        <v>4924</v>
      </c>
      <c r="I1793" s="10">
        <v>45559</v>
      </c>
    </row>
    <row r="1794" spans="1:9" x14ac:dyDescent="0.15">
      <c r="A1794" s="9">
        <v>1793</v>
      </c>
      <c r="B1794" s="9" t="s">
        <v>9</v>
      </c>
      <c r="C1794" s="9">
        <v>1915</v>
      </c>
      <c r="D1794" s="10">
        <v>45639</v>
      </c>
      <c r="E1794" s="13" t="str">
        <f>+HYPERLINK("http://trademark.i-assist.jp/data/china/image_1915th/81093439.pdf","81093439")</f>
        <v>81093439</v>
      </c>
      <c r="F1794" s="9" t="s">
        <v>4925</v>
      </c>
      <c r="G1794" s="9" t="s">
        <v>4926</v>
      </c>
      <c r="H1794" s="12" t="s">
        <v>4927</v>
      </c>
      <c r="I1794" s="10">
        <v>45559</v>
      </c>
    </row>
    <row r="1795" spans="1:9" x14ac:dyDescent="0.15">
      <c r="A1795" s="9">
        <v>1794</v>
      </c>
      <c r="B1795" s="9" t="s">
        <v>9</v>
      </c>
      <c r="C1795" s="9">
        <v>1915</v>
      </c>
      <c r="D1795" s="10">
        <v>45639</v>
      </c>
      <c r="E1795" s="13" t="str">
        <f>+HYPERLINK("http://trademark.i-assist.jp/data/china/image_1915th/81093572.pdf","81093572")</f>
        <v>81093572</v>
      </c>
      <c r="F1795" s="9" t="s">
        <v>4928</v>
      </c>
      <c r="G1795" s="12" t="s">
        <v>4607</v>
      </c>
      <c r="H1795" s="9" t="s">
        <v>4929</v>
      </c>
      <c r="I1795" s="10">
        <v>45559</v>
      </c>
    </row>
    <row r="1796" spans="1:9" x14ac:dyDescent="0.15">
      <c r="A1796" s="9">
        <v>1795</v>
      </c>
      <c r="B1796" s="9" t="s">
        <v>9</v>
      </c>
      <c r="C1796" s="9">
        <v>1915</v>
      </c>
      <c r="D1796" s="10">
        <v>45639</v>
      </c>
      <c r="E1796" s="13" t="str">
        <f>+HYPERLINK("http://trademark.i-assist.jp/data/china/image_1915th/81093644.pdf","81093644")</f>
        <v>81093644</v>
      </c>
      <c r="F1796" s="9" t="s">
        <v>4930</v>
      </c>
      <c r="G1796" s="9" t="s">
        <v>4931</v>
      </c>
      <c r="H1796" s="9" t="s">
        <v>4932</v>
      </c>
      <c r="I1796" s="10">
        <v>45559</v>
      </c>
    </row>
    <row r="1797" spans="1:9" x14ac:dyDescent="0.15">
      <c r="A1797" s="9">
        <v>1796</v>
      </c>
      <c r="B1797" s="9" t="s">
        <v>9</v>
      </c>
      <c r="C1797" s="9">
        <v>1915</v>
      </c>
      <c r="D1797" s="10">
        <v>45639</v>
      </c>
      <c r="E1797" s="13" t="str">
        <f>+HYPERLINK("http://trademark.i-assist.jp/data/china/image_1915th/81093680.pdf","81093680")</f>
        <v>81093680</v>
      </c>
      <c r="F1797" s="12" t="s">
        <v>4933</v>
      </c>
      <c r="G1797" s="9" t="s">
        <v>4934</v>
      </c>
      <c r="H1797" s="9" t="s">
        <v>4935</v>
      </c>
      <c r="I1797" s="10">
        <v>45559</v>
      </c>
    </row>
    <row r="1798" spans="1:9" x14ac:dyDescent="0.15">
      <c r="A1798" s="9">
        <v>1797</v>
      </c>
      <c r="B1798" s="9" t="s">
        <v>9</v>
      </c>
      <c r="C1798" s="9">
        <v>1915</v>
      </c>
      <c r="D1798" s="10">
        <v>45639</v>
      </c>
      <c r="E1798" s="13" t="str">
        <f>+HYPERLINK("http://trademark.i-assist.jp/data/china/image_1915th/81093740.pdf","81093740")</f>
        <v>81093740</v>
      </c>
      <c r="F1798" s="9" t="s">
        <v>4936</v>
      </c>
      <c r="G1798" s="9" t="s">
        <v>4610</v>
      </c>
      <c r="H1798" s="9" t="s">
        <v>4937</v>
      </c>
      <c r="I1798" s="10">
        <v>45559</v>
      </c>
    </row>
    <row r="1799" spans="1:9" x14ac:dyDescent="0.15">
      <c r="A1799" s="9">
        <v>1798</v>
      </c>
      <c r="B1799" s="9" t="s">
        <v>9</v>
      </c>
      <c r="C1799" s="9">
        <v>1915</v>
      </c>
      <c r="D1799" s="10">
        <v>45639</v>
      </c>
      <c r="E1799" s="13" t="str">
        <f>+HYPERLINK("http://trademark.i-assist.jp/data/china/image_1915th/81093755.pdf","81093755")</f>
        <v>81093755</v>
      </c>
      <c r="F1799" s="12" t="s">
        <v>4938</v>
      </c>
      <c r="G1799" s="9" t="s">
        <v>4939</v>
      </c>
      <c r="H1799" s="9" t="s">
        <v>4940</v>
      </c>
      <c r="I1799" s="10">
        <v>45559</v>
      </c>
    </row>
    <row r="1800" spans="1:9" x14ac:dyDescent="0.15">
      <c r="A1800" s="9">
        <v>1799</v>
      </c>
      <c r="B1800" s="9" t="s">
        <v>9</v>
      </c>
      <c r="C1800" s="9">
        <v>1915</v>
      </c>
      <c r="D1800" s="10">
        <v>45639</v>
      </c>
      <c r="E1800" s="13" t="str">
        <f>+HYPERLINK("http://trademark.i-assist.jp/data/china/image_1915th/81093768.pdf","81093768")</f>
        <v>81093768</v>
      </c>
      <c r="F1800" s="9" t="s">
        <v>4941</v>
      </c>
      <c r="G1800" s="9" t="s">
        <v>4610</v>
      </c>
      <c r="H1800" s="12" t="s">
        <v>4942</v>
      </c>
      <c r="I1800" s="10">
        <v>45559</v>
      </c>
    </row>
    <row r="1801" spans="1:9" x14ac:dyDescent="0.15">
      <c r="A1801" s="9">
        <v>1800</v>
      </c>
      <c r="B1801" s="9" t="s">
        <v>9</v>
      </c>
      <c r="C1801" s="9">
        <v>1915</v>
      </c>
      <c r="D1801" s="10">
        <v>45639</v>
      </c>
      <c r="E1801" s="13" t="str">
        <f>+HYPERLINK("http://trademark.i-assist.jp/data/china/image_1915th/81094028.pdf","81094028")</f>
        <v>81094028</v>
      </c>
      <c r="F1801" s="9" t="s">
        <v>4943</v>
      </c>
      <c r="G1801" s="9" t="s">
        <v>4798</v>
      </c>
      <c r="H1801" s="9" t="s">
        <v>4944</v>
      </c>
      <c r="I1801" s="10">
        <v>45559</v>
      </c>
    </row>
    <row r="1802" spans="1:9" x14ac:dyDescent="0.15">
      <c r="A1802" s="9">
        <v>1801</v>
      </c>
      <c r="B1802" s="9" t="s">
        <v>9</v>
      </c>
      <c r="C1802" s="9">
        <v>1915</v>
      </c>
      <c r="D1802" s="10">
        <v>45639</v>
      </c>
      <c r="E1802" s="13" t="str">
        <f>+HYPERLINK("http://trademark.i-assist.jp/data/china/image_1915th/81094049.pdf","81094049")</f>
        <v>81094049</v>
      </c>
      <c r="F1802" s="9" t="s">
        <v>4945</v>
      </c>
      <c r="G1802" s="9" t="s">
        <v>1922</v>
      </c>
      <c r="H1802" s="9" t="s">
        <v>4946</v>
      </c>
      <c r="I1802" s="10">
        <v>45559</v>
      </c>
    </row>
    <row r="1803" spans="1:9" x14ac:dyDescent="0.15">
      <c r="A1803" s="9">
        <v>1802</v>
      </c>
      <c r="B1803" s="9" t="s">
        <v>9</v>
      </c>
      <c r="C1803" s="9">
        <v>1915</v>
      </c>
      <c r="D1803" s="10">
        <v>45639</v>
      </c>
      <c r="E1803" s="13" t="str">
        <f>+HYPERLINK("http://trademark.i-assist.jp/data/china/image_1915th/81094484.pdf","81094484")</f>
        <v>81094484</v>
      </c>
      <c r="F1803" s="9" t="s">
        <v>4947</v>
      </c>
      <c r="G1803" s="12" t="s">
        <v>4948</v>
      </c>
      <c r="H1803" s="9" t="s">
        <v>4949</v>
      </c>
      <c r="I1803" s="10">
        <v>45560</v>
      </c>
    </row>
    <row r="1804" spans="1:9" x14ac:dyDescent="0.15">
      <c r="A1804" s="9">
        <v>1803</v>
      </c>
      <c r="B1804" s="9" t="s">
        <v>9</v>
      </c>
      <c r="C1804" s="9">
        <v>1915</v>
      </c>
      <c r="D1804" s="10">
        <v>45639</v>
      </c>
      <c r="E1804" s="13" t="str">
        <f>+HYPERLINK("http://trademark.i-assist.jp/data/china/image_1915th/81094485.pdf","81094485")</f>
        <v>81094485</v>
      </c>
      <c r="F1804" s="9" t="s">
        <v>4950</v>
      </c>
      <c r="G1804" s="9" t="s">
        <v>4951</v>
      </c>
      <c r="H1804" s="9" t="s">
        <v>4952</v>
      </c>
      <c r="I1804" s="10">
        <v>45560</v>
      </c>
    </row>
    <row r="1805" spans="1:9" x14ac:dyDescent="0.15">
      <c r="A1805" s="9">
        <v>1804</v>
      </c>
      <c r="B1805" s="9" t="s">
        <v>9</v>
      </c>
      <c r="C1805" s="9">
        <v>1915</v>
      </c>
      <c r="D1805" s="10">
        <v>45639</v>
      </c>
      <c r="E1805" s="13" t="str">
        <f>+HYPERLINK("http://trademark.i-assist.jp/data/china/image_1915th/81094520.pdf","81094520")</f>
        <v>81094520</v>
      </c>
      <c r="F1805" s="12" t="s">
        <v>4953</v>
      </c>
      <c r="G1805" s="12" t="s">
        <v>4954</v>
      </c>
      <c r="H1805" s="9" t="s">
        <v>4955</v>
      </c>
      <c r="I1805" s="10">
        <v>45560</v>
      </c>
    </row>
    <row r="1806" spans="1:9" x14ac:dyDescent="0.15">
      <c r="A1806" s="9">
        <v>1805</v>
      </c>
      <c r="B1806" s="9" t="s">
        <v>9</v>
      </c>
      <c r="C1806" s="9">
        <v>1915</v>
      </c>
      <c r="D1806" s="10">
        <v>45639</v>
      </c>
      <c r="E1806" s="13" t="str">
        <f>+HYPERLINK("http://trademark.i-assist.jp/data/china/image_1915th/81094655.pdf","81094655")</f>
        <v>81094655</v>
      </c>
      <c r="F1806" s="9" t="s">
        <v>4956</v>
      </c>
      <c r="G1806" s="9" t="s">
        <v>4957</v>
      </c>
      <c r="H1806" s="9" t="s">
        <v>4958</v>
      </c>
      <c r="I1806" s="10">
        <v>45560</v>
      </c>
    </row>
    <row r="1807" spans="1:9" x14ac:dyDescent="0.15">
      <c r="A1807" s="9">
        <v>1806</v>
      </c>
      <c r="B1807" s="9" t="s">
        <v>9</v>
      </c>
      <c r="C1807" s="9">
        <v>1915</v>
      </c>
      <c r="D1807" s="10">
        <v>45639</v>
      </c>
      <c r="E1807" s="13" t="str">
        <f>+HYPERLINK("http://trademark.i-assist.jp/data/china/image_1915th/81094830.pdf","81094830")</f>
        <v>81094830</v>
      </c>
      <c r="F1807" s="9" t="s">
        <v>4959</v>
      </c>
      <c r="G1807" s="9" t="s">
        <v>4960</v>
      </c>
      <c r="H1807" s="9" t="s">
        <v>4961</v>
      </c>
      <c r="I1807" s="10">
        <v>45560</v>
      </c>
    </row>
    <row r="1808" spans="1:9" x14ac:dyDescent="0.15">
      <c r="A1808" s="9">
        <v>1807</v>
      </c>
      <c r="B1808" s="9" t="s">
        <v>9</v>
      </c>
      <c r="C1808" s="9">
        <v>1915</v>
      </c>
      <c r="D1808" s="10">
        <v>45639</v>
      </c>
      <c r="E1808" s="13" t="str">
        <f>+HYPERLINK("http://trademark.i-assist.jp/data/china/image_1915th/81094918.pdf","81094918")</f>
        <v>81094918</v>
      </c>
      <c r="F1808" s="9" t="s">
        <v>4962</v>
      </c>
      <c r="G1808" s="9" t="s">
        <v>4963</v>
      </c>
      <c r="H1808" s="9" t="s">
        <v>4964</v>
      </c>
      <c r="I1808" s="10">
        <v>45560</v>
      </c>
    </row>
    <row r="1809" spans="1:9" x14ac:dyDescent="0.15">
      <c r="A1809" s="9">
        <v>1808</v>
      </c>
      <c r="B1809" s="9" t="s">
        <v>9</v>
      </c>
      <c r="C1809" s="9">
        <v>1915</v>
      </c>
      <c r="D1809" s="10">
        <v>45639</v>
      </c>
      <c r="E1809" s="13" t="str">
        <f>+HYPERLINK("http://trademark.i-assist.jp/data/china/image_1915th/81094960.pdf","81094960")</f>
        <v>81094960</v>
      </c>
      <c r="F1809" s="12" t="s">
        <v>4965</v>
      </c>
      <c r="G1809" s="12" t="s">
        <v>4966</v>
      </c>
      <c r="H1809" s="9" t="s">
        <v>4967</v>
      </c>
      <c r="I1809" s="10">
        <v>45560</v>
      </c>
    </row>
    <row r="1810" spans="1:9" x14ac:dyDescent="0.15">
      <c r="A1810" s="9">
        <v>1809</v>
      </c>
      <c r="B1810" s="9" t="s">
        <v>9</v>
      </c>
      <c r="C1810" s="9">
        <v>1915</v>
      </c>
      <c r="D1810" s="10">
        <v>45639</v>
      </c>
      <c r="E1810" s="13" t="str">
        <f>+HYPERLINK("http://trademark.i-assist.jp/data/china/image_1915th/81095689.pdf","81095689")</f>
        <v>81095689</v>
      </c>
      <c r="F1810" s="9" t="s">
        <v>4968</v>
      </c>
      <c r="G1810" s="9" t="s">
        <v>4969</v>
      </c>
      <c r="H1810" s="9" t="s">
        <v>4970</v>
      </c>
      <c r="I1810" s="10">
        <v>45560</v>
      </c>
    </row>
    <row r="1811" spans="1:9" x14ac:dyDescent="0.15">
      <c r="A1811" s="9">
        <v>1810</v>
      </c>
      <c r="B1811" s="9" t="s">
        <v>9</v>
      </c>
      <c r="C1811" s="9">
        <v>1915</v>
      </c>
      <c r="D1811" s="10">
        <v>45639</v>
      </c>
      <c r="E1811" s="13" t="str">
        <f>+HYPERLINK("http://trademark.i-assist.jp/data/china/image_1915th/81096554.pdf","81096554")</f>
        <v>81096554</v>
      </c>
      <c r="F1811" s="9" t="s">
        <v>4971</v>
      </c>
      <c r="G1811" s="9" t="s">
        <v>4972</v>
      </c>
      <c r="H1811" s="12" t="s">
        <v>4973</v>
      </c>
      <c r="I1811" s="10">
        <v>45560</v>
      </c>
    </row>
    <row r="1812" spans="1:9" x14ac:dyDescent="0.15">
      <c r="A1812" s="9">
        <v>1811</v>
      </c>
      <c r="B1812" s="9" t="s">
        <v>9</v>
      </c>
      <c r="C1812" s="9">
        <v>1915</v>
      </c>
      <c r="D1812" s="10">
        <v>45639</v>
      </c>
      <c r="E1812" s="13" t="str">
        <f>+HYPERLINK("http://trademark.i-assist.jp/data/china/image_1915th/81096722.pdf","81096722")</f>
        <v>81096722</v>
      </c>
      <c r="F1812" s="12" t="s">
        <v>4974</v>
      </c>
      <c r="G1812" s="9" t="s">
        <v>4975</v>
      </c>
      <c r="H1812" s="9" t="s">
        <v>4976</v>
      </c>
      <c r="I1812" s="10">
        <v>45560</v>
      </c>
    </row>
    <row r="1813" spans="1:9" x14ac:dyDescent="0.15">
      <c r="A1813" s="9">
        <v>1812</v>
      </c>
      <c r="B1813" s="9" t="s">
        <v>9</v>
      </c>
      <c r="C1813" s="9">
        <v>1915</v>
      </c>
      <c r="D1813" s="10">
        <v>45639</v>
      </c>
      <c r="E1813" s="13" t="str">
        <f>+HYPERLINK("http://trademark.i-assist.jp/data/china/image_1915th/81096750.pdf","81096750")</f>
        <v>81096750</v>
      </c>
      <c r="F1813" s="9" t="s">
        <v>4977</v>
      </c>
      <c r="G1813" s="9" t="s">
        <v>4978</v>
      </c>
      <c r="H1813" s="12" t="s">
        <v>4979</v>
      </c>
      <c r="I1813" s="10">
        <v>45560</v>
      </c>
    </row>
    <row r="1814" spans="1:9" x14ac:dyDescent="0.15">
      <c r="A1814" s="9">
        <v>1813</v>
      </c>
      <c r="B1814" s="9" t="s">
        <v>9</v>
      </c>
      <c r="C1814" s="9">
        <v>1915</v>
      </c>
      <c r="D1814" s="10">
        <v>45639</v>
      </c>
      <c r="E1814" s="13" t="str">
        <f>+HYPERLINK("http://trademark.i-assist.jp/data/china/image_1915th/81096847.pdf","81096847")</f>
        <v>81096847</v>
      </c>
      <c r="F1814" s="9" t="s">
        <v>4980</v>
      </c>
      <c r="G1814" s="9" t="s">
        <v>4981</v>
      </c>
      <c r="H1814" s="9" t="s">
        <v>4982</v>
      </c>
      <c r="I1814" s="10">
        <v>45560</v>
      </c>
    </row>
    <row r="1815" spans="1:9" x14ac:dyDescent="0.15">
      <c r="A1815" s="9">
        <v>1814</v>
      </c>
      <c r="B1815" s="9" t="s">
        <v>9</v>
      </c>
      <c r="C1815" s="9">
        <v>1915</v>
      </c>
      <c r="D1815" s="10">
        <v>45639</v>
      </c>
      <c r="E1815" s="13" t="str">
        <f>+HYPERLINK("http://trademark.i-assist.jp/data/china/image_1915th/81097252.pdf","81097252")</f>
        <v>81097252</v>
      </c>
      <c r="F1815" s="12" t="s">
        <v>4983</v>
      </c>
      <c r="G1815" s="9" t="s">
        <v>21</v>
      </c>
      <c r="H1815" s="9" t="s">
        <v>4984</v>
      </c>
      <c r="I1815" s="10">
        <v>45560</v>
      </c>
    </row>
    <row r="1816" spans="1:9" x14ac:dyDescent="0.15">
      <c r="A1816" s="9">
        <v>1815</v>
      </c>
      <c r="B1816" s="9" t="s">
        <v>9</v>
      </c>
      <c r="C1816" s="9">
        <v>1915</v>
      </c>
      <c r="D1816" s="10">
        <v>45639</v>
      </c>
      <c r="E1816" s="13" t="str">
        <f>+HYPERLINK("http://trademark.i-assist.jp/data/china/image_1915th/81097308.pdf","81097308")</f>
        <v>81097308</v>
      </c>
      <c r="F1816" s="9" t="s">
        <v>4985</v>
      </c>
      <c r="G1816" s="9" t="s">
        <v>4986</v>
      </c>
      <c r="H1816" s="9" t="s">
        <v>4987</v>
      </c>
      <c r="I1816" s="10">
        <v>45560</v>
      </c>
    </row>
    <row r="1817" spans="1:9" x14ac:dyDescent="0.15">
      <c r="A1817" s="9">
        <v>1816</v>
      </c>
      <c r="B1817" s="9" t="s">
        <v>9</v>
      </c>
      <c r="C1817" s="9">
        <v>1915</v>
      </c>
      <c r="D1817" s="10">
        <v>45639</v>
      </c>
      <c r="E1817" s="13" t="str">
        <f>+HYPERLINK("http://trademark.i-assist.jp/data/china/image_1915th/81097693.pdf","81097693")</f>
        <v>81097693</v>
      </c>
      <c r="F1817" s="9" t="s">
        <v>4988</v>
      </c>
      <c r="G1817" s="9" t="s">
        <v>4989</v>
      </c>
      <c r="H1817" s="9" t="s">
        <v>4990</v>
      </c>
      <c r="I1817" s="10">
        <v>45560</v>
      </c>
    </row>
    <row r="1818" spans="1:9" x14ac:dyDescent="0.15">
      <c r="A1818" s="9">
        <v>1817</v>
      </c>
      <c r="B1818" s="9" t="s">
        <v>9</v>
      </c>
      <c r="C1818" s="9">
        <v>1915</v>
      </c>
      <c r="D1818" s="10">
        <v>45639</v>
      </c>
      <c r="E1818" s="13" t="str">
        <f>+HYPERLINK("http://trademark.i-assist.jp/data/china/image_1915th/81097703.pdf","81097703")</f>
        <v>81097703</v>
      </c>
      <c r="F1818" s="9" t="s">
        <v>4991</v>
      </c>
      <c r="G1818" s="9" t="s">
        <v>4989</v>
      </c>
      <c r="H1818" s="9" t="s">
        <v>4992</v>
      </c>
      <c r="I1818" s="10">
        <v>45560</v>
      </c>
    </row>
    <row r="1819" spans="1:9" x14ac:dyDescent="0.15">
      <c r="A1819" s="9">
        <v>1818</v>
      </c>
      <c r="B1819" s="9" t="s">
        <v>9</v>
      </c>
      <c r="C1819" s="9">
        <v>1915</v>
      </c>
      <c r="D1819" s="10">
        <v>45639</v>
      </c>
      <c r="E1819" s="13" t="str">
        <f>+HYPERLINK("http://trademark.i-assist.jp/data/china/image_1915th/81097786.pdf","81097786")</f>
        <v>81097786</v>
      </c>
      <c r="F1819" s="9" t="s">
        <v>4993</v>
      </c>
      <c r="G1819" s="9" t="s">
        <v>4994</v>
      </c>
      <c r="H1819" s="9" t="s">
        <v>4995</v>
      </c>
      <c r="I1819" s="10">
        <v>45560</v>
      </c>
    </row>
    <row r="1820" spans="1:9" x14ac:dyDescent="0.15">
      <c r="A1820" s="9">
        <v>1819</v>
      </c>
      <c r="B1820" s="9" t="s">
        <v>9</v>
      </c>
      <c r="C1820" s="9">
        <v>1915</v>
      </c>
      <c r="D1820" s="10">
        <v>45639</v>
      </c>
      <c r="E1820" s="13" t="str">
        <f>+HYPERLINK("http://trademark.i-assist.jp/data/china/image_1915th/81097816.pdf","81097816")</f>
        <v>81097816</v>
      </c>
      <c r="F1820" s="9" t="s">
        <v>4996</v>
      </c>
      <c r="G1820" s="9" t="s">
        <v>4972</v>
      </c>
      <c r="H1820" s="12" t="s">
        <v>4997</v>
      </c>
      <c r="I1820" s="10">
        <v>45560</v>
      </c>
    </row>
    <row r="1821" spans="1:9" x14ac:dyDescent="0.15">
      <c r="A1821" s="9">
        <v>1820</v>
      </c>
      <c r="B1821" s="9" t="s">
        <v>9</v>
      </c>
      <c r="C1821" s="9">
        <v>1915</v>
      </c>
      <c r="D1821" s="10">
        <v>45639</v>
      </c>
      <c r="E1821" s="13" t="str">
        <f>+HYPERLINK("http://trademark.i-assist.jp/data/china/image_1915th/81097940.pdf","81097940")</f>
        <v>81097940</v>
      </c>
      <c r="F1821" s="9" t="s">
        <v>4998</v>
      </c>
      <c r="G1821" s="9" t="s">
        <v>4999</v>
      </c>
      <c r="H1821" s="9" t="s">
        <v>5000</v>
      </c>
      <c r="I1821" s="10">
        <v>45560</v>
      </c>
    </row>
    <row r="1822" spans="1:9" x14ac:dyDescent="0.15">
      <c r="A1822" s="9">
        <v>1821</v>
      </c>
      <c r="B1822" s="9" t="s">
        <v>9</v>
      </c>
      <c r="C1822" s="9">
        <v>1915</v>
      </c>
      <c r="D1822" s="10">
        <v>45639</v>
      </c>
      <c r="E1822" s="13" t="str">
        <f>+HYPERLINK("http://trademark.i-assist.jp/data/china/image_1915th/81097995.pdf","81097995")</f>
        <v>81097995</v>
      </c>
      <c r="F1822" s="12" t="s">
        <v>5001</v>
      </c>
      <c r="G1822" s="12" t="s">
        <v>5002</v>
      </c>
      <c r="H1822" s="9" t="s">
        <v>5003</v>
      </c>
      <c r="I1822" s="10">
        <v>45560</v>
      </c>
    </row>
    <row r="1823" spans="1:9" x14ac:dyDescent="0.15">
      <c r="A1823" s="9">
        <v>1822</v>
      </c>
      <c r="B1823" s="9" t="s">
        <v>9</v>
      </c>
      <c r="C1823" s="9">
        <v>1915</v>
      </c>
      <c r="D1823" s="10">
        <v>45639</v>
      </c>
      <c r="E1823" s="13" t="str">
        <f>+HYPERLINK("http://trademark.i-assist.jp/data/china/image_1915th/81098399.pdf","81098399")</f>
        <v>81098399</v>
      </c>
      <c r="F1823" s="9" t="s">
        <v>5004</v>
      </c>
      <c r="G1823" s="9" t="s">
        <v>5005</v>
      </c>
      <c r="H1823" s="9" t="s">
        <v>5006</v>
      </c>
      <c r="I1823" s="10">
        <v>45560</v>
      </c>
    </row>
    <row r="1824" spans="1:9" x14ac:dyDescent="0.15">
      <c r="A1824" s="9">
        <v>1823</v>
      </c>
      <c r="B1824" s="9" t="s">
        <v>9</v>
      </c>
      <c r="C1824" s="9">
        <v>1915</v>
      </c>
      <c r="D1824" s="10">
        <v>45639</v>
      </c>
      <c r="E1824" s="13" t="str">
        <f>+HYPERLINK("http://trademark.i-assist.jp/data/china/image_1915th/81098582.pdf","81098582")</f>
        <v>81098582</v>
      </c>
      <c r="F1824" s="9" t="s">
        <v>5007</v>
      </c>
      <c r="G1824" s="9" t="s">
        <v>5008</v>
      </c>
      <c r="H1824" s="9" t="s">
        <v>5009</v>
      </c>
      <c r="I1824" s="10">
        <v>45560</v>
      </c>
    </row>
    <row r="1825" spans="1:9" x14ac:dyDescent="0.15">
      <c r="A1825" s="9">
        <v>1824</v>
      </c>
      <c r="B1825" s="9" t="s">
        <v>9</v>
      </c>
      <c r="C1825" s="9">
        <v>1915</v>
      </c>
      <c r="D1825" s="10">
        <v>45639</v>
      </c>
      <c r="E1825" s="13" t="str">
        <f>+HYPERLINK("http://trademark.i-assist.jp/data/china/image_1915th/81098639.pdf","81098639")</f>
        <v>81098639</v>
      </c>
      <c r="F1825" s="9" t="s">
        <v>5010</v>
      </c>
      <c r="G1825" s="12" t="s">
        <v>5011</v>
      </c>
      <c r="H1825" s="9" t="s">
        <v>5012</v>
      </c>
      <c r="I1825" s="10">
        <v>45560</v>
      </c>
    </row>
    <row r="1826" spans="1:9" x14ac:dyDescent="0.15">
      <c r="A1826" s="9">
        <v>1825</v>
      </c>
      <c r="B1826" s="9" t="s">
        <v>9</v>
      </c>
      <c r="C1826" s="9">
        <v>1915</v>
      </c>
      <c r="D1826" s="10">
        <v>45639</v>
      </c>
      <c r="E1826" s="13" t="str">
        <f>+HYPERLINK("http://trademark.i-assist.jp/data/china/image_1915th/81098954.pdf","81098954")</f>
        <v>81098954</v>
      </c>
      <c r="F1826" s="12" t="s">
        <v>5013</v>
      </c>
      <c r="G1826" s="12" t="s">
        <v>5014</v>
      </c>
      <c r="H1826" s="9" t="s">
        <v>5015</v>
      </c>
      <c r="I1826" s="10">
        <v>45560</v>
      </c>
    </row>
    <row r="1827" spans="1:9" x14ac:dyDescent="0.15">
      <c r="A1827" s="9">
        <v>1826</v>
      </c>
      <c r="B1827" s="9" t="s">
        <v>9</v>
      </c>
      <c r="C1827" s="9">
        <v>1915</v>
      </c>
      <c r="D1827" s="10">
        <v>45639</v>
      </c>
      <c r="E1827" s="13" t="str">
        <f>+HYPERLINK("http://trademark.i-assist.jp/data/china/image_1915th/81099086.pdf","81099086")</f>
        <v>81099086</v>
      </c>
      <c r="F1827" s="12" t="s">
        <v>5016</v>
      </c>
      <c r="G1827" s="9" t="s">
        <v>78</v>
      </c>
      <c r="H1827" s="9" t="s">
        <v>5017</v>
      </c>
      <c r="I1827" s="10">
        <v>45560</v>
      </c>
    </row>
    <row r="1828" spans="1:9" x14ac:dyDescent="0.15">
      <c r="A1828" s="9">
        <v>1827</v>
      </c>
      <c r="B1828" s="9" t="s">
        <v>9</v>
      </c>
      <c r="C1828" s="9">
        <v>1915</v>
      </c>
      <c r="D1828" s="10">
        <v>45639</v>
      </c>
      <c r="E1828" s="13" t="str">
        <f>+HYPERLINK("http://trademark.i-assist.jp/data/china/image_1915th/81099330.pdf","81099330")</f>
        <v>81099330</v>
      </c>
      <c r="F1828" s="9" t="s">
        <v>5018</v>
      </c>
      <c r="G1828" s="9" t="s">
        <v>3662</v>
      </c>
      <c r="H1828" s="9" t="s">
        <v>5019</v>
      </c>
      <c r="I1828" s="10">
        <v>45560</v>
      </c>
    </row>
    <row r="1829" spans="1:9" x14ac:dyDescent="0.15">
      <c r="A1829" s="9">
        <v>1828</v>
      </c>
      <c r="B1829" s="9" t="s">
        <v>9</v>
      </c>
      <c r="C1829" s="9">
        <v>1915</v>
      </c>
      <c r="D1829" s="10">
        <v>45639</v>
      </c>
      <c r="E1829" s="13" t="str">
        <f>+HYPERLINK("http://trademark.i-assist.jp/data/china/image_1915th/81099979.pdf","81099979")</f>
        <v>81099979</v>
      </c>
      <c r="F1829" s="9" t="s">
        <v>5020</v>
      </c>
      <c r="G1829" s="9" t="s">
        <v>5021</v>
      </c>
      <c r="H1829" s="9" t="s">
        <v>5022</v>
      </c>
      <c r="I1829" s="10">
        <v>45560</v>
      </c>
    </row>
    <row r="1830" spans="1:9" x14ac:dyDescent="0.15">
      <c r="A1830" s="9">
        <v>1829</v>
      </c>
      <c r="B1830" s="9" t="s">
        <v>9</v>
      </c>
      <c r="C1830" s="9">
        <v>1915</v>
      </c>
      <c r="D1830" s="10">
        <v>45639</v>
      </c>
      <c r="E1830" s="13" t="str">
        <f>+HYPERLINK("http://trademark.i-assist.jp/data/china/image_1915th/81100127.pdf","81100127")</f>
        <v>81100127</v>
      </c>
      <c r="F1830" s="9" t="s">
        <v>5023</v>
      </c>
      <c r="G1830" s="9" t="s">
        <v>4960</v>
      </c>
      <c r="H1830" s="9" t="s">
        <v>5024</v>
      </c>
      <c r="I1830" s="10">
        <v>45560</v>
      </c>
    </row>
    <row r="1831" spans="1:9" x14ac:dyDescent="0.15">
      <c r="A1831" s="9">
        <v>1830</v>
      </c>
      <c r="B1831" s="9" t="s">
        <v>9</v>
      </c>
      <c r="C1831" s="9">
        <v>1915</v>
      </c>
      <c r="D1831" s="10">
        <v>45639</v>
      </c>
      <c r="E1831" s="13" t="str">
        <f>+HYPERLINK("http://trademark.i-assist.jp/data/china/image_1915th/81100145.pdf","81100145")</f>
        <v>81100145</v>
      </c>
      <c r="F1831" s="9" t="s">
        <v>5025</v>
      </c>
      <c r="G1831" s="9" t="s">
        <v>5026</v>
      </c>
      <c r="H1831" s="9" t="s">
        <v>5027</v>
      </c>
      <c r="I1831" s="10">
        <v>45560</v>
      </c>
    </row>
    <row r="1832" spans="1:9" x14ac:dyDescent="0.15">
      <c r="A1832" s="9">
        <v>1831</v>
      </c>
      <c r="B1832" s="9" t="s">
        <v>9</v>
      </c>
      <c r="C1832" s="9">
        <v>1915</v>
      </c>
      <c r="D1832" s="10">
        <v>45639</v>
      </c>
      <c r="E1832" s="13" t="str">
        <f>+HYPERLINK("http://trademark.i-assist.jp/data/china/image_1915th/81100474.pdf","81100474")</f>
        <v>81100474</v>
      </c>
      <c r="F1832" s="12" t="s">
        <v>5028</v>
      </c>
      <c r="G1832" s="9" t="s">
        <v>4972</v>
      </c>
      <c r="H1832" s="9" t="s">
        <v>5029</v>
      </c>
      <c r="I1832" s="10">
        <v>45560</v>
      </c>
    </row>
    <row r="1833" spans="1:9" x14ac:dyDescent="0.15">
      <c r="A1833" s="9">
        <v>1832</v>
      </c>
      <c r="B1833" s="9" t="s">
        <v>9</v>
      </c>
      <c r="C1833" s="9">
        <v>1915</v>
      </c>
      <c r="D1833" s="10">
        <v>45639</v>
      </c>
      <c r="E1833" s="13" t="str">
        <f>+HYPERLINK("http://trademark.i-assist.jp/data/china/image_1915th/81100480.pdf","81100480")</f>
        <v>81100480</v>
      </c>
      <c r="F1833" s="9" t="s">
        <v>5030</v>
      </c>
      <c r="G1833" s="9" t="s">
        <v>5031</v>
      </c>
      <c r="H1833" s="9" t="s">
        <v>5032</v>
      </c>
      <c r="I1833" s="10">
        <v>45560</v>
      </c>
    </row>
    <row r="1834" spans="1:9" x14ac:dyDescent="0.15">
      <c r="A1834" s="9">
        <v>1833</v>
      </c>
      <c r="B1834" s="9" t="s">
        <v>9</v>
      </c>
      <c r="C1834" s="9">
        <v>1915</v>
      </c>
      <c r="D1834" s="10">
        <v>45639</v>
      </c>
      <c r="E1834" s="13" t="str">
        <f>+HYPERLINK("http://trademark.i-assist.jp/data/china/image_1915th/81100572.pdf","81100572")</f>
        <v>81100572</v>
      </c>
      <c r="F1834" s="12" t="s">
        <v>5033</v>
      </c>
      <c r="G1834" s="9" t="s">
        <v>5034</v>
      </c>
      <c r="H1834" s="9" t="s">
        <v>5035</v>
      </c>
      <c r="I1834" s="10">
        <v>45560</v>
      </c>
    </row>
    <row r="1835" spans="1:9" x14ac:dyDescent="0.15">
      <c r="A1835" s="9">
        <v>1834</v>
      </c>
      <c r="B1835" s="9" t="s">
        <v>9</v>
      </c>
      <c r="C1835" s="9">
        <v>1915</v>
      </c>
      <c r="D1835" s="10">
        <v>45639</v>
      </c>
      <c r="E1835" s="13" t="str">
        <f>+HYPERLINK("http://trademark.i-assist.jp/data/china/image_1915th/81100915.pdf","81100915")</f>
        <v>81100915</v>
      </c>
      <c r="F1835" s="12" t="s">
        <v>5036</v>
      </c>
      <c r="G1835" s="9" t="s">
        <v>3491</v>
      </c>
      <c r="H1835" s="9" t="s">
        <v>5037</v>
      </c>
      <c r="I1835" s="10">
        <v>45560</v>
      </c>
    </row>
    <row r="1836" spans="1:9" x14ac:dyDescent="0.15">
      <c r="A1836" s="9">
        <v>1835</v>
      </c>
      <c r="B1836" s="9" t="s">
        <v>9</v>
      </c>
      <c r="C1836" s="9">
        <v>1915</v>
      </c>
      <c r="D1836" s="10">
        <v>45639</v>
      </c>
      <c r="E1836" s="13" t="str">
        <f>+HYPERLINK("http://trademark.i-assist.jp/data/china/image_1915th/81101344.pdf","81101344")</f>
        <v>81101344</v>
      </c>
      <c r="F1836" s="9" t="s">
        <v>5038</v>
      </c>
      <c r="G1836" s="9" t="s">
        <v>5039</v>
      </c>
      <c r="H1836" s="9" t="s">
        <v>5040</v>
      </c>
      <c r="I1836" s="10">
        <v>45560</v>
      </c>
    </row>
    <row r="1837" spans="1:9" x14ac:dyDescent="0.15">
      <c r="A1837" s="9">
        <v>1836</v>
      </c>
      <c r="B1837" s="9" t="s">
        <v>9</v>
      </c>
      <c r="C1837" s="9">
        <v>1915</v>
      </c>
      <c r="D1837" s="10">
        <v>45639</v>
      </c>
      <c r="E1837" s="13" t="str">
        <f>+HYPERLINK("http://trademark.i-assist.jp/data/china/image_1915th/81101583.pdf","81101583")</f>
        <v>81101583</v>
      </c>
      <c r="F1837" s="9" t="s">
        <v>5041</v>
      </c>
      <c r="G1837" s="9" t="s">
        <v>5042</v>
      </c>
      <c r="H1837" s="9" t="s">
        <v>5043</v>
      </c>
      <c r="I1837" s="10">
        <v>45560</v>
      </c>
    </row>
    <row r="1838" spans="1:9" x14ac:dyDescent="0.15">
      <c r="A1838" s="9">
        <v>1837</v>
      </c>
      <c r="B1838" s="9" t="s">
        <v>9</v>
      </c>
      <c r="C1838" s="9">
        <v>1915</v>
      </c>
      <c r="D1838" s="10">
        <v>45639</v>
      </c>
      <c r="E1838" s="13" t="str">
        <f>+HYPERLINK("http://trademark.i-assist.jp/data/china/image_1915th/81101584.pdf","81101584")</f>
        <v>81101584</v>
      </c>
      <c r="F1838" s="9" t="s">
        <v>5044</v>
      </c>
      <c r="G1838" s="12" t="s">
        <v>5045</v>
      </c>
      <c r="H1838" s="9" t="s">
        <v>5046</v>
      </c>
      <c r="I1838" s="10">
        <v>45560</v>
      </c>
    </row>
    <row r="1839" spans="1:9" x14ac:dyDescent="0.15">
      <c r="A1839" s="9">
        <v>1838</v>
      </c>
      <c r="B1839" s="9" t="s">
        <v>9</v>
      </c>
      <c r="C1839" s="9">
        <v>1915</v>
      </c>
      <c r="D1839" s="10">
        <v>45639</v>
      </c>
      <c r="E1839" s="13" t="str">
        <f>+HYPERLINK("http://trademark.i-assist.jp/data/china/image_1915th/81101681.pdf","81101681")</f>
        <v>81101681</v>
      </c>
      <c r="F1839" s="9" t="s">
        <v>5047</v>
      </c>
      <c r="G1839" s="9" t="s">
        <v>5048</v>
      </c>
      <c r="H1839" s="9" t="s">
        <v>5049</v>
      </c>
      <c r="I1839" s="10">
        <v>45560</v>
      </c>
    </row>
    <row r="1840" spans="1:9" x14ac:dyDescent="0.15">
      <c r="A1840" s="9">
        <v>1839</v>
      </c>
      <c r="B1840" s="9" t="s">
        <v>9</v>
      </c>
      <c r="C1840" s="9">
        <v>1915</v>
      </c>
      <c r="D1840" s="10">
        <v>45639</v>
      </c>
      <c r="E1840" s="13" t="str">
        <f>+HYPERLINK("http://trademark.i-assist.jp/data/china/image_1915th/81101728.pdf","81101728")</f>
        <v>81101728</v>
      </c>
      <c r="F1840" s="9" t="s">
        <v>5050</v>
      </c>
      <c r="G1840" s="9" t="s">
        <v>5051</v>
      </c>
      <c r="H1840" s="9" t="s">
        <v>5052</v>
      </c>
      <c r="I1840" s="10">
        <v>45560</v>
      </c>
    </row>
    <row r="1841" spans="1:9" x14ac:dyDescent="0.15">
      <c r="A1841" s="9">
        <v>1840</v>
      </c>
      <c r="B1841" s="9" t="s">
        <v>9</v>
      </c>
      <c r="C1841" s="9">
        <v>1915</v>
      </c>
      <c r="D1841" s="10">
        <v>45639</v>
      </c>
      <c r="E1841" s="13" t="str">
        <f>+HYPERLINK("http://trademark.i-assist.jp/data/china/image_1915th/81101755.pdf","81101755")</f>
        <v>81101755</v>
      </c>
      <c r="F1841" s="12" t="s">
        <v>5053</v>
      </c>
      <c r="G1841" s="9" t="s">
        <v>5054</v>
      </c>
      <c r="H1841" s="9" t="s">
        <v>5055</v>
      </c>
      <c r="I1841" s="10">
        <v>45560</v>
      </c>
    </row>
    <row r="1842" spans="1:9" x14ac:dyDescent="0.15">
      <c r="A1842" s="9">
        <v>1841</v>
      </c>
      <c r="B1842" s="9" t="s">
        <v>9</v>
      </c>
      <c r="C1842" s="9">
        <v>1915</v>
      </c>
      <c r="D1842" s="10">
        <v>45639</v>
      </c>
      <c r="E1842" s="13" t="str">
        <f>+HYPERLINK("http://trademark.i-assist.jp/data/china/image_1915th/81101785.pdf","81101785")</f>
        <v>81101785</v>
      </c>
      <c r="F1842" s="9" t="s">
        <v>5056</v>
      </c>
      <c r="G1842" s="9" t="s">
        <v>4841</v>
      </c>
      <c r="H1842" s="9" t="s">
        <v>5057</v>
      </c>
      <c r="I1842" s="10">
        <v>45560</v>
      </c>
    </row>
    <row r="1843" spans="1:9" x14ac:dyDescent="0.15">
      <c r="A1843" s="9">
        <v>1842</v>
      </c>
      <c r="B1843" s="9" t="s">
        <v>9</v>
      </c>
      <c r="C1843" s="9">
        <v>1915</v>
      </c>
      <c r="D1843" s="10">
        <v>45639</v>
      </c>
      <c r="E1843" s="13" t="str">
        <f>+HYPERLINK("http://trademark.i-assist.jp/data/china/image_1915th/81101930.pdf","81101930")</f>
        <v>81101930</v>
      </c>
      <c r="F1843" s="9" t="s">
        <v>5058</v>
      </c>
      <c r="G1843" s="9" t="s">
        <v>5059</v>
      </c>
      <c r="H1843" s="12" t="s">
        <v>5060</v>
      </c>
      <c r="I1843" s="10">
        <v>45560</v>
      </c>
    </row>
    <row r="1844" spans="1:9" x14ac:dyDescent="0.15">
      <c r="A1844" s="9">
        <v>1843</v>
      </c>
      <c r="B1844" s="9" t="s">
        <v>9</v>
      </c>
      <c r="C1844" s="9">
        <v>1915</v>
      </c>
      <c r="D1844" s="10">
        <v>45639</v>
      </c>
      <c r="E1844" s="13" t="str">
        <f>+HYPERLINK("http://trademark.i-assist.jp/data/china/image_1915th/81102372.pdf","81102372")</f>
        <v>81102372</v>
      </c>
      <c r="F1844" s="9" t="s">
        <v>5061</v>
      </c>
      <c r="G1844" s="12" t="s">
        <v>5062</v>
      </c>
      <c r="H1844" s="9" t="s">
        <v>5063</v>
      </c>
      <c r="I1844" s="10">
        <v>45560</v>
      </c>
    </row>
    <row r="1845" spans="1:9" x14ac:dyDescent="0.15">
      <c r="A1845" s="9">
        <v>1844</v>
      </c>
      <c r="B1845" s="9" t="s">
        <v>9</v>
      </c>
      <c r="C1845" s="9">
        <v>1915</v>
      </c>
      <c r="D1845" s="10">
        <v>45639</v>
      </c>
      <c r="E1845" s="13" t="str">
        <f>+HYPERLINK("http://trademark.i-assist.jp/data/china/image_1915th/81102474.pdf","81102474")</f>
        <v>81102474</v>
      </c>
      <c r="F1845" s="9" t="s">
        <v>5064</v>
      </c>
      <c r="G1845" s="9" t="s">
        <v>5065</v>
      </c>
      <c r="H1845" s="9" t="s">
        <v>5066</v>
      </c>
      <c r="I1845" s="10">
        <v>45560</v>
      </c>
    </row>
    <row r="1846" spans="1:9" x14ac:dyDescent="0.15">
      <c r="A1846" s="9">
        <v>1845</v>
      </c>
      <c r="B1846" s="9" t="s">
        <v>9</v>
      </c>
      <c r="C1846" s="9">
        <v>1915</v>
      </c>
      <c r="D1846" s="10">
        <v>45639</v>
      </c>
      <c r="E1846" s="13" t="str">
        <f>+HYPERLINK("http://trademark.i-assist.jp/data/china/image_1915th/81102579.pdf","81102579")</f>
        <v>81102579</v>
      </c>
      <c r="F1846" s="9" t="s">
        <v>5067</v>
      </c>
      <c r="G1846" s="12" t="s">
        <v>5068</v>
      </c>
      <c r="H1846" s="9" t="s">
        <v>5069</v>
      </c>
      <c r="I1846" s="10">
        <v>45560</v>
      </c>
    </row>
    <row r="1847" spans="1:9" x14ac:dyDescent="0.15">
      <c r="A1847" s="9">
        <v>1846</v>
      </c>
      <c r="B1847" s="9" t="s">
        <v>9</v>
      </c>
      <c r="C1847" s="9">
        <v>1915</v>
      </c>
      <c r="D1847" s="10">
        <v>45639</v>
      </c>
      <c r="E1847" s="13" t="str">
        <f>+HYPERLINK("http://trademark.i-assist.jp/data/china/image_1915th/81102857.pdf","81102857")</f>
        <v>81102857</v>
      </c>
      <c r="F1847" s="9" t="s">
        <v>5070</v>
      </c>
      <c r="G1847" s="9" t="s">
        <v>21</v>
      </c>
      <c r="H1847" s="9" t="s">
        <v>5071</v>
      </c>
      <c r="I1847" s="10">
        <v>45560</v>
      </c>
    </row>
    <row r="1848" spans="1:9" x14ac:dyDescent="0.15">
      <c r="A1848" s="9">
        <v>1847</v>
      </c>
      <c r="B1848" s="9" t="s">
        <v>9</v>
      </c>
      <c r="C1848" s="9">
        <v>1915</v>
      </c>
      <c r="D1848" s="10">
        <v>45639</v>
      </c>
      <c r="E1848" s="13" t="str">
        <f>+HYPERLINK("http://trademark.i-assist.jp/data/china/image_1915th/81102932.pdf","81102932")</f>
        <v>81102932</v>
      </c>
      <c r="F1848" s="12" t="s">
        <v>5072</v>
      </c>
      <c r="G1848" s="9" t="s">
        <v>3646</v>
      </c>
      <c r="H1848" s="9" t="s">
        <v>5073</v>
      </c>
      <c r="I1848" s="10">
        <v>45560</v>
      </c>
    </row>
    <row r="1849" spans="1:9" x14ac:dyDescent="0.15">
      <c r="A1849" s="9">
        <v>1848</v>
      </c>
      <c r="B1849" s="9" t="s">
        <v>9</v>
      </c>
      <c r="C1849" s="9">
        <v>1915</v>
      </c>
      <c r="D1849" s="10">
        <v>45639</v>
      </c>
      <c r="E1849" s="13" t="str">
        <f>+HYPERLINK("http://trademark.i-assist.jp/data/china/image_1915th/81102973.pdf","81102973")</f>
        <v>81102973</v>
      </c>
      <c r="F1849" s="9" t="s">
        <v>5074</v>
      </c>
      <c r="G1849" s="9" t="s">
        <v>5075</v>
      </c>
      <c r="H1849" s="9" t="s">
        <v>5076</v>
      </c>
      <c r="I1849" s="10">
        <v>45560</v>
      </c>
    </row>
    <row r="1850" spans="1:9" x14ac:dyDescent="0.15">
      <c r="A1850" s="9">
        <v>1849</v>
      </c>
      <c r="B1850" s="9" t="s">
        <v>9</v>
      </c>
      <c r="C1850" s="9">
        <v>1915</v>
      </c>
      <c r="D1850" s="10">
        <v>45639</v>
      </c>
      <c r="E1850" s="13" t="str">
        <f>+HYPERLINK("http://trademark.i-assist.jp/data/china/image_1915th/81103077.pdf","81103077")</f>
        <v>81103077</v>
      </c>
      <c r="F1850" s="9" t="s">
        <v>5077</v>
      </c>
      <c r="G1850" s="9" t="s">
        <v>5078</v>
      </c>
      <c r="H1850" s="9" t="s">
        <v>5079</v>
      </c>
      <c r="I1850" s="10">
        <v>45560</v>
      </c>
    </row>
    <row r="1851" spans="1:9" x14ac:dyDescent="0.15">
      <c r="A1851" s="9">
        <v>1850</v>
      </c>
      <c r="B1851" s="9" t="s">
        <v>9</v>
      </c>
      <c r="C1851" s="9">
        <v>1915</v>
      </c>
      <c r="D1851" s="10">
        <v>45639</v>
      </c>
      <c r="E1851" s="13" t="str">
        <f>+HYPERLINK("http://trademark.i-assist.jp/data/china/image_1915th/81103094.pdf","81103094")</f>
        <v>81103094</v>
      </c>
      <c r="F1851" s="9" t="s">
        <v>5080</v>
      </c>
      <c r="G1851" s="9" t="s">
        <v>5081</v>
      </c>
      <c r="H1851" s="9" t="s">
        <v>5082</v>
      </c>
      <c r="I1851" s="10">
        <v>45560</v>
      </c>
    </row>
    <row r="1852" spans="1:9" x14ac:dyDescent="0.15">
      <c r="A1852" s="9">
        <v>1851</v>
      </c>
      <c r="B1852" s="9" t="s">
        <v>9</v>
      </c>
      <c r="C1852" s="9">
        <v>1915</v>
      </c>
      <c r="D1852" s="10">
        <v>45639</v>
      </c>
      <c r="E1852" s="13" t="str">
        <f>+HYPERLINK("http://trademark.i-assist.jp/data/china/image_1915th/81103110.pdf","81103110")</f>
        <v>81103110</v>
      </c>
      <c r="F1852" s="9" t="s">
        <v>5083</v>
      </c>
      <c r="G1852" s="9" t="s">
        <v>5084</v>
      </c>
      <c r="H1852" s="9" t="s">
        <v>5085</v>
      </c>
      <c r="I1852" s="10">
        <v>45560</v>
      </c>
    </row>
    <row r="1853" spans="1:9" x14ac:dyDescent="0.15">
      <c r="A1853" s="9">
        <v>1852</v>
      </c>
      <c r="B1853" s="9" t="s">
        <v>9</v>
      </c>
      <c r="C1853" s="9">
        <v>1915</v>
      </c>
      <c r="D1853" s="10">
        <v>45639</v>
      </c>
      <c r="E1853" s="13" t="str">
        <f>+HYPERLINK("http://trademark.i-assist.jp/data/china/image_1915th/81103114.pdf","81103114")</f>
        <v>81103114</v>
      </c>
      <c r="F1853" s="9" t="s">
        <v>5086</v>
      </c>
      <c r="G1853" s="9" t="s">
        <v>5084</v>
      </c>
      <c r="H1853" s="9" t="s">
        <v>5087</v>
      </c>
      <c r="I1853" s="10">
        <v>45560</v>
      </c>
    </row>
    <row r="1854" spans="1:9" x14ac:dyDescent="0.15">
      <c r="A1854" s="9">
        <v>1853</v>
      </c>
      <c r="B1854" s="9" t="s">
        <v>9</v>
      </c>
      <c r="C1854" s="9">
        <v>1915</v>
      </c>
      <c r="D1854" s="10">
        <v>45639</v>
      </c>
      <c r="E1854" s="13" t="str">
        <f>+HYPERLINK("http://trademark.i-assist.jp/data/china/image_1915th/81103620.pdf","81103620")</f>
        <v>81103620</v>
      </c>
      <c r="F1854" s="9" t="s">
        <v>5088</v>
      </c>
      <c r="G1854" s="12" t="s">
        <v>5089</v>
      </c>
      <c r="H1854" s="9" t="s">
        <v>5090</v>
      </c>
      <c r="I1854" s="10">
        <v>45560</v>
      </c>
    </row>
    <row r="1855" spans="1:9" x14ac:dyDescent="0.15">
      <c r="A1855" s="9">
        <v>1854</v>
      </c>
      <c r="B1855" s="9" t="s">
        <v>9</v>
      </c>
      <c r="C1855" s="9">
        <v>1915</v>
      </c>
      <c r="D1855" s="10">
        <v>45639</v>
      </c>
      <c r="E1855" s="13" t="str">
        <f>+HYPERLINK("http://trademark.i-assist.jp/data/china/image_1915th/81103742.pdf","81103742")</f>
        <v>81103742</v>
      </c>
      <c r="F1855" s="12" t="s">
        <v>5091</v>
      </c>
      <c r="G1855" s="9" t="s">
        <v>5092</v>
      </c>
      <c r="H1855" s="9" t="s">
        <v>5093</v>
      </c>
      <c r="I1855" s="10">
        <v>45560</v>
      </c>
    </row>
    <row r="1856" spans="1:9" x14ac:dyDescent="0.15">
      <c r="A1856" s="9">
        <v>1855</v>
      </c>
      <c r="B1856" s="9" t="s">
        <v>9</v>
      </c>
      <c r="C1856" s="9">
        <v>1915</v>
      </c>
      <c r="D1856" s="10">
        <v>45639</v>
      </c>
      <c r="E1856" s="13" t="str">
        <f>+HYPERLINK("http://trademark.i-assist.jp/data/china/image_1915th/81104024.pdf","81104024")</f>
        <v>81104024</v>
      </c>
      <c r="F1856" s="9" t="s">
        <v>5094</v>
      </c>
      <c r="G1856" s="9" t="s">
        <v>5095</v>
      </c>
      <c r="H1856" s="12" t="s">
        <v>5096</v>
      </c>
      <c r="I1856" s="10">
        <v>45560</v>
      </c>
    </row>
    <row r="1857" spans="1:9" x14ac:dyDescent="0.15">
      <c r="A1857" s="9">
        <v>1856</v>
      </c>
      <c r="B1857" s="9" t="s">
        <v>9</v>
      </c>
      <c r="C1857" s="9">
        <v>1915</v>
      </c>
      <c r="D1857" s="10">
        <v>45639</v>
      </c>
      <c r="E1857" s="13" t="str">
        <f>+HYPERLINK("http://trademark.i-assist.jp/data/china/image_1915th/81104411.pdf","81104411")</f>
        <v>81104411</v>
      </c>
      <c r="F1857" s="12" t="s">
        <v>5097</v>
      </c>
      <c r="G1857" s="9" t="s">
        <v>5098</v>
      </c>
      <c r="H1857" s="9" t="s">
        <v>5099</v>
      </c>
      <c r="I1857" s="10">
        <v>45560</v>
      </c>
    </row>
    <row r="1858" spans="1:9" x14ac:dyDescent="0.15">
      <c r="A1858" s="9">
        <v>1857</v>
      </c>
      <c r="B1858" s="9" t="s">
        <v>9</v>
      </c>
      <c r="C1858" s="9">
        <v>1915</v>
      </c>
      <c r="D1858" s="10">
        <v>45639</v>
      </c>
      <c r="E1858" s="13" t="str">
        <f>+HYPERLINK("http://trademark.i-assist.jp/data/china/image_1915th/81104654.pdf","81104654")</f>
        <v>81104654</v>
      </c>
      <c r="F1858" s="9" t="s">
        <v>5100</v>
      </c>
      <c r="G1858" s="9" t="s">
        <v>2241</v>
      </c>
      <c r="H1858" s="9" t="s">
        <v>5101</v>
      </c>
      <c r="I1858" s="10">
        <v>45560</v>
      </c>
    </row>
    <row r="1859" spans="1:9" x14ac:dyDescent="0.15">
      <c r="A1859" s="9">
        <v>1858</v>
      </c>
      <c r="B1859" s="9" t="s">
        <v>9</v>
      </c>
      <c r="C1859" s="9">
        <v>1915</v>
      </c>
      <c r="D1859" s="10">
        <v>45639</v>
      </c>
      <c r="E1859" s="13" t="str">
        <f>+HYPERLINK("http://trademark.i-assist.jp/data/china/image_1915th/81104765.pdf","81104765")</f>
        <v>81104765</v>
      </c>
      <c r="F1859" s="9" t="s">
        <v>5102</v>
      </c>
      <c r="G1859" s="9" t="s">
        <v>3662</v>
      </c>
      <c r="H1859" s="9" t="s">
        <v>5103</v>
      </c>
      <c r="I1859" s="10">
        <v>45560</v>
      </c>
    </row>
    <row r="1860" spans="1:9" x14ac:dyDescent="0.15">
      <c r="A1860" s="9">
        <v>1859</v>
      </c>
      <c r="B1860" s="9" t="s">
        <v>9</v>
      </c>
      <c r="C1860" s="9">
        <v>1915</v>
      </c>
      <c r="D1860" s="10">
        <v>45639</v>
      </c>
      <c r="E1860" s="13" t="str">
        <f>+HYPERLINK("http://trademark.i-assist.jp/data/china/image_1915th/81104866.pdf","81104866")</f>
        <v>81104866</v>
      </c>
      <c r="F1860" s="9" t="s">
        <v>5104</v>
      </c>
      <c r="G1860" s="9" t="s">
        <v>5105</v>
      </c>
      <c r="H1860" s="9" t="s">
        <v>5106</v>
      </c>
      <c r="I1860" s="10">
        <v>45560</v>
      </c>
    </row>
    <row r="1861" spans="1:9" x14ac:dyDescent="0.15">
      <c r="A1861" s="9">
        <v>1860</v>
      </c>
      <c r="B1861" s="9" t="s">
        <v>9</v>
      </c>
      <c r="C1861" s="9">
        <v>1915</v>
      </c>
      <c r="D1861" s="10">
        <v>45639</v>
      </c>
      <c r="E1861" s="13" t="str">
        <f>+HYPERLINK("http://trademark.i-assist.jp/data/china/image_1915th/81104870.pdf","81104870")</f>
        <v>81104870</v>
      </c>
      <c r="F1861" s="9" t="s">
        <v>5107</v>
      </c>
      <c r="G1861" s="12" t="s">
        <v>5108</v>
      </c>
      <c r="H1861" s="9" t="s">
        <v>5109</v>
      </c>
      <c r="I1861" s="10">
        <v>45560</v>
      </c>
    </row>
    <row r="1862" spans="1:9" x14ac:dyDescent="0.15">
      <c r="A1862" s="9">
        <v>1861</v>
      </c>
      <c r="B1862" s="9" t="s">
        <v>9</v>
      </c>
      <c r="C1862" s="9">
        <v>1915</v>
      </c>
      <c r="D1862" s="10">
        <v>45639</v>
      </c>
      <c r="E1862" s="13" t="str">
        <f>+HYPERLINK("http://trademark.i-assist.jp/data/china/image_1915th/81105038.pdf","81105038")</f>
        <v>81105038</v>
      </c>
      <c r="F1862" s="12" t="s">
        <v>5110</v>
      </c>
      <c r="G1862" s="12" t="s">
        <v>5089</v>
      </c>
      <c r="H1862" s="9" t="s">
        <v>5111</v>
      </c>
      <c r="I1862" s="10">
        <v>45560</v>
      </c>
    </row>
    <row r="1863" spans="1:9" x14ac:dyDescent="0.15">
      <c r="A1863" s="9">
        <v>1862</v>
      </c>
      <c r="B1863" s="9" t="s">
        <v>9</v>
      </c>
      <c r="C1863" s="9">
        <v>1915</v>
      </c>
      <c r="D1863" s="10">
        <v>45639</v>
      </c>
      <c r="E1863" s="13" t="str">
        <f>+HYPERLINK("http://trademark.i-assist.jp/data/china/image_1915th/81105047.pdf","81105047")</f>
        <v>81105047</v>
      </c>
      <c r="F1863" s="9" t="s">
        <v>5112</v>
      </c>
      <c r="G1863" s="9" t="s">
        <v>4963</v>
      </c>
      <c r="H1863" s="9" t="s">
        <v>5113</v>
      </c>
      <c r="I1863" s="10">
        <v>45560</v>
      </c>
    </row>
    <row r="1864" spans="1:9" x14ac:dyDescent="0.15">
      <c r="A1864" s="9">
        <v>1863</v>
      </c>
      <c r="B1864" s="9" t="s">
        <v>9</v>
      </c>
      <c r="C1864" s="9">
        <v>1915</v>
      </c>
      <c r="D1864" s="10">
        <v>45639</v>
      </c>
      <c r="E1864" s="13" t="str">
        <f>+HYPERLINK("http://trademark.i-assist.jp/data/china/image_1915th/81105079.pdf","81105079")</f>
        <v>81105079</v>
      </c>
      <c r="F1864" s="9" t="s">
        <v>5114</v>
      </c>
      <c r="G1864" s="9" t="s">
        <v>5115</v>
      </c>
      <c r="H1864" s="12" t="s">
        <v>5116</v>
      </c>
      <c r="I1864" s="10">
        <v>45560</v>
      </c>
    </row>
    <row r="1865" spans="1:9" x14ac:dyDescent="0.15">
      <c r="A1865" s="9">
        <v>1864</v>
      </c>
      <c r="B1865" s="9" t="s">
        <v>9</v>
      </c>
      <c r="C1865" s="9">
        <v>1915</v>
      </c>
      <c r="D1865" s="10">
        <v>45639</v>
      </c>
      <c r="E1865" s="13" t="str">
        <f>+HYPERLINK("http://trademark.i-assist.jp/data/china/image_1915th/81105285.pdf","81105285")</f>
        <v>81105285</v>
      </c>
      <c r="F1865" s="9" t="s">
        <v>5117</v>
      </c>
      <c r="G1865" s="9" t="s">
        <v>5118</v>
      </c>
      <c r="H1865" s="9" t="s">
        <v>5119</v>
      </c>
      <c r="I1865" s="10">
        <v>45560</v>
      </c>
    </row>
    <row r="1866" spans="1:9" x14ac:dyDescent="0.15">
      <c r="A1866" s="9">
        <v>1865</v>
      </c>
      <c r="B1866" s="9" t="s">
        <v>9</v>
      </c>
      <c r="C1866" s="9">
        <v>1915</v>
      </c>
      <c r="D1866" s="10">
        <v>45639</v>
      </c>
      <c r="E1866" s="13" t="str">
        <f>+HYPERLINK("http://trademark.i-assist.jp/data/china/image_1915th/81105393.pdf","81105393")</f>
        <v>81105393</v>
      </c>
      <c r="F1866" s="9" t="s">
        <v>5120</v>
      </c>
      <c r="G1866" s="12" t="s">
        <v>5014</v>
      </c>
      <c r="H1866" s="12" t="s">
        <v>5121</v>
      </c>
      <c r="I1866" s="10">
        <v>45560</v>
      </c>
    </row>
    <row r="1867" spans="1:9" x14ac:dyDescent="0.15">
      <c r="A1867" s="9">
        <v>1866</v>
      </c>
      <c r="B1867" s="9" t="s">
        <v>9</v>
      </c>
      <c r="C1867" s="9">
        <v>1915</v>
      </c>
      <c r="D1867" s="10">
        <v>45639</v>
      </c>
      <c r="E1867" s="13" t="str">
        <f>+HYPERLINK("http://trademark.i-assist.jp/data/china/image_1915th/81105415.pdf","81105415")</f>
        <v>81105415</v>
      </c>
      <c r="F1867" s="9" t="s">
        <v>5122</v>
      </c>
      <c r="G1867" s="9" t="s">
        <v>5123</v>
      </c>
      <c r="H1867" s="9" t="s">
        <v>5124</v>
      </c>
      <c r="I1867" s="10">
        <v>45560</v>
      </c>
    </row>
    <row r="1868" spans="1:9" x14ac:dyDescent="0.15">
      <c r="A1868" s="9">
        <v>1867</v>
      </c>
      <c r="B1868" s="9" t="s">
        <v>9</v>
      </c>
      <c r="C1868" s="9">
        <v>1915</v>
      </c>
      <c r="D1868" s="10">
        <v>45639</v>
      </c>
      <c r="E1868" s="13" t="str">
        <f>+HYPERLINK("http://trademark.i-assist.jp/data/china/image_1915th/81105868.pdf","81105868")</f>
        <v>81105868</v>
      </c>
      <c r="F1868" s="9" t="s">
        <v>5125</v>
      </c>
      <c r="G1868" s="12" t="s">
        <v>5089</v>
      </c>
      <c r="H1868" s="12" t="s">
        <v>5126</v>
      </c>
      <c r="I1868" s="10">
        <v>45560</v>
      </c>
    </row>
    <row r="1869" spans="1:9" x14ac:dyDescent="0.15">
      <c r="A1869" s="9">
        <v>1868</v>
      </c>
      <c r="B1869" s="9" t="s">
        <v>9</v>
      </c>
      <c r="C1869" s="9">
        <v>1915</v>
      </c>
      <c r="D1869" s="10">
        <v>45639</v>
      </c>
      <c r="E1869" s="13" t="str">
        <f>+HYPERLINK("http://trademark.i-assist.jp/data/china/image_1915th/81105878.pdf","81105878")</f>
        <v>81105878</v>
      </c>
      <c r="F1869" s="9" t="s">
        <v>5127</v>
      </c>
      <c r="G1869" s="9" t="s">
        <v>5128</v>
      </c>
      <c r="H1869" s="9" t="s">
        <v>5129</v>
      </c>
      <c r="I1869" s="10">
        <v>45560</v>
      </c>
    </row>
    <row r="1870" spans="1:9" x14ac:dyDescent="0.15">
      <c r="A1870" s="9">
        <v>1869</v>
      </c>
      <c r="B1870" s="9" t="s">
        <v>9</v>
      </c>
      <c r="C1870" s="9">
        <v>1915</v>
      </c>
      <c r="D1870" s="10">
        <v>45639</v>
      </c>
      <c r="E1870" s="13" t="str">
        <f>+HYPERLINK("http://trademark.i-assist.jp/data/china/image_1915th/81106182.pdf","81106182")</f>
        <v>81106182</v>
      </c>
      <c r="F1870" s="9" t="s">
        <v>5130</v>
      </c>
      <c r="G1870" s="9" t="s">
        <v>5131</v>
      </c>
      <c r="H1870" s="12" t="s">
        <v>5132</v>
      </c>
      <c r="I1870" s="10">
        <v>45560</v>
      </c>
    </row>
    <row r="1871" spans="1:9" x14ac:dyDescent="0.15">
      <c r="A1871" s="9">
        <v>1870</v>
      </c>
      <c r="B1871" s="9" t="s">
        <v>9</v>
      </c>
      <c r="C1871" s="9">
        <v>1915</v>
      </c>
      <c r="D1871" s="10">
        <v>45639</v>
      </c>
      <c r="E1871" s="13" t="str">
        <f>+HYPERLINK("http://trademark.i-assist.jp/data/china/image_1915th/81106209.pdf","81106209")</f>
        <v>81106209</v>
      </c>
      <c r="F1871" s="9" t="s">
        <v>5133</v>
      </c>
      <c r="G1871" s="9" t="s">
        <v>5134</v>
      </c>
      <c r="H1871" s="9" t="s">
        <v>5135</v>
      </c>
      <c r="I1871" s="10">
        <v>45560</v>
      </c>
    </row>
    <row r="1872" spans="1:9" x14ac:dyDescent="0.15">
      <c r="A1872" s="9">
        <v>1871</v>
      </c>
      <c r="B1872" s="9" t="s">
        <v>9</v>
      </c>
      <c r="C1872" s="9">
        <v>1915</v>
      </c>
      <c r="D1872" s="10">
        <v>45639</v>
      </c>
      <c r="E1872" s="13" t="str">
        <f>+HYPERLINK("http://trademark.i-assist.jp/data/china/image_1915th/81106400.pdf","81106400")</f>
        <v>81106400</v>
      </c>
      <c r="F1872" s="9" t="s">
        <v>5136</v>
      </c>
      <c r="G1872" s="9" t="s">
        <v>5137</v>
      </c>
      <c r="H1872" s="9" t="s">
        <v>5138</v>
      </c>
      <c r="I1872" s="10">
        <v>45560</v>
      </c>
    </row>
    <row r="1873" spans="1:9" x14ac:dyDescent="0.15">
      <c r="A1873" s="9">
        <v>1872</v>
      </c>
      <c r="B1873" s="9" t="s">
        <v>9</v>
      </c>
      <c r="C1873" s="9">
        <v>1915</v>
      </c>
      <c r="D1873" s="10">
        <v>45639</v>
      </c>
      <c r="E1873" s="13" t="str">
        <f>+HYPERLINK("http://trademark.i-assist.jp/data/china/image_1915th/81106738.pdf","81106738")</f>
        <v>81106738</v>
      </c>
      <c r="F1873" s="9" t="s">
        <v>5139</v>
      </c>
      <c r="G1873" s="9" t="s">
        <v>5140</v>
      </c>
      <c r="H1873" s="9" t="s">
        <v>5141</v>
      </c>
      <c r="I1873" s="10">
        <v>45560</v>
      </c>
    </row>
    <row r="1874" spans="1:9" x14ac:dyDescent="0.15">
      <c r="A1874" s="9">
        <v>1873</v>
      </c>
      <c r="B1874" s="9" t="s">
        <v>9</v>
      </c>
      <c r="C1874" s="9">
        <v>1915</v>
      </c>
      <c r="D1874" s="10">
        <v>45639</v>
      </c>
      <c r="E1874" s="13" t="str">
        <f>+HYPERLINK("http://trademark.i-assist.jp/data/china/image_1915th/81106787.pdf","81106787")</f>
        <v>81106787</v>
      </c>
      <c r="F1874" s="9" t="s">
        <v>5142</v>
      </c>
      <c r="G1874" s="9" t="s">
        <v>5143</v>
      </c>
      <c r="H1874" s="9" t="s">
        <v>5144</v>
      </c>
      <c r="I1874" s="10">
        <v>45560</v>
      </c>
    </row>
    <row r="1875" spans="1:9" x14ac:dyDescent="0.15">
      <c r="A1875" s="9">
        <v>1874</v>
      </c>
      <c r="B1875" s="9" t="s">
        <v>9</v>
      </c>
      <c r="C1875" s="9">
        <v>1915</v>
      </c>
      <c r="D1875" s="10">
        <v>45639</v>
      </c>
      <c r="E1875" s="13" t="str">
        <f>+HYPERLINK("http://trademark.i-assist.jp/data/china/image_1915th/81106822.pdf","81106822")</f>
        <v>81106822</v>
      </c>
      <c r="F1875" s="9" t="s">
        <v>5145</v>
      </c>
      <c r="G1875" s="12" t="s">
        <v>5068</v>
      </c>
      <c r="H1875" s="9" t="s">
        <v>5146</v>
      </c>
      <c r="I1875" s="10">
        <v>45560</v>
      </c>
    </row>
    <row r="1876" spans="1:9" x14ac:dyDescent="0.15">
      <c r="A1876" s="9">
        <v>1875</v>
      </c>
      <c r="B1876" s="9" t="s">
        <v>9</v>
      </c>
      <c r="C1876" s="9">
        <v>1915</v>
      </c>
      <c r="D1876" s="10">
        <v>45639</v>
      </c>
      <c r="E1876" s="13" t="str">
        <f>+HYPERLINK("http://trademark.i-assist.jp/data/china/image_1915th/81106903.pdf","81106903")</f>
        <v>81106903</v>
      </c>
      <c r="F1876" s="9" t="s">
        <v>5147</v>
      </c>
      <c r="G1876" s="9" t="s">
        <v>5148</v>
      </c>
      <c r="H1876" s="9" t="s">
        <v>5149</v>
      </c>
      <c r="I1876" s="10">
        <v>45560</v>
      </c>
    </row>
    <row r="1877" spans="1:9" x14ac:dyDescent="0.15">
      <c r="A1877" s="9">
        <v>1876</v>
      </c>
      <c r="B1877" s="9" t="s">
        <v>9</v>
      </c>
      <c r="C1877" s="9">
        <v>1915</v>
      </c>
      <c r="D1877" s="10">
        <v>45639</v>
      </c>
      <c r="E1877" s="13" t="str">
        <f>+HYPERLINK("http://trademark.i-assist.jp/data/china/image_1915th/81107278.pdf","81107278")</f>
        <v>81107278</v>
      </c>
      <c r="F1877" s="9" t="s">
        <v>5150</v>
      </c>
      <c r="G1877" s="9" t="s">
        <v>21</v>
      </c>
      <c r="H1877" s="9" t="s">
        <v>5151</v>
      </c>
      <c r="I1877" s="10">
        <v>45560</v>
      </c>
    </row>
    <row r="1878" spans="1:9" x14ac:dyDescent="0.15">
      <c r="A1878" s="9">
        <v>1877</v>
      </c>
      <c r="B1878" s="9" t="s">
        <v>9</v>
      </c>
      <c r="C1878" s="9">
        <v>1915</v>
      </c>
      <c r="D1878" s="10">
        <v>45639</v>
      </c>
      <c r="E1878" s="13" t="str">
        <f>+HYPERLINK("http://trademark.i-assist.jp/data/china/image_1915th/81107543.pdf","81107543")</f>
        <v>81107543</v>
      </c>
      <c r="F1878" s="9" t="s">
        <v>5152</v>
      </c>
      <c r="G1878" s="9" t="s">
        <v>3646</v>
      </c>
      <c r="H1878" s="9" t="s">
        <v>5153</v>
      </c>
      <c r="I1878" s="10">
        <v>45560</v>
      </c>
    </row>
    <row r="1879" spans="1:9" x14ac:dyDescent="0.15">
      <c r="A1879" s="9">
        <v>1878</v>
      </c>
      <c r="B1879" s="9" t="s">
        <v>9</v>
      </c>
      <c r="C1879" s="9">
        <v>1915</v>
      </c>
      <c r="D1879" s="10">
        <v>45639</v>
      </c>
      <c r="E1879" s="13" t="str">
        <f>+HYPERLINK("http://trademark.i-assist.jp/data/china/image_1915th/81107696.pdf","81107696")</f>
        <v>81107696</v>
      </c>
      <c r="F1879" s="9" t="s">
        <v>5154</v>
      </c>
      <c r="G1879" s="9" t="s">
        <v>5155</v>
      </c>
      <c r="H1879" s="9" t="s">
        <v>5156</v>
      </c>
      <c r="I1879" s="10">
        <v>45560</v>
      </c>
    </row>
    <row r="1880" spans="1:9" x14ac:dyDescent="0.15">
      <c r="A1880" s="9">
        <v>1879</v>
      </c>
      <c r="B1880" s="9" t="s">
        <v>9</v>
      </c>
      <c r="C1880" s="9">
        <v>1915</v>
      </c>
      <c r="D1880" s="10">
        <v>45639</v>
      </c>
      <c r="E1880" s="13" t="str">
        <f>+HYPERLINK("http://trademark.i-assist.jp/data/china/image_1915th/81107783.pdf","81107783")</f>
        <v>81107783</v>
      </c>
      <c r="F1880" s="9" t="s">
        <v>5157</v>
      </c>
      <c r="G1880" s="9" t="s">
        <v>5158</v>
      </c>
      <c r="H1880" s="9" t="s">
        <v>5159</v>
      </c>
      <c r="I1880" s="10">
        <v>45560</v>
      </c>
    </row>
    <row r="1881" spans="1:9" x14ac:dyDescent="0.15">
      <c r="A1881" s="9">
        <v>1880</v>
      </c>
      <c r="B1881" s="9" t="s">
        <v>9</v>
      </c>
      <c r="C1881" s="9">
        <v>1915</v>
      </c>
      <c r="D1881" s="10">
        <v>45639</v>
      </c>
      <c r="E1881" s="13" t="str">
        <f>+HYPERLINK("http://trademark.i-assist.jp/data/china/image_1915th/81107880.pdf","81107880")</f>
        <v>81107880</v>
      </c>
      <c r="F1881" s="9" t="s">
        <v>5160</v>
      </c>
      <c r="G1881" s="9" t="s">
        <v>5161</v>
      </c>
      <c r="H1881" s="9" t="s">
        <v>5162</v>
      </c>
      <c r="I1881" s="10">
        <v>45560</v>
      </c>
    </row>
    <row r="1882" spans="1:9" x14ac:dyDescent="0.15">
      <c r="A1882" s="9">
        <v>1881</v>
      </c>
      <c r="B1882" s="9" t="s">
        <v>9</v>
      </c>
      <c r="C1882" s="9">
        <v>1915</v>
      </c>
      <c r="D1882" s="10">
        <v>45639</v>
      </c>
      <c r="E1882" s="13" t="str">
        <f>+HYPERLINK("http://trademark.i-assist.jp/data/china/image_1915th/81107887.pdf","81107887")</f>
        <v>81107887</v>
      </c>
      <c r="F1882" s="12" t="s">
        <v>5163</v>
      </c>
      <c r="G1882" s="9" t="s">
        <v>5164</v>
      </c>
      <c r="H1882" s="12" t="s">
        <v>5165</v>
      </c>
      <c r="I1882" s="10">
        <v>45560</v>
      </c>
    </row>
    <row r="1883" spans="1:9" x14ac:dyDescent="0.15">
      <c r="A1883" s="9">
        <v>1882</v>
      </c>
      <c r="B1883" s="9" t="s">
        <v>9</v>
      </c>
      <c r="C1883" s="9">
        <v>1915</v>
      </c>
      <c r="D1883" s="10">
        <v>45639</v>
      </c>
      <c r="E1883" s="13" t="str">
        <f>+HYPERLINK("http://trademark.i-assist.jp/data/china/image_1915th/81107923.pdf","81107923")</f>
        <v>81107923</v>
      </c>
      <c r="F1883" s="9" t="s">
        <v>5166</v>
      </c>
      <c r="G1883" s="9" t="s">
        <v>5167</v>
      </c>
      <c r="H1883" s="9" t="s">
        <v>5168</v>
      </c>
      <c r="I1883" s="10">
        <v>45560</v>
      </c>
    </row>
    <row r="1884" spans="1:9" x14ac:dyDescent="0.15">
      <c r="A1884" s="9">
        <v>1883</v>
      </c>
      <c r="B1884" s="9" t="s">
        <v>9</v>
      </c>
      <c r="C1884" s="9">
        <v>1915</v>
      </c>
      <c r="D1884" s="10">
        <v>45639</v>
      </c>
      <c r="E1884" s="13" t="str">
        <f>+HYPERLINK("http://trademark.i-assist.jp/data/china/image_1915th/81107962.pdf","81107962")</f>
        <v>81107962</v>
      </c>
      <c r="F1884" s="9" t="s">
        <v>5169</v>
      </c>
      <c r="G1884" s="9" t="s">
        <v>5170</v>
      </c>
      <c r="H1884" s="9" t="s">
        <v>5171</v>
      </c>
      <c r="I1884" s="10">
        <v>45560</v>
      </c>
    </row>
    <row r="1885" spans="1:9" x14ac:dyDescent="0.15">
      <c r="A1885" s="9">
        <v>1884</v>
      </c>
      <c r="B1885" s="9" t="s">
        <v>9</v>
      </c>
      <c r="C1885" s="9">
        <v>1915</v>
      </c>
      <c r="D1885" s="10">
        <v>45639</v>
      </c>
      <c r="E1885" s="13" t="str">
        <f>+HYPERLINK("http://trademark.i-assist.jp/data/china/image_1915th/81108048.pdf","81108048")</f>
        <v>81108048</v>
      </c>
      <c r="F1885" s="9" t="s">
        <v>5172</v>
      </c>
      <c r="G1885" s="9" t="s">
        <v>2654</v>
      </c>
      <c r="H1885" s="9" t="s">
        <v>5173</v>
      </c>
      <c r="I1885" s="10">
        <v>45560</v>
      </c>
    </row>
    <row r="1886" spans="1:9" x14ac:dyDescent="0.15">
      <c r="A1886" s="9">
        <v>1885</v>
      </c>
      <c r="B1886" s="9" t="s">
        <v>9</v>
      </c>
      <c r="C1886" s="9">
        <v>1915</v>
      </c>
      <c r="D1886" s="10">
        <v>45639</v>
      </c>
      <c r="E1886" s="13" t="str">
        <f>+HYPERLINK("http://trademark.i-assist.jp/data/china/image_1915th/81108060.pdf","81108060")</f>
        <v>81108060</v>
      </c>
      <c r="F1886" s="9" t="s">
        <v>5174</v>
      </c>
      <c r="G1886" s="9" t="s">
        <v>5175</v>
      </c>
      <c r="H1886" s="9" t="s">
        <v>5176</v>
      </c>
      <c r="I1886" s="10">
        <v>45560</v>
      </c>
    </row>
    <row r="1887" spans="1:9" x14ac:dyDescent="0.15">
      <c r="A1887" s="9">
        <v>1886</v>
      </c>
      <c r="B1887" s="9" t="s">
        <v>9</v>
      </c>
      <c r="C1887" s="9">
        <v>1915</v>
      </c>
      <c r="D1887" s="10">
        <v>45639</v>
      </c>
      <c r="E1887" s="13" t="str">
        <f>+HYPERLINK("http://trademark.i-assist.jp/data/china/image_1915th/81108083.pdf","81108083")</f>
        <v>81108083</v>
      </c>
      <c r="F1887" s="9" t="s">
        <v>5177</v>
      </c>
      <c r="G1887" s="9" t="s">
        <v>5178</v>
      </c>
      <c r="H1887" s="9" t="s">
        <v>5179</v>
      </c>
      <c r="I1887" s="10">
        <v>45560</v>
      </c>
    </row>
    <row r="1888" spans="1:9" x14ac:dyDescent="0.15">
      <c r="A1888" s="9">
        <v>1887</v>
      </c>
      <c r="B1888" s="9" t="s">
        <v>9</v>
      </c>
      <c r="C1888" s="9">
        <v>1915</v>
      </c>
      <c r="D1888" s="10">
        <v>45639</v>
      </c>
      <c r="E1888" s="13" t="str">
        <f>+HYPERLINK("http://trademark.i-assist.jp/data/china/image_1915th/81108087.pdf","81108087")</f>
        <v>81108087</v>
      </c>
      <c r="F1888" s="12" t="s">
        <v>5180</v>
      </c>
      <c r="G1888" s="9" t="s">
        <v>5181</v>
      </c>
      <c r="H1888" s="9" t="s">
        <v>5182</v>
      </c>
      <c r="I1888" s="10">
        <v>45560</v>
      </c>
    </row>
    <row r="1889" spans="1:9" x14ac:dyDescent="0.15">
      <c r="A1889" s="9">
        <v>1888</v>
      </c>
      <c r="B1889" s="9" t="s">
        <v>9</v>
      </c>
      <c r="C1889" s="9">
        <v>1915</v>
      </c>
      <c r="D1889" s="10">
        <v>45639</v>
      </c>
      <c r="E1889" s="13" t="str">
        <f>+HYPERLINK("http://trademark.i-assist.jp/data/china/image_1915th/81108387.pdf","81108387")</f>
        <v>81108387</v>
      </c>
      <c r="F1889" s="9" t="s">
        <v>5183</v>
      </c>
      <c r="G1889" s="12" t="s">
        <v>5184</v>
      </c>
      <c r="H1889" s="9" t="s">
        <v>5185</v>
      </c>
      <c r="I1889" s="10">
        <v>45560</v>
      </c>
    </row>
    <row r="1890" spans="1:9" x14ac:dyDescent="0.15">
      <c r="A1890" s="9">
        <v>1889</v>
      </c>
      <c r="B1890" s="9" t="s">
        <v>9</v>
      </c>
      <c r="C1890" s="9">
        <v>1915</v>
      </c>
      <c r="D1890" s="10">
        <v>45639</v>
      </c>
      <c r="E1890" s="13" t="str">
        <f>+HYPERLINK("http://trademark.i-assist.jp/data/china/image_1915th/81108693.pdf","81108693")</f>
        <v>81108693</v>
      </c>
      <c r="F1890" s="9" t="s">
        <v>5186</v>
      </c>
      <c r="G1890" s="9" t="s">
        <v>5187</v>
      </c>
      <c r="H1890" s="12" t="s">
        <v>5188</v>
      </c>
      <c r="I1890" s="10">
        <v>45560</v>
      </c>
    </row>
    <row r="1891" spans="1:9" x14ac:dyDescent="0.15">
      <c r="A1891" s="9">
        <v>1890</v>
      </c>
      <c r="B1891" s="9" t="s">
        <v>9</v>
      </c>
      <c r="C1891" s="9">
        <v>1915</v>
      </c>
      <c r="D1891" s="10">
        <v>45639</v>
      </c>
      <c r="E1891" s="13" t="str">
        <f>+HYPERLINK("http://trademark.i-assist.jp/data/china/image_1915th/81108984.pdf","81108984")</f>
        <v>81108984</v>
      </c>
      <c r="F1891" s="12" t="s">
        <v>5189</v>
      </c>
      <c r="G1891" s="9" t="s">
        <v>5190</v>
      </c>
      <c r="H1891" s="9" t="s">
        <v>5191</v>
      </c>
      <c r="I1891" s="10">
        <v>45560</v>
      </c>
    </row>
    <row r="1892" spans="1:9" x14ac:dyDescent="0.15">
      <c r="A1892" s="9">
        <v>1891</v>
      </c>
      <c r="B1892" s="9" t="s">
        <v>9</v>
      </c>
      <c r="C1892" s="9">
        <v>1915</v>
      </c>
      <c r="D1892" s="10">
        <v>45639</v>
      </c>
      <c r="E1892" s="13" t="str">
        <f>+HYPERLINK("http://trademark.i-assist.jp/data/china/image_1915th/81109143.pdf","81109143")</f>
        <v>81109143</v>
      </c>
      <c r="F1892" s="9" t="s">
        <v>5192</v>
      </c>
      <c r="G1892" s="9" t="s">
        <v>5193</v>
      </c>
      <c r="H1892" s="9" t="s">
        <v>5194</v>
      </c>
      <c r="I1892" s="10">
        <v>45560</v>
      </c>
    </row>
    <row r="1893" spans="1:9" x14ac:dyDescent="0.15">
      <c r="A1893" s="9">
        <v>1892</v>
      </c>
      <c r="B1893" s="9" t="s">
        <v>9</v>
      </c>
      <c r="C1893" s="9">
        <v>1915</v>
      </c>
      <c r="D1893" s="10">
        <v>45639</v>
      </c>
      <c r="E1893" s="13" t="str">
        <f>+HYPERLINK("http://trademark.i-assist.jp/data/china/image_1915th/81109218.pdf","81109218")</f>
        <v>81109218</v>
      </c>
      <c r="F1893" s="9" t="s">
        <v>5195</v>
      </c>
      <c r="G1893" s="12" t="s">
        <v>5196</v>
      </c>
      <c r="H1893" s="12" t="s">
        <v>5197</v>
      </c>
      <c r="I1893" s="10">
        <v>45560</v>
      </c>
    </row>
    <row r="1894" spans="1:9" x14ac:dyDescent="0.15">
      <c r="A1894" s="9">
        <v>1893</v>
      </c>
      <c r="B1894" s="9" t="s">
        <v>9</v>
      </c>
      <c r="C1894" s="9">
        <v>1915</v>
      </c>
      <c r="D1894" s="10">
        <v>45639</v>
      </c>
      <c r="E1894" s="13" t="str">
        <f>+HYPERLINK("http://trademark.i-assist.jp/data/china/image_1915th/81109365.pdf","81109365")</f>
        <v>81109365</v>
      </c>
      <c r="F1894" s="12" t="s">
        <v>5198</v>
      </c>
      <c r="G1894" s="9" t="s">
        <v>5105</v>
      </c>
      <c r="H1894" s="9" t="s">
        <v>5199</v>
      </c>
      <c r="I1894" s="10">
        <v>45560</v>
      </c>
    </row>
    <row r="1895" spans="1:9" x14ac:dyDescent="0.15">
      <c r="A1895" s="9">
        <v>1894</v>
      </c>
      <c r="B1895" s="9" t="s">
        <v>9</v>
      </c>
      <c r="C1895" s="9">
        <v>1915</v>
      </c>
      <c r="D1895" s="10">
        <v>45639</v>
      </c>
      <c r="E1895" s="13" t="str">
        <f>+HYPERLINK("http://trademark.i-assist.jp/data/china/image_1915th/81109475.pdf","81109475")</f>
        <v>81109475</v>
      </c>
      <c r="F1895" s="9" t="s">
        <v>5200</v>
      </c>
      <c r="G1895" s="9" t="s">
        <v>5201</v>
      </c>
      <c r="H1895" s="9" t="s">
        <v>5202</v>
      </c>
      <c r="I1895" s="10">
        <v>45560</v>
      </c>
    </row>
    <row r="1896" spans="1:9" x14ac:dyDescent="0.15">
      <c r="A1896" s="9">
        <v>1895</v>
      </c>
      <c r="B1896" s="9" t="s">
        <v>9</v>
      </c>
      <c r="C1896" s="9">
        <v>1915</v>
      </c>
      <c r="D1896" s="10">
        <v>45639</v>
      </c>
      <c r="E1896" s="13" t="str">
        <f>+HYPERLINK("http://trademark.i-assist.jp/data/china/image_1915th/81109796.pdf","81109796")</f>
        <v>81109796</v>
      </c>
      <c r="F1896" s="9" t="s">
        <v>5203</v>
      </c>
      <c r="G1896" s="12" t="s">
        <v>3593</v>
      </c>
      <c r="H1896" s="9" t="s">
        <v>5204</v>
      </c>
      <c r="I1896" s="10">
        <v>45560</v>
      </c>
    </row>
    <row r="1897" spans="1:9" x14ac:dyDescent="0.15">
      <c r="A1897" s="9">
        <v>1896</v>
      </c>
      <c r="B1897" s="9" t="s">
        <v>9</v>
      </c>
      <c r="C1897" s="9">
        <v>1915</v>
      </c>
      <c r="D1897" s="10">
        <v>45639</v>
      </c>
      <c r="E1897" s="13" t="str">
        <f>+HYPERLINK("http://trademark.i-assist.jp/data/china/image_1915th/81110080.pdf","81110080")</f>
        <v>81110080</v>
      </c>
      <c r="F1897" s="9" t="s">
        <v>5205</v>
      </c>
      <c r="G1897" s="12" t="s">
        <v>5206</v>
      </c>
      <c r="H1897" s="9" t="s">
        <v>5207</v>
      </c>
      <c r="I1897" s="10">
        <v>45560</v>
      </c>
    </row>
    <row r="1898" spans="1:9" x14ac:dyDescent="0.15">
      <c r="A1898" s="9">
        <v>1897</v>
      </c>
      <c r="B1898" s="9" t="s">
        <v>9</v>
      </c>
      <c r="C1898" s="9">
        <v>1915</v>
      </c>
      <c r="D1898" s="10">
        <v>45639</v>
      </c>
      <c r="E1898" s="13" t="str">
        <f>+HYPERLINK("http://trademark.i-assist.jp/data/china/image_1915th/81110081.pdf","81110081")</f>
        <v>81110081</v>
      </c>
      <c r="F1898" s="9" t="s">
        <v>5208</v>
      </c>
      <c r="G1898" s="12" t="s">
        <v>5209</v>
      </c>
      <c r="H1898" s="9" t="s">
        <v>5210</v>
      </c>
      <c r="I1898" s="10">
        <v>45560</v>
      </c>
    </row>
    <row r="1899" spans="1:9" x14ac:dyDescent="0.15">
      <c r="A1899" s="9">
        <v>1898</v>
      </c>
      <c r="B1899" s="9" t="s">
        <v>9</v>
      </c>
      <c r="C1899" s="9">
        <v>1915</v>
      </c>
      <c r="D1899" s="10">
        <v>45639</v>
      </c>
      <c r="E1899" s="13" t="str">
        <f>+HYPERLINK("http://trademark.i-assist.jp/data/china/image_1915th/81110326.pdf","81110326")</f>
        <v>81110326</v>
      </c>
      <c r="F1899" s="9" t="s">
        <v>5211</v>
      </c>
      <c r="G1899" s="9" t="s">
        <v>5212</v>
      </c>
      <c r="H1899" s="9" t="s">
        <v>5213</v>
      </c>
      <c r="I1899" s="10">
        <v>45560</v>
      </c>
    </row>
    <row r="1900" spans="1:9" x14ac:dyDescent="0.15">
      <c r="A1900" s="9">
        <v>1899</v>
      </c>
      <c r="B1900" s="9" t="s">
        <v>9</v>
      </c>
      <c r="C1900" s="9">
        <v>1915</v>
      </c>
      <c r="D1900" s="10">
        <v>45639</v>
      </c>
      <c r="E1900" s="13" t="str">
        <f>+HYPERLINK("http://trademark.i-assist.jp/data/china/image_1915th/81110405.pdf","81110405")</f>
        <v>81110405</v>
      </c>
      <c r="F1900" s="12" t="s">
        <v>5214</v>
      </c>
      <c r="G1900" s="9" t="s">
        <v>5164</v>
      </c>
      <c r="H1900" s="9" t="s">
        <v>5215</v>
      </c>
      <c r="I1900" s="10">
        <v>45560</v>
      </c>
    </row>
    <row r="1901" spans="1:9" x14ac:dyDescent="0.15">
      <c r="A1901" s="9">
        <v>1900</v>
      </c>
      <c r="B1901" s="9" t="s">
        <v>9</v>
      </c>
      <c r="C1901" s="9">
        <v>1915</v>
      </c>
      <c r="D1901" s="10">
        <v>45639</v>
      </c>
      <c r="E1901" s="13" t="str">
        <f>+HYPERLINK("http://trademark.i-assist.jp/data/china/image_1915th/81110441.pdf","81110441")</f>
        <v>81110441</v>
      </c>
      <c r="F1901" s="9" t="s">
        <v>5216</v>
      </c>
      <c r="G1901" s="9" t="s">
        <v>5217</v>
      </c>
      <c r="H1901" s="12" t="s">
        <v>5218</v>
      </c>
      <c r="I1901" s="10">
        <v>45560</v>
      </c>
    </row>
    <row r="1902" spans="1:9" x14ac:dyDescent="0.15">
      <c r="A1902" s="9">
        <v>1901</v>
      </c>
      <c r="B1902" s="9" t="s">
        <v>9</v>
      </c>
      <c r="C1902" s="9">
        <v>1915</v>
      </c>
      <c r="D1902" s="10">
        <v>45639</v>
      </c>
      <c r="E1902" s="13" t="str">
        <f>+HYPERLINK("http://trademark.i-assist.jp/data/china/image_1915th/81110564.pdf","81110564")</f>
        <v>81110564</v>
      </c>
      <c r="F1902" s="12" t="s">
        <v>5219</v>
      </c>
      <c r="G1902" s="9" t="s">
        <v>5034</v>
      </c>
      <c r="H1902" s="12" t="s">
        <v>5220</v>
      </c>
      <c r="I1902" s="10">
        <v>45560</v>
      </c>
    </row>
    <row r="1903" spans="1:9" x14ac:dyDescent="0.15">
      <c r="A1903" s="9">
        <v>1902</v>
      </c>
      <c r="B1903" s="9" t="s">
        <v>9</v>
      </c>
      <c r="C1903" s="9">
        <v>1915</v>
      </c>
      <c r="D1903" s="10">
        <v>45639</v>
      </c>
      <c r="E1903" s="13" t="str">
        <f>+HYPERLINK("http://trademark.i-assist.jp/data/china/image_1915th/81110698.pdf","81110698")</f>
        <v>81110698</v>
      </c>
      <c r="F1903" s="12" t="s">
        <v>5221</v>
      </c>
      <c r="G1903" s="9" t="s">
        <v>5222</v>
      </c>
      <c r="H1903" s="9" t="s">
        <v>5223</v>
      </c>
      <c r="I1903" s="10">
        <v>45560</v>
      </c>
    </row>
    <row r="1904" spans="1:9" x14ac:dyDescent="0.15">
      <c r="A1904" s="9">
        <v>1903</v>
      </c>
      <c r="B1904" s="9" t="s">
        <v>9</v>
      </c>
      <c r="C1904" s="9">
        <v>1915</v>
      </c>
      <c r="D1904" s="10">
        <v>45639</v>
      </c>
      <c r="E1904" s="13" t="str">
        <f>+HYPERLINK("http://trademark.i-assist.jp/data/china/image_1915th/81110847.pdf","81110847")</f>
        <v>81110847</v>
      </c>
      <c r="F1904" s="9" t="s">
        <v>5224</v>
      </c>
      <c r="G1904" s="9" t="s">
        <v>5225</v>
      </c>
      <c r="H1904" s="12" t="s">
        <v>5226</v>
      </c>
      <c r="I1904" s="10">
        <v>45560</v>
      </c>
    </row>
    <row r="1905" spans="1:9" x14ac:dyDescent="0.15">
      <c r="A1905" s="9">
        <v>1904</v>
      </c>
      <c r="B1905" s="9" t="s">
        <v>9</v>
      </c>
      <c r="C1905" s="9">
        <v>1915</v>
      </c>
      <c r="D1905" s="10">
        <v>45639</v>
      </c>
      <c r="E1905" s="13" t="str">
        <f>+HYPERLINK("http://trademark.i-assist.jp/data/china/image_1915th/81111060.pdf","81111060")</f>
        <v>81111060</v>
      </c>
      <c r="F1905" s="9" t="s">
        <v>4956</v>
      </c>
      <c r="G1905" s="9" t="s">
        <v>4957</v>
      </c>
      <c r="H1905" s="9" t="s">
        <v>5227</v>
      </c>
      <c r="I1905" s="10">
        <v>45560</v>
      </c>
    </row>
    <row r="1906" spans="1:9" x14ac:dyDescent="0.15">
      <c r="A1906" s="9">
        <v>1905</v>
      </c>
      <c r="B1906" s="9" t="s">
        <v>9</v>
      </c>
      <c r="C1906" s="9">
        <v>1915</v>
      </c>
      <c r="D1906" s="10">
        <v>45639</v>
      </c>
      <c r="E1906" s="13" t="str">
        <f>+HYPERLINK("http://trademark.i-assist.jp/data/china/image_1915th/81111073.pdf","81111073")</f>
        <v>81111073</v>
      </c>
      <c r="F1906" s="9" t="s">
        <v>5228</v>
      </c>
      <c r="G1906" s="9" t="s">
        <v>5229</v>
      </c>
      <c r="H1906" s="12" t="s">
        <v>5230</v>
      </c>
      <c r="I1906" s="10">
        <v>45560</v>
      </c>
    </row>
    <row r="1907" spans="1:9" x14ac:dyDescent="0.15">
      <c r="A1907" s="9">
        <v>1906</v>
      </c>
      <c r="B1907" s="9" t="s">
        <v>9</v>
      </c>
      <c r="C1907" s="9">
        <v>1915</v>
      </c>
      <c r="D1907" s="10">
        <v>45639</v>
      </c>
      <c r="E1907" s="13" t="str">
        <f>+HYPERLINK("http://trademark.i-assist.jp/data/china/image_1915th/81111087.pdf","81111087")</f>
        <v>81111087</v>
      </c>
      <c r="F1907" s="9" t="s">
        <v>5231</v>
      </c>
      <c r="G1907" s="9" t="s">
        <v>5232</v>
      </c>
      <c r="H1907" s="9" t="s">
        <v>5233</v>
      </c>
      <c r="I1907" s="10">
        <v>45560</v>
      </c>
    </row>
    <row r="1908" spans="1:9" x14ac:dyDescent="0.15">
      <c r="A1908" s="9">
        <v>1907</v>
      </c>
      <c r="B1908" s="9" t="s">
        <v>9</v>
      </c>
      <c r="C1908" s="9">
        <v>1915</v>
      </c>
      <c r="D1908" s="10">
        <v>45639</v>
      </c>
      <c r="E1908" s="13" t="str">
        <f>+HYPERLINK("http://trademark.i-assist.jp/data/china/image_1915th/81111147.pdf","81111147")</f>
        <v>81111147</v>
      </c>
      <c r="F1908" s="9" t="s">
        <v>5234</v>
      </c>
      <c r="G1908" s="12" t="s">
        <v>3710</v>
      </c>
      <c r="H1908" s="9" t="s">
        <v>5235</v>
      </c>
      <c r="I1908" s="10">
        <v>45560</v>
      </c>
    </row>
    <row r="1909" spans="1:9" x14ac:dyDescent="0.15">
      <c r="A1909" s="9">
        <v>1908</v>
      </c>
      <c r="B1909" s="9" t="s">
        <v>9</v>
      </c>
      <c r="C1909" s="9">
        <v>1915</v>
      </c>
      <c r="D1909" s="10">
        <v>45639</v>
      </c>
      <c r="E1909" s="13" t="str">
        <f>+HYPERLINK("http://trademark.i-assist.jp/data/china/image_1915th/81111242.pdf","81111242")</f>
        <v>81111242</v>
      </c>
      <c r="F1909" s="12" t="s">
        <v>5236</v>
      </c>
      <c r="G1909" s="9" t="s">
        <v>5237</v>
      </c>
      <c r="H1909" s="9" t="s">
        <v>5238</v>
      </c>
      <c r="I1909" s="10">
        <v>45560</v>
      </c>
    </row>
    <row r="1910" spans="1:9" x14ac:dyDescent="0.15">
      <c r="A1910" s="9">
        <v>1909</v>
      </c>
      <c r="B1910" s="9" t="s">
        <v>9</v>
      </c>
      <c r="C1910" s="9">
        <v>1915</v>
      </c>
      <c r="D1910" s="10">
        <v>45639</v>
      </c>
      <c r="E1910" s="13" t="str">
        <f>+HYPERLINK("http://trademark.i-assist.jp/data/china/image_1915th/81111266.pdf","81111266")</f>
        <v>81111266</v>
      </c>
      <c r="F1910" s="9" t="s">
        <v>5239</v>
      </c>
      <c r="G1910" s="9" t="s">
        <v>5240</v>
      </c>
      <c r="H1910" s="9" t="s">
        <v>5241</v>
      </c>
      <c r="I1910" s="10">
        <v>45560</v>
      </c>
    </row>
    <row r="1911" spans="1:9" x14ac:dyDescent="0.15">
      <c r="A1911" s="9">
        <v>1910</v>
      </c>
      <c r="B1911" s="9" t="s">
        <v>9</v>
      </c>
      <c r="C1911" s="9">
        <v>1915</v>
      </c>
      <c r="D1911" s="10">
        <v>45639</v>
      </c>
      <c r="E1911" s="13" t="str">
        <f>+HYPERLINK("http://trademark.i-assist.jp/data/china/image_1915th/81111272.pdf","81111272")</f>
        <v>81111272</v>
      </c>
      <c r="F1911" s="9" t="s">
        <v>5242</v>
      </c>
      <c r="G1911" s="9" t="s">
        <v>5243</v>
      </c>
      <c r="H1911" s="9" t="s">
        <v>5244</v>
      </c>
      <c r="I1911" s="10">
        <v>45560</v>
      </c>
    </row>
    <row r="1912" spans="1:9" x14ac:dyDescent="0.15">
      <c r="A1912" s="9">
        <v>1911</v>
      </c>
      <c r="B1912" s="9" t="s">
        <v>9</v>
      </c>
      <c r="C1912" s="9">
        <v>1915</v>
      </c>
      <c r="D1912" s="10">
        <v>45639</v>
      </c>
      <c r="E1912" s="13" t="str">
        <f>+HYPERLINK("http://trademark.i-assist.jp/data/china/image_1915th/81111547.pdf","81111547")</f>
        <v>81111547</v>
      </c>
      <c r="F1912" s="9" t="s">
        <v>5245</v>
      </c>
      <c r="G1912" s="9" t="s">
        <v>5246</v>
      </c>
      <c r="H1912" s="9" t="s">
        <v>5247</v>
      </c>
      <c r="I1912" s="10">
        <v>45560</v>
      </c>
    </row>
    <row r="1913" spans="1:9" x14ac:dyDescent="0.15">
      <c r="A1913" s="9">
        <v>1912</v>
      </c>
      <c r="B1913" s="9" t="s">
        <v>9</v>
      </c>
      <c r="C1913" s="9">
        <v>1915</v>
      </c>
      <c r="D1913" s="10">
        <v>45639</v>
      </c>
      <c r="E1913" s="13" t="str">
        <f>+HYPERLINK("http://trademark.i-assist.jp/data/china/image_1915th/81111550.pdf","81111550")</f>
        <v>81111550</v>
      </c>
      <c r="F1913" s="12" t="s">
        <v>15</v>
      </c>
      <c r="G1913" s="9" t="s">
        <v>5248</v>
      </c>
      <c r="H1913" s="9" t="s">
        <v>5249</v>
      </c>
      <c r="I1913" s="10">
        <v>45560</v>
      </c>
    </row>
    <row r="1914" spans="1:9" x14ac:dyDescent="0.15">
      <c r="A1914" s="9">
        <v>1913</v>
      </c>
      <c r="B1914" s="9" t="s">
        <v>9</v>
      </c>
      <c r="C1914" s="9">
        <v>1915</v>
      </c>
      <c r="D1914" s="10">
        <v>45639</v>
      </c>
      <c r="E1914" s="13" t="str">
        <f>+HYPERLINK("http://trademark.i-assist.jp/data/china/image_1915th/81111648.pdf","81111648")</f>
        <v>81111648</v>
      </c>
      <c r="F1914" s="9" t="s">
        <v>5250</v>
      </c>
      <c r="G1914" s="9" t="s">
        <v>5251</v>
      </c>
      <c r="H1914" s="9" t="s">
        <v>5252</v>
      </c>
      <c r="I1914" s="10">
        <v>45560</v>
      </c>
    </row>
    <row r="1915" spans="1:9" x14ac:dyDescent="0.15">
      <c r="A1915" s="9">
        <v>1914</v>
      </c>
      <c r="B1915" s="9" t="s">
        <v>9</v>
      </c>
      <c r="C1915" s="9">
        <v>1915</v>
      </c>
      <c r="D1915" s="10">
        <v>45639</v>
      </c>
      <c r="E1915" s="13" t="str">
        <f>+HYPERLINK("http://trademark.i-assist.jp/data/china/image_1915th/81111747.pdf","81111747")</f>
        <v>81111747</v>
      </c>
      <c r="F1915" s="9" t="s">
        <v>5253</v>
      </c>
      <c r="G1915" s="9" t="s">
        <v>5105</v>
      </c>
      <c r="H1915" s="9" t="s">
        <v>5254</v>
      </c>
      <c r="I1915" s="10">
        <v>45560</v>
      </c>
    </row>
    <row r="1916" spans="1:9" x14ac:dyDescent="0.15">
      <c r="A1916" s="9">
        <v>1915</v>
      </c>
      <c r="B1916" s="9" t="s">
        <v>9</v>
      </c>
      <c r="C1916" s="9">
        <v>1915</v>
      </c>
      <c r="D1916" s="10">
        <v>45639</v>
      </c>
      <c r="E1916" s="13" t="str">
        <f>+HYPERLINK("http://trademark.i-assist.jp/data/china/image_1915th/81111768.pdf","81111768")</f>
        <v>81111768</v>
      </c>
      <c r="F1916" s="9" t="s">
        <v>5255</v>
      </c>
      <c r="G1916" s="9" t="s">
        <v>5105</v>
      </c>
      <c r="H1916" s="9" t="s">
        <v>5256</v>
      </c>
      <c r="I1916" s="10">
        <v>45560</v>
      </c>
    </row>
    <row r="1917" spans="1:9" x14ac:dyDescent="0.15">
      <c r="A1917" s="9">
        <v>1916</v>
      </c>
      <c r="B1917" s="9" t="s">
        <v>9</v>
      </c>
      <c r="C1917" s="9">
        <v>1915</v>
      </c>
      <c r="D1917" s="10">
        <v>45639</v>
      </c>
      <c r="E1917" s="13" t="str">
        <f>+HYPERLINK("http://trademark.i-assist.jp/data/china/image_1915th/81112002.pdf","81112002")</f>
        <v>81112002</v>
      </c>
      <c r="F1917" s="9" t="s">
        <v>5257</v>
      </c>
      <c r="G1917" s="9" t="s">
        <v>5105</v>
      </c>
      <c r="H1917" s="9" t="s">
        <v>5258</v>
      </c>
      <c r="I1917" s="10">
        <v>45560</v>
      </c>
    </row>
    <row r="1918" spans="1:9" x14ac:dyDescent="0.15">
      <c r="A1918" s="9">
        <v>1917</v>
      </c>
      <c r="B1918" s="9" t="s">
        <v>9</v>
      </c>
      <c r="C1918" s="9">
        <v>1915</v>
      </c>
      <c r="D1918" s="10">
        <v>45639</v>
      </c>
      <c r="E1918" s="13" t="str">
        <f>+HYPERLINK("http://trademark.i-assist.jp/data/china/image_1915th/81112033.pdf","81112033")</f>
        <v>81112033</v>
      </c>
      <c r="F1918" s="12" t="s">
        <v>5259</v>
      </c>
      <c r="G1918" s="9" t="s">
        <v>3491</v>
      </c>
      <c r="H1918" s="9" t="s">
        <v>5260</v>
      </c>
      <c r="I1918" s="10">
        <v>45560</v>
      </c>
    </row>
    <row r="1919" spans="1:9" x14ac:dyDescent="0.15">
      <c r="A1919" s="9">
        <v>1918</v>
      </c>
      <c r="B1919" s="9" t="s">
        <v>9</v>
      </c>
      <c r="C1919" s="9">
        <v>1915</v>
      </c>
      <c r="D1919" s="10">
        <v>45639</v>
      </c>
      <c r="E1919" s="13" t="str">
        <f>+HYPERLINK("http://trademark.i-assist.jp/data/china/image_1915th/81112206.pdf","81112206")</f>
        <v>81112206</v>
      </c>
      <c r="F1919" s="12" t="s">
        <v>5261</v>
      </c>
      <c r="G1919" s="12" t="s">
        <v>5262</v>
      </c>
      <c r="H1919" s="9" t="s">
        <v>5263</v>
      </c>
      <c r="I1919" s="10">
        <v>45560</v>
      </c>
    </row>
    <row r="1920" spans="1:9" x14ac:dyDescent="0.15">
      <c r="A1920" s="9">
        <v>1919</v>
      </c>
      <c r="B1920" s="9" t="s">
        <v>9</v>
      </c>
      <c r="C1920" s="9">
        <v>1915</v>
      </c>
      <c r="D1920" s="10">
        <v>45639</v>
      </c>
      <c r="E1920" s="13" t="str">
        <f>+HYPERLINK("http://trademark.i-assist.jp/data/china/image_1915th/81112460.pdf","81112460")</f>
        <v>81112460</v>
      </c>
      <c r="F1920" s="9" t="s">
        <v>5264</v>
      </c>
      <c r="G1920" s="12" t="s">
        <v>5068</v>
      </c>
      <c r="H1920" s="9" t="s">
        <v>5265</v>
      </c>
      <c r="I1920" s="10">
        <v>45560</v>
      </c>
    </row>
    <row r="1921" spans="1:9" x14ac:dyDescent="0.15">
      <c r="A1921" s="9">
        <v>1920</v>
      </c>
      <c r="B1921" s="9" t="s">
        <v>9</v>
      </c>
      <c r="C1921" s="9">
        <v>1915</v>
      </c>
      <c r="D1921" s="10">
        <v>45639</v>
      </c>
      <c r="E1921" s="13" t="str">
        <f>+HYPERLINK("http://trademark.i-assist.jp/data/china/image_1915th/81112504.pdf","81112504")</f>
        <v>81112504</v>
      </c>
      <c r="F1921" s="9" t="s">
        <v>5266</v>
      </c>
      <c r="G1921" s="12" t="s">
        <v>3710</v>
      </c>
      <c r="H1921" s="9" t="s">
        <v>5267</v>
      </c>
      <c r="I1921" s="10">
        <v>45560</v>
      </c>
    </row>
    <row r="1922" spans="1:9" x14ac:dyDescent="0.15">
      <c r="A1922" s="9">
        <v>1921</v>
      </c>
      <c r="B1922" s="9" t="s">
        <v>9</v>
      </c>
      <c r="C1922" s="9">
        <v>1915</v>
      </c>
      <c r="D1922" s="10">
        <v>45639</v>
      </c>
      <c r="E1922" s="13" t="str">
        <f>+HYPERLINK("http://trademark.i-assist.jp/data/china/image_1915th/81112826.pdf","81112826")</f>
        <v>81112826</v>
      </c>
      <c r="F1922" s="9" t="s">
        <v>5268</v>
      </c>
      <c r="G1922" s="9" t="s">
        <v>5005</v>
      </c>
      <c r="H1922" s="9" t="s">
        <v>5269</v>
      </c>
      <c r="I1922" s="10">
        <v>45560</v>
      </c>
    </row>
    <row r="1923" spans="1:9" x14ac:dyDescent="0.15">
      <c r="A1923" s="9">
        <v>1922</v>
      </c>
      <c r="B1923" s="9" t="s">
        <v>9</v>
      </c>
      <c r="C1923" s="9">
        <v>1915</v>
      </c>
      <c r="D1923" s="10">
        <v>45639</v>
      </c>
      <c r="E1923" s="13" t="str">
        <f>+HYPERLINK("http://trademark.i-assist.jp/data/china/image_1915th/81113027.pdf","81113027")</f>
        <v>81113027</v>
      </c>
      <c r="F1923" s="9" t="s">
        <v>5270</v>
      </c>
      <c r="G1923" s="9" t="s">
        <v>5271</v>
      </c>
      <c r="H1923" s="9" t="s">
        <v>5272</v>
      </c>
      <c r="I1923" s="10">
        <v>45560</v>
      </c>
    </row>
    <row r="1924" spans="1:9" x14ac:dyDescent="0.15">
      <c r="A1924" s="9">
        <v>1923</v>
      </c>
      <c r="B1924" s="9" t="s">
        <v>9</v>
      </c>
      <c r="C1924" s="9">
        <v>1915</v>
      </c>
      <c r="D1924" s="10">
        <v>45639</v>
      </c>
      <c r="E1924" s="13" t="str">
        <f>+HYPERLINK("http://trademark.i-assist.jp/data/china/image_1915th/81113179.pdf","81113179")</f>
        <v>81113179</v>
      </c>
      <c r="F1924" s="9" t="s">
        <v>5273</v>
      </c>
      <c r="G1924" s="9" t="s">
        <v>5274</v>
      </c>
      <c r="H1924" s="9" t="s">
        <v>5275</v>
      </c>
      <c r="I1924" s="10">
        <v>45560</v>
      </c>
    </row>
    <row r="1925" spans="1:9" x14ac:dyDescent="0.15">
      <c r="A1925" s="9">
        <v>1924</v>
      </c>
      <c r="B1925" s="9" t="s">
        <v>9</v>
      </c>
      <c r="C1925" s="9">
        <v>1915</v>
      </c>
      <c r="D1925" s="10">
        <v>45639</v>
      </c>
      <c r="E1925" s="13" t="str">
        <f>+HYPERLINK("http://trademark.i-assist.jp/data/china/image_1915th/81113666.pdf","81113666")</f>
        <v>81113666</v>
      </c>
      <c r="F1925" s="9" t="s">
        <v>5276</v>
      </c>
      <c r="G1925" s="12" t="s">
        <v>5277</v>
      </c>
      <c r="H1925" s="9" t="s">
        <v>5278</v>
      </c>
      <c r="I1925" s="10">
        <v>45560</v>
      </c>
    </row>
    <row r="1926" spans="1:9" x14ac:dyDescent="0.15">
      <c r="A1926" s="9">
        <v>1925</v>
      </c>
      <c r="B1926" s="9" t="s">
        <v>9</v>
      </c>
      <c r="C1926" s="9">
        <v>1915</v>
      </c>
      <c r="D1926" s="10">
        <v>45639</v>
      </c>
      <c r="E1926" s="13" t="str">
        <f>+HYPERLINK("http://trademark.i-assist.jp/data/china/image_1915th/81113744.pdf","81113744")</f>
        <v>81113744</v>
      </c>
      <c r="F1926" s="9" t="s">
        <v>5279</v>
      </c>
      <c r="G1926" s="12" t="s">
        <v>5280</v>
      </c>
      <c r="H1926" s="12" t="s">
        <v>5281</v>
      </c>
      <c r="I1926" s="10">
        <v>45560</v>
      </c>
    </row>
    <row r="1927" spans="1:9" x14ac:dyDescent="0.15">
      <c r="A1927" s="9">
        <v>1926</v>
      </c>
      <c r="B1927" s="9" t="s">
        <v>9</v>
      </c>
      <c r="C1927" s="9">
        <v>1915</v>
      </c>
      <c r="D1927" s="10">
        <v>45639</v>
      </c>
      <c r="E1927" s="13" t="str">
        <f>+HYPERLINK("http://trademark.i-assist.jp/data/china/image_1915th/81113783.pdf","81113783")</f>
        <v>81113783</v>
      </c>
      <c r="F1927" s="9" t="s">
        <v>5282</v>
      </c>
      <c r="G1927" s="9" t="s">
        <v>20</v>
      </c>
      <c r="H1927" s="9" t="s">
        <v>5283</v>
      </c>
      <c r="I1927" s="10">
        <v>45560</v>
      </c>
    </row>
    <row r="1928" spans="1:9" x14ac:dyDescent="0.15">
      <c r="A1928" s="9">
        <v>1927</v>
      </c>
      <c r="B1928" s="9" t="s">
        <v>9</v>
      </c>
      <c r="C1928" s="9">
        <v>1915</v>
      </c>
      <c r="D1928" s="10">
        <v>45639</v>
      </c>
      <c r="E1928" s="13" t="str">
        <f>+HYPERLINK("http://trademark.i-assist.jp/data/china/image_1915th/81113805.pdf","81113805")</f>
        <v>81113805</v>
      </c>
      <c r="F1928" s="9" t="s">
        <v>5284</v>
      </c>
      <c r="G1928" s="9" t="s">
        <v>2241</v>
      </c>
      <c r="H1928" s="12" t="s">
        <v>5285</v>
      </c>
      <c r="I1928" s="10">
        <v>45560</v>
      </c>
    </row>
    <row r="1929" spans="1:9" x14ac:dyDescent="0.15">
      <c r="A1929" s="9">
        <v>1928</v>
      </c>
      <c r="B1929" s="9" t="s">
        <v>9</v>
      </c>
      <c r="C1929" s="9">
        <v>1915</v>
      </c>
      <c r="D1929" s="10">
        <v>45639</v>
      </c>
      <c r="E1929" s="13" t="str">
        <f>+HYPERLINK("http://trademark.i-assist.jp/data/china/image_1915th/81113958.pdf","81113958")</f>
        <v>81113958</v>
      </c>
      <c r="F1929" s="9" t="s">
        <v>5286</v>
      </c>
      <c r="G1929" s="9" t="s">
        <v>21</v>
      </c>
      <c r="H1929" s="9" t="s">
        <v>5287</v>
      </c>
      <c r="I1929" s="10">
        <v>45560</v>
      </c>
    </row>
    <row r="1930" spans="1:9" x14ac:dyDescent="0.15">
      <c r="A1930" s="9">
        <v>1929</v>
      </c>
      <c r="B1930" s="9" t="s">
        <v>9</v>
      </c>
      <c r="C1930" s="9">
        <v>1915</v>
      </c>
      <c r="D1930" s="10">
        <v>45639</v>
      </c>
      <c r="E1930" s="13" t="str">
        <f>+HYPERLINK("http://trademark.i-assist.jp/data/china/image_1915th/81114007.pdf","81114007")</f>
        <v>81114007</v>
      </c>
      <c r="F1930" s="12" t="s">
        <v>15</v>
      </c>
      <c r="G1930" s="9" t="s">
        <v>5288</v>
      </c>
      <c r="H1930" s="9" t="s">
        <v>5289</v>
      </c>
      <c r="I1930" s="10">
        <v>45560</v>
      </c>
    </row>
    <row r="1931" spans="1:9" x14ac:dyDescent="0.15">
      <c r="A1931" s="9">
        <v>1930</v>
      </c>
      <c r="B1931" s="9" t="s">
        <v>9</v>
      </c>
      <c r="C1931" s="9">
        <v>1915</v>
      </c>
      <c r="D1931" s="10">
        <v>45639</v>
      </c>
      <c r="E1931" s="13" t="str">
        <f>+HYPERLINK("http://trademark.i-assist.jp/data/china/image_1915th/81114326.pdf","81114326")</f>
        <v>81114326</v>
      </c>
      <c r="F1931" s="9" t="s">
        <v>5290</v>
      </c>
      <c r="G1931" s="9" t="s">
        <v>3646</v>
      </c>
      <c r="H1931" s="9" t="s">
        <v>5291</v>
      </c>
      <c r="I1931" s="10">
        <v>45560</v>
      </c>
    </row>
    <row r="1932" spans="1:9" x14ac:dyDescent="0.15">
      <c r="A1932" s="9">
        <v>1931</v>
      </c>
      <c r="B1932" s="9" t="s">
        <v>9</v>
      </c>
      <c r="C1932" s="9">
        <v>1915</v>
      </c>
      <c r="D1932" s="10">
        <v>45639</v>
      </c>
      <c r="E1932" s="13" t="str">
        <f>+HYPERLINK("http://trademark.i-assist.jp/data/china/image_1915th/81114344.pdf","81114344")</f>
        <v>81114344</v>
      </c>
      <c r="F1932" s="9" t="s">
        <v>5292</v>
      </c>
      <c r="G1932" s="9" t="s">
        <v>3646</v>
      </c>
      <c r="H1932" s="12" t="s">
        <v>5293</v>
      </c>
      <c r="I1932" s="10">
        <v>45560</v>
      </c>
    </row>
    <row r="1933" spans="1:9" x14ac:dyDescent="0.15">
      <c r="A1933" s="9">
        <v>1932</v>
      </c>
      <c r="B1933" s="9" t="s">
        <v>9</v>
      </c>
      <c r="C1933" s="9">
        <v>1915</v>
      </c>
      <c r="D1933" s="10">
        <v>45639</v>
      </c>
      <c r="E1933" s="13" t="str">
        <f>+HYPERLINK("http://trademark.i-assist.jp/data/china/image_1915th/81114372.pdf","81114372")</f>
        <v>81114372</v>
      </c>
      <c r="F1933" s="9" t="s">
        <v>5294</v>
      </c>
      <c r="G1933" s="9" t="s">
        <v>5295</v>
      </c>
      <c r="H1933" s="9" t="s">
        <v>5296</v>
      </c>
      <c r="I1933" s="10">
        <v>45560</v>
      </c>
    </row>
    <row r="1934" spans="1:9" x14ac:dyDescent="0.15">
      <c r="A1934" s="9">
        <v>1933</v>
      </c>
      <c r="B1934" s="9" t="s">
        <v>9</v>
      </c>
      <c r="C1934" s="9">
        <v>1915</v>
      </c>
      <c r="D1934" s="10">
        <v>45639</v>
      </c>
      <c r="E1934" s="13" t="str">
        <f>+HYPERLINK("http://trademark.i-assist.jp/data/china/image_1915th/81114495.pdf","81114495")</f>
        <v>81114495</v>
      </c>
      <c r="F1934" s="9" t="s">
        <v>5297</v>
      </c>
      <c r="G1934" s="12" t="s">
        <v>5298</v>
      </c>
      <c r="H1934" s="9" t="s">
        <v>5299</v>
      </c>
      <c r="I1934" s="10">
        <v>45560</v>
      </c>
    </row>
    <row r="1935" spans="1:9" x14ac:dyDescent="0.15">
      <c r="A1935" s="9">
        <v>1934</v>
      </c>
      <c r="B1935" s="9" t="s">
        <v>9</v>
      </c>
      <c r="C1935" s="9">
        <v>1915</v>
      </c>
      <c r="D1935" s="10">
        <v>45639</v>
      </c>
      <c r="E1935" s="13" t="str">
        <f>+HYPERLINK("http://trademark.i-assist.jp/data/china/image_1915th/81114707.pdf","81114707")</f>
        <v>81114707</v>
      </c>
      <c r="F1935" s="9" t="s">
        <v>5300</v>
      </c>
      <c r="G1935" s="9" t="s">
        <v>5134</v>
      </c>
      <c r="H1935" s="9" t="s">
        <v>5301</v>
      </c>
      <c r="I1935" s="10">
        <v>45560</v>
      </c>
    </row>
    <row r="1936" spans="1:9" x14ac:dyDescent="0.15">
      <c r="A1936" s="9">
        <v>1935</v>
      </c>
      <c r="B1936" s="9" t="s">
        <v>9</v>
      </c>
      <c r="C1936" s="9">
        <v>1915</v>
      </c>
      <c r="D1936" s="10">
        <v>45639</v>
      </c>
      <c r="E1936" s="13" t="str">
        <f>+HYPERLINK("http://trademark.i-assist.jp/data/china/image_1915th/81114795.pdf","81114795")</f>
        <v>81114795</v>
      </c>
      <c r="F1936" s="9" t="s">
        <v>5302</v>
      </c>
      <c r="G1936" s="12" t="s">
        <v>5303</v>
      </c>
      <c r="H1936" s="9" t="s">
        <v>5304</v>
      </c>
      <c r="I1936" s="10">
        <v>45560</v>
      </c>
    </row>
    <row r="1937" spans="1:9" x14ac:dyDescent="0.15">
      <c r="A1937" s="9">
        <v>1936</v>
      </c>
      <c r="B1937" s="9" t="s">
        <v>9</v>
      </c>
      <c r="C1937" s="9">
        <v>1915</v>
      </c>
      <c r="D1937" s="10">
        <v>45639</v>
      </c>
      <c r="E1937" s="13" t="str">
        <f>+HYPERLINK("http://trademark.i-assist.jp/data/china/image_1915th/81115328.pdf","81115328")</f>
        <v>81115328</v>
      </c>
      <c r="F1937" s="9" t="s">
        <v>5305</v>
      </c>
      <c r="G1937" s="9" t="s">
        <v>5306</v>
      </c>
      <c r="H1937" s="9" t="s">
        <v>5307</v>
      </c>
      <c r="I1937" s="10">
        <v>45560</v>
      </c>
    </row>
    <row r="1938" spans="1:9" x14ac:dyDescent="0.15">
      <c r="A1938" s="9">
        <v>1937</v>
      </c>
      <c r="B1938" s="9" t="s">
        <v>9</v>
      </c>
      <c r="C1938" s="9">
        <v>1915</v>
      </c>
      <c r="D1938" s="10">
        <v>45639</v>
      </c>
      <c r="E1938" s="13" t="str">
        <f>+HYPERLINK("http://trademark.i-assist.jp/data/china/image_1915th/81115369.pdf","81115369")</f>
        <v>81115369</v>
      </c>
      <c r="F1938" s="9" t="s">
        <v>5308</v>
      </c>
      <c r="G1938" s="9" t="s">
        <v>5105</v>
      </c>
      <c r="H1938" s="9" t="s">
        <v>5309</v>
      </c>
      <c r="I1938" s="10">
        <v>45560</v>
      </c>
    </row>
    <row r="1939" spans="1:9" x14ac:dyDescent="0.15">
      <c r="A1939" s="9">
        <v>1938</v>
      </c>
      <c r="B1939" s="9" t="s">
        <v>9</v>
      </c>
      <c r="C1939" s="9">
        <v>1915</v>
      </c>
      <c r="D1939" s="10">
        <v>45639</v>
      </c>
      <c r="E1939" s="13" t="str">
        <f>+HYPERLINK("http://trademark.i-assist.jp/data/china/image_1915th/81115485.pdf","81115485")</f>
        <v>81115485</v>
      </c>
      <c r="F1939" s="9" t="s">
        <v>5310</v>
      </c>
      <c r="G1939" s="9" t="s">
        <v>3646</v>
      </c>
      <c r="H1939" s="9" t="s">
        <v>5311</v>
      </c>
      <c r="I1939" s="10">
        <v>45560</v>
      </c>
    </row>
    <row r="1940" spans="1:9" x14ac:dyDescent="0.15">
      <c r="A1940" s="9">
        <v>1939</v>
      </c>
      <c r="B1940" s="9" t="s">
        <v>9</v>
      </c>
      <c r="C1940" s="9">
        <v>1915</v>
      </c>
      <c r="D1940" s="10">
        <v>45639</v>
      </c>
      <c r="E1940" s="13" t="str">
        <f>+HYPERLINK("http://trademark.i-assist.jp/data/china/image_1915th/81115553.pdf","81115553")</f>
        <v>81115553</v>
      </c>
      <c r="F1940" s="9" t="s">
        <v>5312</v>
      </c>
      <c r="G1940" s="9" t="s">
        <v>5075</v>
      </c>
      <c r="H1940" s="9" t="s">
        <v>5313</v>
      </c>
      <c r="I1940" s="10">
        <v>45560</v>
      </c>
    </row>
    <row r="1941" spans="1:9" x14ac:dyDescent="0.15">
      <c r="A1941" s="9">
        <v>1940</v>
      </c>
      <c r="B1941" s="9" t="s">
        <v>9</v>
      </c>
      <c r="C1941" s="9">
        <v>1915</v>
      </c>
      <c r="D1941" s="10">
        <v>45639</v>
      </c>
      <c r="E1941" s="13" t="str">
        <f>+HYPERLINK("http://trademark.i-assist.jp/data/china/image_1915th/81115667.pdf","81115667")</f>
        <v>81115667</v>
      </c>
      <c r="F1941" s="9" t="s">
        <v>5314</v>
      </c>
      <c r="G1941" s="9" t="s">
        <v>4960</v>
      </c>
      <c r="H1941" s="9" t="s">
        <v>5315</v>
      </c>
      <c r="I1941" s="10">
        <v>45560</v>
      </c>
    </row>
    <row r="1942" spans="1:9" x14ac:dyDescent="0.15">
      <c r="A1942" s="9">
        <v>1941</v>
      </c>
      <c r="B1942" s="9" t="s">
        <v>9</v>
      </c>
      <c r="C1942" s="9">
        <v>1915</v>
      </c>
      <c r="D1942" s="10">
        <v>45639</v>
      </c>
      <c r="E1942" s="13" t="str">
        <f>+HYPERLINK("http://trademark.i-assist.jp/data/china/image_1915th/81115825.pdf","81115825")</f>
        <v>81115825</v>
      </c>
      <c r="F1942" s="9" t="s">
        <v>5316</v>
      </c>
      <c r="G1942" s="9" t="s">
        <v>5317</v>
      </c>
      <c r="H1942" s="9" t="s">
        <v>5318</v>
      </c>
      <c r="I1942" s="10">
        <v>45560</v>
      </c>
    </row>
    <row r="1943" spans="1:9" x14ac:dyDescent="0.15">
      <c r="A1943" s="9">
        <v>1942</v>
      </c>
      <c r="B1943" s="9" t="s">
        <v>9</v>
      </c>
      <c r="C1943" s="9">
        <v>1915</v>
      </c>
      <c r="D1943" s="10">
        <v>45639</v>
      </c>
      <c r="E1943" s="13" t="str">
        <f>+HYPERLINK("http://trademark.i-assist.jp/data/china/image_1915th/81115937.pdf","81115937")</f>
        <v>81115937</v>
      </c>
      <c r="F1943" s="9" t="s">
        <v>5319</v>
      </c>
      <c r="G1943" s="9" t="s">
        <v>5320</v>
      </c>
      <c r="H1943" s="9" t="s">
        <v>5321</v>
      </c>
      <c r="I1943" s="10">
        <v>45560</v>
      </c>
    </row>
    <row r="1944" spans="1:9" x14ac:dyDescent="0.15">
      <c r="A1944" s="9">
        <v>1943</v>
      </c>
      <c r="B1944" s="9" t="s">
        <v>9</v>
      </c>
      <c r="C1944" s="9">
        <v>1915</v>
      </c>
      <c r="D1944" s="10">
        <v>45639</v>
      </c>
      <c r="E1944" s="13" t="str">
        <f>+HYPERLINK("http://trademark.i-assist.jp/data/china/image_1915th/81116032.pdf","81116032")</f>
        <v>81116032</v>
      </c>
      <c r="F1944" s="9" t="s">
        <v>5322</v>
      </c>
      <c r="G1944" s="12" t="s">
        <v>5068</v>
      </c>
      <c r="H1944" s="9" t="s">
        <v>5323</v>
      </c>
      <c r="I1944" s="10">
        <v>45560</v>
      </c>
    </row>
    <row r="1945" spans="1:9" x14ac:dyDescent="0.15">
      <c r="A1945" s="9">
        <v>1944</v>
      </c>
      <c r="B1945" s="9" t="s">
        <v>9</v>
      </c>
      <c r="C1945" s="9">
        <v>1915</v>
      </c>
      <c r="D1945" s="10">
        <v>45639</v>
      </c>
      <c r="E1945" s="13" t="str">
        <f>+HYPERLINK("http://trademark.i-assist.jp/data/china/image_1915th/81116110.pdf","81116110")</f>
        <v>81116110</v>
      </c>
      <c r="F1945" s="9" t="s">
        <v>5324</v>
      </c>
      <c r="G1945" s="12" t="s">
        <v>5325</v>
      </c>
      <c r="H1945" s="9" t="s">
        <v>5326</v>
      </c>
      <c r="I1945" s="10">
        <v>45560</v>
      </c>
    </row>
    <row r="1946" spans="1:9" x14ac:dyDescent="0.15">
      <c r="A1946" s="9">
        <v>1945</v>
      </c>
      <c r="B1946" s="9" t="s">
        <v>9</v>
      </c>
      <c r="C1946" s="9">
        <v>1915</v>
      </c>
      <c r="D1946" s="10">
        <v>45639</v>
      </c>
      <c r="E1946" s="13" t="str">
        <f>+HYPERLINK("http://trademark.i-assist.jp/data/china/image_1915th/81116172.pdf","81116172")</f>
        <v>81116172</v>
      </c>
      <c r="F1946" s="9" t="s">
        <v>5327</v>
      </c>
      <c r="G1946" s="12" t="s">
        <v>5328</v>
      </c>
      <c r="H1946" s="12" t="s">
        <v>5329</v>
      </c>
      <c r="I1946" s="10">
        <v>45560</v>
      </c>
    </row>
    <row r="1947" spans="1:9" x14ac:dyDescent="0.15">
      <c r="A1947" s="9">
        <v>1946</v>
      </c>
      <c r="B1947" s="9" t="s">
        <v>9</v>
      </c>
      <c r="C1947" s="9">
        <v>1915</v>
      </c>
      <c r="D1947" s="10">
        <v>45639</v>
      </c>
      <c r="E1947" s="13" t="str">
        <f>+HYPERLINK("http://trademark.i-assist.jp/data/china/image_1915th/81116198.pdf","81116198")</f>
        <v>81116198</v>
      </c>
      <c r="F1947" s="9" t="s">
        <v>5330</v>
      </c>
      <c r="G1947" s="12" t="s">
        <v>5014</v>
      </c>
      <c r="H1947" s="9" t="s">
        <v>5331</v>
      </c>
      <c r="I1947" s="10">
        <v>45560</v>
      </c>
    </row>
    <row r="1948" spans="1:9" x14ac:dyDescent="0.15">
      <c r="A1948" s="9">
        <v>1947</v>
      </c>
      <c r="B1948" s="9" t="s">
        <v>9</v>
      </c>
      <c r="C1948" s="9">
        <v>1915</v>
      </c>
      <c r="D1948" s="10">
        <v>45639</v>
      </c>
      <c r="E1948" s="13" t="str">
        <f>+HYPERLINK("http://trademark.i-assist.jp/data/china/image_1915th/81116220.pdf","81116220")</f>
        <v>81116220</v>
      </c>
      <c r="F1948" s="9" t="s">
        <v>5332</v>
      </c>
      <c r="G1948" s="9" t="s">
        <v>5333</v>
      </c>
      <c r="H1948" s="9" t="s">
        <v>5334</v>
      </c>
      <c r="I1948" s="10">
        <v>45560</v>
      </c>
    </row>
    <row r="1949" spans="1:9" x14ac:dyDescent="0.15">
      <c r="A1949" s="9">
        <v>1948</v>
      </c>
      <c r="B1949" s="9" t="s">
        <v>9</v>
      </c>
      <c r="C1949" s="9">
        <v>1915</v>
      </c>
      <c r="D1949" s="10">
        <v>45639</v>
      </c>
      <c r="E1949" s="13" t="str">
        <f>+HYPERLINK("http://trademark.i-assist.jp/data/china/image_1915th/81116387.pdf","81116387")</f>
        <v>81116387</v>
      </c>
      <c r="F1949" s="12" t="s">
        <v>5335</v>
      </c>
      <c r="G1949" s="9" t="s">
        <v>3491</v>
      </c>
      <c r="H1949" s="12" t="s">
        <v>5336</v>
      </c>
      <c r="I1949" s="10">
        <v>45560</v>
      </c>
    </row>
    <row r="1950" spans="1:9" x14ac:dyDescent="0.15">
      <c r="A1950" s="9">
        <v>1949</v>
      </c>
      <c r="B1950" s="9" t="s">
        <v>9</v>
      </c>
      <c r="C1950" s="9">
        <v>1915</v>
      </c>
      <c r="D1950" s="10">
        <v>45639</v>
      </c>
      <c r="E1950" s="13" t="str">
        <f>+HYPERLINK("http://trademark.i-assist.jp/data/china/image_1915th/81116482.pdf","81116482")</f>
        <v>81116482</v>
      </c>
      <c r="F1950" s="9" t="s">
        <v>5337</v>
      </c>
      <c r="G1950" s="12" t="s">
        <v>5338</v>
      </c>
      <c r="H1950" s="9" t="s">
        <v>5339</v>
      </c>
      <c r="I1950" s="10">
        <v>45560</v>
      </c>
    </row>
    <row r="1951" spans="1:9" x14ac:dyDescent="0.15">
      <c r="A1951" s="9">
        <v>1950</v>
      </c>
      <c r="B1951" s="9" t="s">
        <v>9</v>
      </c>
      <c r="C1951" s="9">
        <v>1915</v>
      </c>
      <c r="D1951" s="10">
        <v>45639</v>
      </c>
      <c r="E1951" s="13" t="str">
        <f>+HYPERLINK("http://trademark.i-assist.jp/data/china/image_1915th/81116773.pdf","81116773")</f>
        <v>81116773</v>
      </c>
      <c r="F1951" s="9" t="s">
        <v>5340</v>
      </c>
      <c r="G1951" s="9" t="s">
        <v>5341</v>
      </c>
      <c r="H1951" s="9" t="s">
        <v>5342</v>
      </c>
      <c r="I1951" s="10">
        <v>45560</v>
      </c>
    </row>
    <row r="1952" spans="1:9" x14ac:dyDescent="0.15">
      <c r="A1952" s="9">
        <v>1951</v>
      </c>
      <c r="B1952" s="9" t="s">
        <v>9</v>
      </c>
      <c r="C1952" s="9">
        <v>1915</v>
      </c>
      <c r="D1952" s="10">
        <v>45639</v>
      </c>
      <c r="E1952" s="13" t="str">
        <f>+HYPERLINK("http://trademark.i-assist.jp/data/china/image_1915th/81116876.pdf","81116876")</f>
        <v>81116876</v>
      </c>
      <c r="F1952" s="9" t="s">
        <v>5343</v>
      </c>
      <c r="G1952" s="9" t="s">
        <v>5344</v>
      </c>
      <c r="H1952" s="9" t="s">
        <v>5345</v>
      </c>
      <c r="I1952" s="10">
        <v>45560</v>
      </c>
    </row>
    <row r="1953" spans="1:9" x14ac:dyDescent="0.15">
      <c r="A1953" s="9">
        <v>1952</v>
      </c>
      <c r="B1953" s="9" t="s">
        <v>9</v>
      </c>
      <c r="C1953" s="9">
        <v>1915</v>
      </c>
      <c r="D1953" s="10">
        <v>45639</v>
      </c>
      <c r="E1953" s="13" t="str">
        <f>+HYPERLINK("http://trademark.i-assist.jp/data/china/image_1915th/81117292.pdf","81117292")</f>
        <v>81117292</v>
      </c>
      <c r="F1953" s="9" t="s">
        <v>5346</v>
      </c>
      <c r="G1953" s="9" t="s">
        <v>21</v>
      </c>
      <c r="H1953" s="9" t="s">
        <v>5347</v>
      </c>
      <c r="I1953" s="10">
        <v>45560</v>
      </c>
    </row>
    <row r="1954" spans="1:9" x14ac:dyDescent="0.15">
      <c r="A1954" s="9">
        <v>1953</v>
      </c>
      <c r="B1954" s="9" t="s">
        <v>9</v>
      </c>
      <c r="C1954" s="9">
        <v>1915</v>
      </c>
      <c r="D1954" s="10">
        <v>45639</v>
      </c>
      <c r="E1954" s="13" t="str">
        <f>+HYPERLINK("http://trademark.i-assist.jp/data/china/image_1915th/81117756.pdf","81117756")</f>
        <v>81117756</v>
      </c>
      <c r="F1954" s="12" t="s">
        <v>15</v>
      </c>
      <c r="G1954" s="12" t="s">
        <v>5348</v>
      </c>
      <c r="H1954" s="9" t="s">
        <v>5349</v>
      </c>
      <c r="I1954" s="10">
        <v>45560</v>
      </c>
    </row>
    <row r="1955" spans="1:9" x14ac:dyDescent="0.15">
      <c r="A1955" s="9">
        <v>1954</v>
      </c>
      <c r="B1955" s="9" t="s">
        <v>9</v>
      </c>
      <c r="C1955" s="9">
        <v>1915</v>
      </c>
      <c r="D1955" s="10">
        <v>45639</v>
      </c>
      <c r="E1955" s="13" t="str">
        <f>+HYPERLINK("http://trademark.i-assist.jp/data/china/image_1915th/81118014.pdf","81118014")</f>
        <v>81118014</v>
      </c>
      <c r="F1955" s="9" t="s">
        <v>5350</v>
      </c>
      <c r="G1955" s="12" t="s">
        <v>5002</v>
      </c>
      <c r="H1955" s="9" t="s">
        <v>5351</v>
      </c>
      <c r="I1955" s="10">
        <v>45560</v>
      </c>
    </row>
    <row r="1956" spans="1:9" x14ac:dyDescent="0.15">
      <c r="A1956" s="9">
        <v>1955</v>
      </c>
      <c r="B1956" s="9" t="s">
        <v>9</v>
      </c>
      <c r="C1956" s="9">
        <v>1915</v>
      </c>
      <c r="D1956" s="10">
        <v>45639</v>
      </c>
      <c r="E1956" s="13" t="str">
        <f>+HYPERLINK("http://trademark.i-assist.jp/data/china/image_1915th/81118166.pdf","81118166")</f>
        <v>81118166</v>
      </c>
      <c r="F1956" s="12" t="s">
        <v>5352</v>
      </c>
      <c r="G1956" s="9" t="s">
        <v>365</v>
      </c>
      <c r="H1956" s="12" t="s">
        <v>5353</v>
      </c>
      <c r="I1956" s="10">
        <v>45560</v>
      </c>
    </row>
    <row r="1957" spans="1:9" x14ac:dyDescent="0.15">
      <c r="A1957" s="9">
        <v>1956</v>
      </c>
      <c r="B1957" s="9" t="s">
        <v>9</v>
      </c>
      <c r="C1957" s="9">
        <v>1915</v>
      </c>
      <c r="D1957" s="10">
        <v>45639</v>
      </c>
      <c r="E1957" s="13" t="str">
        <f>+HYPERLINK("http://trademark.i-assist.jp/data/china/image_1915th/81118420.pdf","81118420")</f>
        <v>81118420</v>
      </c>
      <c r="F1957" s="9" t="s">
        <v>5354</v>
      </c>
      <c r="G1957" s="9" t="s">
        <v>5355</v>
      </c>
      <c r="H1957" s="9" t="s">
        <v>5356</v>
      </c>
      <c r="I1957" s="10">
        <v>45560</v>
      </c>
    </row>
    <row r="1958" spans="1:9" x14ac:dyDescent="0.15">
      <c r="A1958" s="9">
        <v>1957</v>
      </c>
      <c r="B1958" s="9" t="s">
        <v>9</v>
      </c>
      <c r="C1958" s="9">
        <v>1915</v>
      </c>
      <c r="D1958" s="10">
        <v>45639</v>
      </c>
      <c r="E1958" s="13" t="str">
        <f>+HYPERLINK("http://trademark.i-assist.jp/data/china/image_1915th/81119216.pdf","81119216")</f>
        <v>81119216</v>
      </c>
      <c r="F1958" s="9" t="s">
        <v>5357</v>
      </c>
      <c r="G1958" s="9" t="s">
        <v>5358</v>
      </c>
      <c r="H1958" s="9" t="s">
        <v>5359</v>
      </c>
      <c r="I1958" s="10">
        <v>45561</v>
      </c>
    </row>
    <row r="1959" spans="1:9" x14ac:dyDescent="0.15">
      <c r="A1959" s="9">
        <v>1958</v>
      </c>
      <c r="B1959" s="9" t="s">
        <v>9</v>
      </c>
      <c r="C1959" s="9">
        <v>1915</v>
      </c>
      <c r="D1959" s="10">
        <v>45639</v>
      </c>
      <c r="E1959" s="13" t="str">
        <f>+HYPERLINK("http://trademark.i-assist.jp/data/china/image_1915th/81119234.pdf","81119234")</f>
        <v>81119234</v>
      </c>
      <c r="F1959" s="12" t="s">
        <v>15</v>
      </c>
      <c r="G1959" s="9" t="s">
        <v>5360</v>
      </c>
      <c r="H1959" s="12" t="s">
        <v>5361</v>
      </c>
      <c r="I1959" s="10">
        <v>45561</v>
      </c>
    </row>
    <row r="1960" spans="1:9" x14ac:dyDescent="0.15">
      <c r="A1960" s="9">
        <v>1959</v>
      </c>
      <c r="B1960" s="9" t="s">
        <v>9</v>
      </c>
      <c r="C1960" s="9">
        <v>1915</v>
      </c>
      <c r="D1960" s="10">
        <v>45639</v>
      </c>
      <c r="E1960" s="13" t="str">
        <f>+HYPERLINK("http://trademark.i-assist.jp/data/china/image_1915th/81119393.pdf","81119393")</f>
        <v>81119393</v>
      </c>
      <c r="F1960" s="9" t="s">
        <v>5362</v>
      </c>
      <c r="G1960" s="12" t="s">
        <v>5363</v>
      </c>
      <c r="H1960" s="9" t="s">
        <v>5364</v>
      </c>
      <c r="I1960" s="10">
        <v>45561</v>
      </c>
    </row>
    <row r="1961" spans="1:9" x14ac:dyDescent="0.15">
      <c r="A1961" s="9">
        <v>1960</v>
      </c>
      <c r="B1961" s="9" t="s">
        <v>9</v>
      </c>
      <c r="C1961" s="9">
        <v>1915</v>
      </c>
      <c r="D1961" s="10">
        <v>45639</v>
      </c>
      <c r="E1961" s="13" t="str">
        <f>+HYPERLINK("http://trademark.i-assist.jp/data/china/image_1915th/81119608.pdf","81119608")</f>
        <v>81119608</v>
      </c>
      <c r="F1961" s="9" t="s">
        <v>5365</v>
      </c>
      <c r="G1961" s="9" t="s">
        <v>5366</v>
      </c>
      <c r="H1961" s="9" t="s">
        <v>5367</v>
      </c>
      <c r="I1961" s="10">
        <v>45561</v>
      </c>
    </row>
    <row r="1962" spans="1:9" x14ac:dyDescent="0.15">
      <c r="A1962" s="9">
        <v>1961</v>
      </c>
      <c r="B1962" s="9" t="s">
        <v>9</v>
      </c>
      <c r="C1962" s="9">
        <v>1915</v>
      </c>
      <c r="D1962" s="10">
        <v>45639</v>
      </c>
      <c r="E1962" s="13" t="str">
        <f>+HYPERLINK("http://trademark.i-assist.jp/data/china/image_1915th/81119614.pdf","81119614")</f>
        <v>81119614</v>
      </c>
      <c r="F1962" s="9" t="s">
        <v>5368</v>
      </c>
      <c r="G1962" s="9" t="s">
        <v>5369</v>
      </c>
      <c r="H1962" s="9" t="s">
        <v>5370</v>
      </c>
      <c r="I1962" s="10">
        <v>45561</v>
      </c>
    </row>
    <row r="1963" spans="1:9" x14ac:dyDescent="0.15">
      <c r="A1963" s="9">
        <v>1962</v>
      </c>
      <c r="B1963" s="9" t="s">
        <v>9</v>
      </c>
      <c r="C1963" s="9">
        <v>1915</v>
      </c>
      <c r="D1963" s="10">
        <v>45639</v>
      </c>
      <c r="E1963" s="13" t="str">
        <f>+HYPERLINK("http://trademark.i-assist.jp/data/china/image_1915th/81119806.pdf","81119806")</f>
        <v>81119806</v>
      </c>
      <c r="F1963" s="12" t="s">
        <v>5371</v>
      </c>
      <c r="G1963" s="9" t="s">
        <v>5372</v>
      </c>
      <c r="H1963" s="9" t="s">
        <v>5373</v>
      </c>
      <c r="I1963" s="10">
        <v>45561</v>
      </c>
    </row>
    <row r="1964" spans="1:9" x14ac:dyDescent="0.15">
      <c r="A1964" s="9">
        <v>1963</v>
      </c>
      <c r="B1964" s="9" t="s">
        <v>9</v>
      </c>
      <c r="C1964" s="9">
        <v>1915</v>
      </c>
      <c r="D1964" s="10">
        <v>45639</v>
      </c>
      <c r="E1964" s="13" t="str">
        <f>+HYPERLINK("http://trademark.i-assist.jp/data/china/image_1915th/81120010.pdf","81120010")</f>
        <v>81120010</v>
      </c>
      <c r="F1964" s="9" t="s">
        <v>5374</v>
      </c>
      <c r="G1964" s="12" t="s">
        <v>5375</v>
      </c>
      <c r="H1964" s="9" t="s">
        <v>5376</v>
      </c>
      <c r="I1964" s="10">
        <v>45561</v>
      </c>
    </row>
    <row r="1965" spans="1:9" x14ac:dyDescent="0.15">
      <c r="A1965" s="9">
        <v>1964</v>
      </c>
      <c r="B1965" s="9" t="s">
        <v>9</v>
      </c>
      <c r="C1965" s="9">
        <v>1915</v>
      </c>
      <c r="D1965" s="10">
        <v>45639</v>
      </c>
      <c r="E1965" s="13" t="str">
        <f>+HYPERLINK("http://trademark.i-assist.jp/data/china/image_1915th/81120408.pdf","81120408")</f>
        <v>81120408</v>
      </c>
      <c r="F1965" s="9" t="s">
        <v>5377</v>
      </c>
      <c r="G1965" s="9" t="s">
        <v>5378</v>
      </c>
      <c r="H1965" s="9" t="s">
        <v>5379</v>
      </c>
      <c r="I1965" s="10">
        <v>45561</v>
      </c>
    </row>
    <row r="1966" spans="1:9" x14ac:dyDescent="0.15">
      <c r="A1966" s="9">
        <v>1965</v>
      </c>
      <c r="B1966" s="9" t="s">
        <v>9</v>
      </c>
      <c r="C1966" s="9">
        <v>1915</v>
      </c>
      <c r="D1966" s="10">
        <v>45639</v>
      </c>
      <c r="E1966" s="13" t="str">
        <f>+HYPERLINK("http://trademark.i-assist.jp/data/china/image_1915th/81120627.pdf","81120627")</f>
        <v>81120627</v>
      </c>
      <c r="F1966" s="9" t="s">
        <v>5380</v>
      </c>
      <c r="G1966" s="9" t="s">
        <v>5381</v>
      </c>
      <c r="H1966" s="9" t="s">
        <v>5382</v>
      </c>
      <c r="I1966" s="10">
        <v>45561</v>
      </c>
    </row>
    <row r="1967" spans="1:9" x14ac:dyDescent="0.15">
      <c r="A1967" s="9">
        <v>1966</v>
      </c>
      <c r="B1967" s="9" t="s">
        <v>9</v>
      </c>
      <c r="C1967" s="9">
        <v>1915</v>
      </c>
      <c r="D1967" s="10">
        <v>45639</v>
      </c>
      <c r="E1967" s="13" t="str">
        <f>+HYPERLINK("http://trademark.i-assist.jp/data/china/image_1915th/81120853.pdf","81120853")</f>
        <v>81120853</v>
      </c>
      <c r="F1967" s="9" t="s">
        <v>5383</v>
      </c>
      <c r="G1967" s="9" t="s">
        <v>5384</v>
      </c>
      <c r="H1967" s="12" t="s">
        <v>5385</v>
      </c>
      <c r="I1967" s="10">
        <v>45561</v>
      </c>
    </row>
    <row r="1968" spans="1:9" x14ac:dyDescent="0.15">
      <c r="A1968" s="9">
        <v>1967</v>
      </c>
      <c r="B1968" s="9" t="s">
        <v>9</v>
      </c>
      <c r="C1968" s="9">
        <v>1915</v>
      </c>
      <c r="D1968" s="10">
        <v>45639</v>
      </c>
      <c r="E1968" s="13" t="str">
        <f>+HYPERLINK("http://trademark.i-assist.jp/data/china/image_1915th/81121557.pdf","81121557")</f>
        <v>81121557</v>
      </c>
      <c r="F1968" s="12" t="s">
        <v>5386</v>
      </c>
      <c r="G1968" s="9" t="s">
        <v>5387</v>
      </c>
      <c r="H1968" s="9" t="s">
        <v>5388</v>
      </c>
      <c r="I1968" s="10">
        <v>45561</v>
      </c>
    </row>
    <row r="1969" spans="1:9" x14ac:dyDescent="0.15">
      <c r="A1969" s="9">
        <v>1968</v>
      </c>
      <c r="B1969" s="9" t="s">
        <v>9</v>
      </c>
      <c r="C1969" s="9">
        <v>1915</v>
      </c>
      <c r="D1969" s="10">
        <v>45639</v>
      </c>
      <c r="E1969" s="13" t="str">
        <f>+HYPERLINK("http://trademark.i-assist.jp/data/china/image_1915th/81121904.pdf","81121904")</f>
        <v>81121904</v>
      </c>
      <c r="F1969" s="9" t="s">
        <v>5389</v>
      </c>
      <c r="G1969" s="9" t="s">
        <v>5390</v>
      </c>
      <c r="H1969" s="9" t="s">
        <v>5391</v>
      </c>
      <c r="I1969" s="10">
        <v>45561</v>
      </c>
    </row>
    <row r="1970" spans="1:9" x14ac:dyDescent="0.15">
      <c r="A1970" s="9">
        <v>1969</v>
      </c>
      <c r="B1970" s="9" t="s">
        <v>9</v>
      </c>
      <c r="C1970" s="9">
        <v>1915</v>
      </c>
      <c r="D1970" s="10">
        <v>45639</v>
      </c>
      <c r="E1970" s="13" t="str">
        <f>+HYPERLINK("http://trademark.i-assist.jp/data/china/image_1915th/81122193.pdf","81122193")</f>
        <v>81122193</v>
      </c>
      <c r="F1970" s="9" t="s">
        <v>5392</v>
      </c>
      <c r="G1970" s="9" t="s">
        <v>84</v>
      </c>
      <c r="H1970" s="9" t="s">
        <v>5393</v>
      </c>
      <c r="I1970" s="10">
        <v>45561</v>
      </c>
    </row>
    <row r="1971" spans="1:9" x14ac:dyDescent="0.15">
      <c r="A1971" s="9">
        <v>1970</v>
      </c>
      <c r="B1971" s="9" t="s">
        <v>9</v>
      </c>
      <c r="C1971" s="9">
        <v>1915</v>
      </c>
      <c r="D1971" s="10">
        <v>45639</v>
      </c>
      <c r="E1971" s="13" t="str">
        <f>+HYPERLINK("http://trademark.i-assist.jp/data/china/image_1915th/81122407.pdf","81122407")</f>
        <v>81122407</v>
      </c>
      <c r="F1971" s="9" t="s">
        <v>5394</v>
      </c>
      <c r="G1971" s="9" t="s">
        <v>5395</v>
      </c>
      <c r="H1971" s="9" t="s">
        <v>5396</v>
      </c>
      <c r="I1971" s="10">
        <v>45561</v>
      </c>
    </row>
    <row r="1972" spans="1:9" x14ac:dyDescent="0.15">
      <c r="A1972" s="9">
        <v>1971</v>
      </c>
      <c r="B1972" s="9" t="s">
        <v>9</v>
      </c>
      <c r="C1972" s="9">
        <v>1915</v>
      </c>
      <c r="D1972" s="10">
        <v>45639</v>
      </c>
      <c r="E1972" s="13" t="str">
        <f>+HYPERLINK("http://trademark.i-assist.jp/data/china/image_1915th/81122545.pdf","81122545")</f>
        <v>81122545</v>
      </c>
      <c r="F1972" s="9" t="s">
        <v>5397</v>
      </c>
      <c r="G1972" s="12" t="s">
        <v>2095</v>
      </c>
      <c r="H1972" s="9" t="s">
        <v>5398</v>
      </c>
      <c r="I1972" s="10">
        <v>45561</v>
      </c>
    </row>
    <row r="1973" spans="1:9" x14ac:dyDescent="0.15">
      <c r="A1973" s="9">
        <v>1972</v>
      </c>
      <c r="B1973" s="9" t="s">
        <v>9</v>
      </c>
      <c r="C1973" s="9">
        <v>1915</v>
      </c>
      <c r="D1973" s="10">
        <v>45639</v>
      </c>
      <c r="E1973" s="13" t="str">
        <f>+HYPERLINK("http://trademark.i-assist.jp/data/china/image_1915th/81122663.pdf","81122663")</f>
        <v>81122663</v>
      </c>
      <c r="F1973" s="9" t="s">
        <v>5399</v>
      </c>
      <c r="G1973" s="12" t="s">
        <v>5400</v>
      </c>
      <c r="H1973" s="9" t="s">
        <v>5401</v>
      </c>
      <c r="I1973" s="10">
        <v>45561</v>
      </c>
    </row>
    <row r="1974" spans="1:9" x14ac:dyDescent="0.15">
      <c r="A1974" s="9">
        <v>1973</v>
      </c>
      <c r="B1974" s="9" t="s">
        <v>9</v>
      </c>
      <c r="C1974" s="9">
        <v>1915</v>
      </c>
      <c r="D1974" s="10">
        <v>45639</v>
      </c>
      <c r="E1974" s="13" t="str">
        <f>+HYPERLINK("http://trademark.i-assist.jp/data/china/image_1915th/81122723.pdf","81122723")</f>
        <v>81122723</v>
      </c>
      <c r="F1974" s="9" t="s">
        <v>5402</v>
      </c>
      <c r="G1974" s="9" t="s">
        <v>5403</v>
      </c>
      <c r="H1974" s="9" t="s">
        <v>5404</v>
      </c>
      <c r="I1974" s="10">
        <v>45561</v>
      </c>
    </row>
    <row r="1975" spans="1:9" x14ac:dyDescent="0.15">
      <c r="A1975" s="9">
        <v>1974</v>
      </c>
      <c r="B1975" s="9" t="s">
        <v>9</v>
      </c>
      <c r="C1975" s="9">
        <v>1915</v>
      </c>
      <c r="D1975" s="10">
        <v>45639</v>
      </c>
      <c r="E1975" s="13" t="str">
        <f>+HYPERLINK("http://trademark.i-assist.jp/data/china/image_1915th/81123240.pdf","81123240")</f>
        <v>81123240</v>
      </c>
      <c r="F1975" s="12" t="s">
        <v>15</v>
      </c>
      <c r="G1975" s="12" t="s">
        <v>5405</v>
      </c>
      <c r="H1975" s="9" t="s">
        <v>5406</v>
      </c>
      <c r="I1975" s="10">
        <v>45561</v>
      </c>
    </row>
    <row r="1976" spans="1:9" x14ac:dyDescent="0.15">
      <c r="A1976" s="9">
        <v>1975</v>
      </c>
      <c r="B1976" s="9" t="s">
        <v>9</v>
      </c>
      <c r="C1976" s="9">
        <v>1915</v>
      </c>
      <c r="D1976" s="10">
        <v>45639</v>
      </c>
      <c r="E1976" s="13" t="str">
        <f>+HYPERLINK("http://trademark.i-assist.jp/data/china/image_1915th/81123265.pdf","81123265")</f>
        <v>81123265</v>
      </c>
      <c r="F1976" s="9" t="s">
        <v>5407</v>
      </c>
      <c r="G1976" s="9" t="s">
        <v>5408</v>
      </c>
      <c r="H1976" s="9" t="s">
        <v>5409</v>
      </c>
      <c r="I1976" s="10">
        <v>45561</v>
      </c>
    </row>
    <row r="1977" spans="1:9" x14ac:dyDescent="0.15">
      <c r="A1977" s="9">
        <v>1976</v>
      </c>
      <c r="B1977" s="9" t="s">
        <v>9</v>
      </c>
      <c r="C1977" s="9">
        <v>1915</v>
      </c>
      <c r="D1977" s="10">
        <v>45639</v>
      </c>
      <c r="E1977" s="13" t="str">
        <f>+HYPERLINK("http://trademark.i-assist.jp/data/china/image_1915th/81123302.pdf","81123302")</f>
        <v>81123302</v>
      </c>
      <c r="F1977" s="12" t="s">
        <v>5410</v>
      </c>
      <c r="G1977" s="9" t="s">
        <v>5411</v>
      </c>
      <c r="H1977" s="9" t="s">
        <v>5412</v>
      </c>
      <c r="I1977" s="10">
        <v>45561</v>
      </c>
    </row>
    <row r="1978" spans="1:9" x14ac:dyDescent="0.15">
      <c r="A1978" s="9">
        <v>1977</v>
      </c>
      <c r="B1978" s="9" t="s">
        <v>9</v>
      </c>
      <c r="C1978" s="9">
        <v>1915</v>
      </c>
      <c r="D1978" s="10">
        <v>45639</v>
      </c>
      <c r="E1978" s="13" t="str">
        <f>+HYPERLINK("http://trademark.i-assist.jp/data/china/image_1915th/81123485.pdf","81123485")</f>
        <v>81123485</v>
      </c>
      <c r="F1978" s="9" t="s">
        <v>5413</v>
      </c>
      <c r="G1978" s="12" t="s">
        <v>5414</v>
      </c>
      <c r="H1978" s="9" t="s">
        <v>5415</v>
      </c>
      <c r="I1978" s="10">
        <v>45561</v>
      </c>
    </row>
    <row r="1979" spans="1:9" x14ac:dyDescent="0.15">
      <c r="A1979" s="9">
        <v>1978</v>
      </c>
      <c r="B1979" s="9" t="s">
        <v>9</v>
      </c>
      <c r="C1979" s="9">
        <v>1915</v>
      </c>
      <c r="D1979" s="10">
        <v>45639</v>
      </c>
      <c r="E1979" s="13" t="str">
        <f>+HYPERLINK("http://trademark.i-assist.jp/data/china/image_1915th/81123669.pdf","81123669")</f>
        <v>81123669</v>
      </c>
      <c r="F1979" s="9" t="s">
        <v>5416</v>
      </c>
      <c r="G1979" s="9" t="s">
        <v>5417</v>
      </c>
      <c r="H1979" s="9" t="s">
        <v>5418</v>
      </c>
      <c r="I1979" s="10">
        <v>45561</v>
      </c>
    </row>
    <row r="1980" spans="1:9" x14ac:dyDescent="0.15">
      <c r="A1980" s="9">
        <v>1979</v>
      </c>
      <c r="B1980" s="9" t="s">
        <v>9</v>
      </c>
      <c r="C1980" s="9">
        <v>1915</v>
      </c>
      <c r="D1980" s="10">
        <v>45639</v>
      </c>
      <c r="E1980" s="13" t="str">
        <f>+HYPERLINK("http://trademark.i-assist.jp/data/china/image_1915th/81124083.pdf","81124083")</f>
        <v>81124083</v>
      </c>
      <c r="F1980" s="9" t="s">
        <v>5419</v>
      </c>
      <c r="G1980" s="9" t="s">
        <v>5420</v>
      </c>
      <c r="H1980" s="9" t="s">
        <v>5421</v>
      </c>
      <c r="I1980" s="10">
        <v>45561</v>
      </c>
    </row>
    <row r="1981" spans="1:9" x14ac:dyDescent="0.15">
      <c r="A1981" s="9">
        <v>1980</v>
      </c>
      <c r="B1981" s="9" t="s">
        <v>9</v>
      </c>
      <c r="C1981" s="9">
        <v>1915</v>
      </c>
      <c r="D1981" s="10">
        <v>45639</v>
      </c>
      <c r="E1981" s="13" t="str">
        <f>+HYPERLINK("http://trademark.i-assist.jp/data/china/image_1915th/81124130.pdf","81124130")</f>
        <v>81124130</v>
      </c>
      <c r="F1981" s="9" t="s">
        <v>5422</v>
      </c>
      <c r="G1981" s="9" t="s">
        <v>5423</v>
      </c>
      <c r="H1981" s="9" t="s">
        <v>5424</v>
      </c>
      <c r="I1981" s="10">
        <v>45561</v>
      </c>
    </row>
    <row r="1982" spans="1:9" x14ac:dyDescent="0.15">
      <c r="A1982" s="9">
        <v>1981</v>
      </c>
      <c r="B1982" s="9" t="s">
        <v>9</v>
      </c>
      <c r="C1982" s="9">
        <v>1915</v>
      </c>
      <c r="D1982" s="10">
        <v>45639</v>
      </c>
      <c r="E1982" s="13" t="str">
        <f>+HYPERLINK("http://trademark.i-assist.jp/data/china/image_1915th/81124267.pdf","81124267")</f>
        <v>81124267</v>
      </c>
      <c r="F1982" s="9" t="s">
        <v>5425</v>
      </c>
      <c r="G1982" s="12" t="s">
        <v>5426</v>
      </c>
      <c r="H1982" s="9" t="s">
        <v>5427</v>
      </c>
      <c r="I1982" s="10">
        <v>45561</v>
      </c>
    </row>
    <row r="1983" spans="1:9" x14ac:dyDescent="0.15">
      <c r="A1983" s="9">
        <v>1982</v>
      </c>
      <c r="B1983" s="9" t="s">
        <v>9</v>
      </c>
      <c r="C1983" s="9">
        <v>1915</v>
      </c>
      <c r="D1983" s="10">
        <v>45639</v>
      </c>
      <c r="E1983" s="13" t="str">
        <f>+HYPERLINK("http://trademark.i-assist.jp/data/china/image_1915th/81124297.pdf","81124297")</f>
        <v>81124297</v>
      </c>
      <c r="F1983" s="9" t="s">
        <v>5428</v>
      </c>
      <c r="G1983" s="9" t="s">
        <v>5429</v>
      </c>
      <c r="H1983" s="9" t="s">
        <v>5430</v>
      </c>
      <c r="I1983" s="10">
        <v>45561</v>
      </c>
    </row>
    <row r="1984" spans="1:9" x14ac:dyDescent="0.15">
      <c r="A1984" s="9">
        <v>1983</v>
      </c>
      <c r="B1984" s="9" t="s">
        <v>9</v>
      </c>
      <c r="C1984" s="9">
        <v>1915</v>
      </c>
      <c r="D1984" s="10">
        <v>45639</v>
      </c>
      <c r="E1984" s="13" t="str">
        <f>+HYPERLINK("http://trademark.i-assist.jp/data/china/image_1915th/81124591.pdf","81124591")</f>
        <v>81124591</v>
      </c>
      <c r="F1984" s="12" t="s">
        <v>5431</v>
      </c>
      <c r="G1984" s="12" t="s">
        <v>5432</v>
      </c>
      <c r="H1984" s="9" t="s">
        <v>5433</v>
      </c>
      <c r="I1984" s="10">
        <v>45561</v>
      </c>
    </row>
    <row r="1985" spans="1:9" x14ac:dyDescent="0.15">
      <c r="A1985" s="9">
        <v>1984</v>
      </c>
      <c r="B1985" s="9" t="s">
        <v>9</v>
      </c>
      <c r="C1985" s="9">
        <v>1915</v>
      </c>
      <c r="D1985" s="10">
        <v>45639</v>
      </c>
      <c r="E1985" s="13" t="str">
        <f>+HYPERLINK("http://trademark.i-assist.jp/data/china/image_1915th/81124734.pdf","81124734")</f>
        <v>81124734</v>
      </c>
      <c r="F1985" s="9" t="s">
        <v>5434</v>
      </c>
      <c r="G1985" s="9" t="s">
        <v>5435</v>
      </c>
      <c r="H1985" s="12" t="s">
        <v>5436</v>
      </c>
      <c r="I1985" s="10">
        <v>45561</v>
      </c>
    </row>
    <row r="1986" spans="1:9" x14ac:dyDescent="0.15">
      <c r="A1986" s="9">
        <v>1985</v>
      </c>
      <c r="B1986" s="9" t="s">
        <v>9</v>
      </c>
      <c r="C1986" s="9">
        <v>1915</v>
      </c>
      <c r="D1986" s="10">
        <v>45639</v>
      </c>
      <c r="E1986" s="13" t="str">
        <f>+HYPERLINK("http://trademark.i-assist.jp/data/china/image_1915th/81124838.pdf","81124838")</f>
        <v>81124838</v>
      </c>
      <c r="F1986" s="9" t="s">
        <v>5437</v>
      </c>
      <c r="G1986" s="9" t="s">
        <v>5438</v>
      </c>
      <c r="H1986" s="9" t="s">
        <v>5439</v>
      </c>
      <c r="I1986" s="10">
        <v>45561</v>
      </c>
    </row>
    <row r="1987" spans="1:9" x14ac:dyDescent="0.15">
      <c r="A1987" s="9">
        <v>1986</v>
      </c>
      <c r="B1987" s="9" t="s">
        <v>9</v>
      </c>
      <c r="C1987" s="9">
        <v>1915</v>
      </c>
      <c r="D1987" s="10">
        <v>45639</v>
      </c>
      <c r="E1987" s="13" t="str">
        <f>+HYPERLINK("http://trademark.i-assist.jp/data/china/image_1915th/81125094.pdf","81125094")</f>
        <v>81125094</v>
      </c>
      <c r="F1987" s="9" t="s">
        <v>5440</v>
      </c>
      <c r="G1987" s="9" t="s">
        <v>5441</v>
      </c>
      <c r="H1987" s="9" t="s">
        <v>5442</v>
      </c>
      <c r="I1987" s="10">
        <v>45561</v>
      </c>
    </row>
    <row r="1988" spans="1:9" x14ac:dyDescent="0.15">
      <c r="A1988" s="9">
        <v>1987</v>
      </c>
      <c r="B1988" s="9" t="s">
        <v>9</v>
      </c>
      <c r="C1988" s="9">
        <v>1915</v>
      </c>
      <c r="D1988" s="10">
        <v>45639</v>
      </c>
      <c r="E1988" s="13" t="str">
        <f>+HYPERLINK("http://trademark.i-assist.jp/data/china/image_1915th/81125160.pdf","81125160")</f>
        <v>81125160</v>
      </c>
      <c r="F1988" s="9" t="s">
        <v>5443</v>
      </c>
      <c r="G1988" s="9" t="s">
        <v>5444</v>
      </c>
      <c r="H1988" s="9" t="s">
        <v>5445</v>
      </c>
      <c r="I1988" s="10">
        <v>45561</v>
      </c>
    </row>
    <row r="1989" spans="1:9" x14ac:dyDescent="0.15">
      <c r="A1989" s="9">
        <v>1988</v>
      </c>
      <c r="B1989" s="9" t="s">
        <v>9</v>
      </c>
      <c r="C1989" s="9">
        <v>1915</v>
      </c>
      <c r="D1989" s="10">
        <v>45639</v>
      </c>
      <c r="E1989" s="13" t="str">
        <f>+HYPERLINK("http://trademark.i-assist.jp/data/china/image_1915th/81125187.pdf","81125187")</f>
        <v>81125187</v>
      </c>
      <c r="F1989" s="9" t="s">
        <v>5446</v>
      </c>
      <c r="G1989" s="12" t="s">
        <v>5447</v>
      </c>
      <c r="H1989" s="9" t="s">
        <v>5448</v>
      </c>
      <c r="I1989" s="10">
        <v>45561</v>
      </c>
    </row>
    <row r="1990" spans="1:9" x14ac:dyDescent="0.15">
      <c r="A1990" s="9">
        <v>1989</v>
      </c>
      <c r="B1990" s="9" t="s">
        <v>9</v>
      </c>
      <c r="C1990" s="9">
        <v>1915</v>
      </c>
      <c r="D1990" s="10">
        <v>45639</v>
      </c>
      <c r="E1990" s="13" t="str">
        <f>+HYPERLINK("http://trademark.i-assist.jp/data/china/image_1915th/81125246.pdf","81125246")</f>
        <v>81125246</v>
      </c>
      <c r="F1990" s="9" t="s">
        <v>5449</v>
      </c>
      <c r="G1990" s="12" t="s">
        <v>5450</v>
      </c>
      <c r="H1990" s="9" t="s">
        <v>5451</v>
      </c>
      <c r="I1990" s="10">
        <v>45561</v>
      </c>
    </row>
    <row r="1991" spans="1:9" x14ac:dyDescent="0.15">
      <c r="A1991" s="9">
        <v>1990</v>
      </c>
      <c r="B1991" s="9" t="s">
        <v>9</v>
      </c>
      <c r="C1991" s="9">
        <v>1915</v>
      </c>
      <c r="D1991" s="10">
        <v>45639</v>
      </c>
      <c r="E1991" s="13" t="str">
        <f>+HYPERLINK("http://trademark.i-assist.jp/data/china/image_1915th/81125379.pdf","81125379")</f>
        <v>81125379</v>
      </c>
      <c r="F1991" s="12" t="s">
        <v>5452</v>
      </c>
      <c r="G1991" s="9" t="s">
        <v>5453</v>
      </c>
      <c r="H1991" s="12" t="s">
        <v>5454</v>
      </c>
      <c r="I1991" s="10">
        <v>45561</v>
      </c>
    </row>
    <row r="1992" spans="1:9" x14ac:dyDescent="0.15">
      <c r="A1992" s="9">
        <v>1991</v>
      </c>
      <c r="B1992" s="9" t="s">
        <v>9</v>
      </c>
      <c r="C1992" s="9">
        <v>1915</v>
      </c>
      <c r="D1992" s="10">
        <v>45639</v>
      </c>
      <c r="E1992" s="13" t="str">
        <f>+HYPERLINK("http://trademark.i-assist.jp/data/china/image_1915th/81125607.pdf","81125607")</f>
        <v>81125607</v>
      </c>
      <c r="F1992" s="12" t="s">
        <v>5455</v>
      </c>
      <c r="G1992" s="9" t="s">
        <v>5456</v>
      </c>
      <c r="H1992" s="9" t="s">
        <v>5457</v>
      </c>
      <c r="I1992" s="10">
        <v>45561</v>
      </c>
    </row>
    <row r="1993" spans="1:9" x14ac:dyDescent="0.15">
      <c r="A1993" s="9">
        <v>1992</v>
      </c>
      <c r="B1993" s="9" t="s">
        <v>9</v>
      </c>
      <c r="C1993" s="9">
        <v>1915</v>
      </c>
      <c r="D1993" s="10">
        <v>45639</v>
      </c>
      <c r="E1993" s="13" t="str">
        <f>+HYPERLINK("http://trademark.i-assist.jp/data/china/image_1915th/81125820.pdf","81125820")</f>
        <v>81125820</v>
      </c>
      <c r="F1993" s="9" t="s">
        <v>5458</v>
      </c>
      <c r="G1993" s="12" t="s">
        <v>5459</v>
      </c>
      <c r="H1993" s="9" t="s">
        <v>5460</v>
      </c>
      <c r="I1993" s="10">
        <v>45561</v>
      </c>
    </row>
    <row r="1994" spans="1:9" x14ac:dyDescent="0.15">
      <c r="A1994" s="9">
        <v>1993</v>
      </c>
      <c r="B1994" s="9" t="s">
        <v>9</v>
      </c>
      <c r="C1994" s="9">
        <v>1915</v>
      </c>
      <c r="D1994" s="10">
        <v>45639</v>
      </c>
      <c r="E1994" s="13" t="str">
        <f>+HYPERLINK("http://trademark.i-assist.jp/data/china/image_1915th/81126442.pdf","81126442")</f>
        <v>81126442</v>
      </c>
      <c r="F1994" s="9" t="s">
        <v>5461</v>
      </c>
      <c r="G1994" s="9" t="s">
        <v>5395</v>
      </c>
      <c r="H1994" s="9" t="s">
        <v>5462</v>
      </c>
      <c r="I1994" s="10">
        <v>45561</v>
      </c>
    </row>
    <row r="1995" spans="1:9" x14ac:dyDescent="0.15">
      <c r="A1995" s="9">
        <v>1994</v>
      </c>
      <c r="B1995" s="9" t="s">
        <v>9</v>
      </c>
      <c r="C1995" s="9">
        <v>1915</v>
      </c>
      <c r="D1995" s="10">
        <v>45639</v>
      </c>
      <c r="E1995" s="13" t="str">
        <f>+HYPERLINK("http://trademark.i-assist.jp/data/china/image_1915th/81126839.pdf","81126839")</f>
        <v>81126839</v>
      </c>
      <c r="F1995" s="12" t="s">
        <v>15</v>
      </c>
      <c r="G1995" s="9" t="s">
        <v>5463</v>
      </c>
      <c r="H1995" s="9" t="s">
        <v>5464</v>
      </c>
      <c r="I1995" s="10">
        <v>45561</v>
      </c>
    </row>
    <row r="1996" spans="1:9" x14ac:dyDescent="0.15">
      <c r="A1996" s="9">
        <v>1995</v>
      </c>
      <c r="B1996" s="9" t="s">
        <v>9</v>
      </c>
      <c r="C1996" s="9">
        <v>1915</v>
      </c>
      <c r="D1996" s="10">
        <v>45639</v>
      </c>
      <c r="E1996" s="13" t="str">
        <f>+HYPERLINK("http://trademark.i-assist.jp/data/china/image_1915th/81127364.pdf","81127364")</f>
        <v>81127364</v>
      </c>
      <c r="F1996" s="12" t="s">
        <v>5465</v>
      </c>
      <c r="G1996" s="9" t="s">
        <v>5466</v>
      </c>
      <c r="H1996" s="9" t="s">
        <v>5467</v>
      </c>
      <c r="I1996" s="10">
        <v>45561</v>
      </c>
    </row>
    <row r="1997" spans="1:9" x14ac:dyDescent="0.15">
      <c r="A1997" s="9">
        <v>1996</v>
      </c>
      <c r="B1997" s="9" t="s">
        <v>9</v>
      </c>
      <c r="C1997" s="9">
        <v>1915</v>
      </c>
      <c r="D1997" s="10">
        <v>45639</v>
      </c>
      <c r="E1997" s="13" t="str">
        <f>+HYPERLINK("http://trademark.i-assist.jp/data/china/image_1915th/81127472.pdf","81127472")</f>
        <v>81127472</v>
      </c>
      <c r="F1997" s="9" t="s">
        <v>5468</v>
      </c>
      <c r="G1997" s="9" t="s">
        <v>5469</v>
      </c>
      <c r="H1997" s="9" t="s">
        <v>5470</v>
      </c>
      <c r="I1997" s="10">
        <v>45561</v>
      </c>
    </row>
    <row r="1998" spans="1:9" x14ac:dyDescent="0.15">
      <c r="A1998" s="9">
        <v>1997</v>
      </c>
      <c r="B1998" s="9" t="s">
        <v>9</v>
      </c>
      <c r="C1998" s="9">
        <v>1915</v>
      </c>
      <c r="D1998" s="10">
        <v>45639</v>
      </c>
      <c r="E1998" s="13" t="str">
        <f>+HYPERLINK("http://trademark.i-assist.jp/data/china/image_1915th/81127546.pdf","81127546")</f>
        <v>81127546</v>
      </c>
      <c r="F1998" s="9" t="s">
        <v>5471</v>
      </c>
      <c r="G1998" s="12" t="s">
        <v>1096</v>
      </c>
      <c r="H1998" s="9" t="s">
        <v>5472</v>
      </c>
      <c r="I1998" s="10">
        <v>45561</v>
      </c>
    </row>
    <row r="1999" spans="1:9" x14ac:dyDescent="0.15">
      <c r="A1999" s="9">
        <v>1998</v>
      </c>
      <c r="B1999" s="9" t="s">
        <v>9</v>
      </c>
      <c r="C1999" s="9">
        <v>1915</v>
      </c>
      <c r="D1999" s="10">
        <v>45639</v>
      </c>
      <c r="E1999" s="13" t="str">
        <f>+HYPERLINK("http://trademark.i-assist.jp/data/china/image_1915th/81127565.pdf","81127565")</f>
        <v>81127565</v>
      </c>
      <c r="F1999" s="9" t="s">
        <v>5473</v>
      </c>
      <c r="G1999" s="12" t="s">
        <v>1096</v>
      </c>
      <c r="H1999" s="9" t="s">
        <v>5474</v>
      </c>
      <c r="I1999" s="10">
        <v>45561</v>
      </c>
    </row>
    <row r="2000" spans="1:9" x14ac:dyDescent="0.15">
      <c r="A2000" s="9">
        <v>1999</v>
      </c>
      <c r="B2000" s="9" t="s">
        <v>9</v>
      </c>
      <c r="C2000" s="9">
        <v>1915</v>
      </c>
      <c r="D2000" s="10">
        <v>45639</v>
      </c>
      <c r="E2000" s="13" t="str">
        <f>+HYPERLINK("http://trademark.i-assist.jp/data/china/image_1915th/81127588.pdf","81127588")</f>
        <v>81127588</v>
      </c>
      <c r="F2000" s="9" t="s">
        <v>5475</v>
      </c>
      <c r="G2000" s="12" t="s">
        <v>5476</v>
      </c>
      <c r="H2000" s="12" t="s">
        <v>5477</v>
      </c>
      <c r="I2000" s="10">
        <v>45561</v>
      </c>
    </row>
    <row r="2001" spans="1:9" x14ac:dyDescent="0.15">
      <c r="A2001" s="9">
        <v>2000</v>
      </c>
      <c r="B2001" s="9" t="s">
        <v>9</v>
      </c>
      <c r="C2001" s="9">
        <v>1915</v>
      </c>
      <c r="D2001" s="10">
        <v>45639</v>
      </c>
      <c r="E2001" s="13" t="str">
        <f>+HYPERLINK("http://trademark.i-assist.jp/data/china/image_1915th/81127653.pdf","81127653")</f>
        <v>81127653</v>
      </c>
      <c r="F2001" s="9" t="s">
        <v>5478</v>
      </c>
      <c r="G2001" s="9" t="s">
        <v>5479</v>
      </c>
      <c r="H2001" s="9" t="s">
        <v>5480</v>
      </c>
      <c r="I2001" s="10">
        <v>45561</v>
      </c>
    </row>
    <row r="2002" spans="1:9" x14ac:dyDescent="0.15">
      <c r="A2002" s="9">
        <v>2001</v>
      </c>
      <c r="B2002" s="9" t="s">
        <v>9</v>
      </c>
      <c r="C2002" s="9">
        <v>1915</v>
      </c>
      <c r="D2002" s="10">
        <v>45639</v>
      </c>
      <c r="E2002" s="13" t="str">
        <f>+HYPERLINK("http://trademark.i-assist.jp/data/china/image_1915th/81127748.pdf","81127748")</f>
        <v>81127748</v>
      </c>
      <c r="F2002" s="9" t="s">
        <v>5481</v>
      </c>
      <c r="G2002" s="12" t="s">
        <v>40</v>
      </c>
      <c r="H2002" s="9" t="s">
        <v>5482</v>
      </c>
      <c r="I2002" s="10">
        <v>45561</v>
      </c>
    </row>
    <row r="2003" spans="1:9" x14ac:dyDescent="0.15">
      <c r="A2003" s="9">
        <v>2002</v>
      </c>
      <c r="B2003" s="9" t="s">
        <v>9</v>
      </c>
      <c r="C2003" s="9">
        <v>1915</v>
      </c>
      <c r="D2003" s="10">
        <v>45639</v>
      </c>
      <c r="E2003" s="13" t="str">
        <f>+HYPERLINK("http://trademark.i-assist.jp/data/china/image_1915th/81128209.pdf","81128209")</f>
        <v>81128209</v>
      </c>
      <c r="F2003" s="12" t="s">
        <v>5483</v>
      </c>
      <c r="G2003" s="12" t="s">
        <v>5484</v>
      </c>
      <c r="H2003" s="9" t="s">
        <v>5485</v>
      </c>
      <c r="I2003" s="10">
        <v>45561</v>
      </c>
    </row>
    <row r="2004" spans="1:9" x14ac:dyDescent="0.15">
      <c r="A2004" s="9">
        <v>2003</v>
      </c>
      <c r="B2004" s="9" t="s">
        <v>9</v>
      </c>
      <c r="C2004" s="9">
        <v>1915</v>
      </c>
      <c r="D2004" s="10">
        <v>45639</v>
      </c>
      <c r="E2004" s="13" t="str">
        <f>+HYPERLINK("http://trademark.i-assist.jp/data/china/image_1915th/81128299.pdf","81128299")</f>
        <v>81128299</v>
      </c>
      <c r="F2004" s="12" t="s">
        <v>5486</v>
      </c>
      <c r="G2004" s="9" t="s">
        <v>5487</v>
      </c>
      <c r="H2004" s="9" t="s">
        <v>5488</v>
      </c>
      <c r="I2004" s="10">
        <v>45561</v>
      </c>
    </row>
    <row r="2005" spans="1:9" x14ac:dyDescent="0.15">
      <c r="A2005" s="9">
        <v>2004</v>
      </c>
      <c r="B2005" s="9" t="s">
        <v>9</v>
      </c>
      <c r="C2005" s="9">
        <v>1915</v>
      </c>
      <c r="D2005" s="10">
        <v>45639</v>
      </c>
      <c r="E2005" s="13" t="str">
        <f>+HYPERLINK("http://trademark.i-assist.jp/data/china/image_1915th/81128410.pdf","81128410")</f>
        <v>81128410</v>
      </c>
      <c r="F2005" s="12" t="s">
        <v>5489</v>
      </c>
      <c r="G2005" s="12" t="s">
        <v>5450</v>
      </c>
      <c r="H2005" s="9" t="s">
        <v>5490</v>
      </c>
      <c r="I2005" s="10">
        <v>45561</v>
      </c>
    </row>
    <row r="2006" spans="1:9" x14ac:dyDescent="0.15">
      <c r="A2006" s="9">
        <v>2005</v>
      </c>
      <c r="B2006" s="9" t="s">
        <v>9</v>
      </c>
      <c r="C2006" s="9">
        <v>1915</v>
      </c>
      <c r="D2006" s="10">
        <v>45639</v>
      </c>
      <c r="E2006" s="13" t="str">
        <f>+HYPERLINK("http://trademark.i-assist.jp/data/china/image_1915th/81128428.pdf","81128428")</f>
        <v>81128428</v>
      </c>
      <c r="F2006" s="9" t="s">
        <v>5491</v>
      </c>
      <c r="G2006" s="12" t="s">
        <v>5492</v>
      </c>
      <c r="H2006" s="9" t="s">
        <v>5493</v>
      </c>
      <c r="I2006" s="10">
        <v>45561</v>
      </c>
    </row>
    <row r="2007" spans="1:9" x14ac:dyDescent="0.15">
      <c r="A2007" s="9">
        <v>2006</v>
      </c>
      <c r="B2007" s="9" t="s">
        <v>9</v>
      </c>
      <c r="C2007" s="9">
        <v>1915</v>
      </c>
      <c r="D2007" s="10">
        <v>45639</v>
      </c>
      <c r="E2007" s="13" t="str">
        <f>+HYPERLINK("http://trademark.i-assist.jp/data/china/image_1915th/81128596.pdf","81128596")</f>
        <v>81128596</v>
      </c>
      <c r="F2007" s="9" t="s">
        <v>5494</v>
      </c>
      <c r="G2007" s="12" t="s">
        <v>5495</v>
      </c>
      <c r="H2007" s="12" t="s">
        <v>5496</v>
      </c>
      <c r="I2007" s="10">
        <v>45561</v>
      </c>
    </row>
    <row r="2008" spans="1:9" x14ac:dyDescent="0.15">
      <c r="A2008" s="9">
        <v>2007</v>
      </c>
      <c r="B2008" s="9" t="s">
        <v>9</v>
      </c>
      <c r="C2008" s="9">
        <v>1915</v>
      </c>
      <c r="D2008" s="10">
        <v>45639</v>
      </c>
      <c r="E2008" s="13" t="str">
        <f>+HYPERLINK("http://trademark.i-assist.jp/data/china/image_1915th/81128722.pdf","81128722")</f>
        <v>81128722</v>
      </c>
      <c r="F2008" s="9" t="s">
        <v>5497</v>
      </c>
      <c r="G2008" s="12" t="s">
        <v>5498</v>
      </c>
      <c r="H2008" s="9" t="s">
        <v>5499</v>
      </c>
      <c r="I2008" s="10">
        <v>45561</v>
      </c>
    </row>
    <row r="2009" spans="1:9" x14ac:dyDescent="0.15">
      <c r="A2009" s="9">
        <v>2008</v>
      </c>
      <c r="B2009" s="9" t="s">
        <v>9</v>
      </c>
      <c r="C2009" s="9">
        <v>1915</v>
      </c>
      <c r="D2009" s="10">
        <v>45639</v>
      </c>
      <c r="E2009" s="13" t="str">
        <f>+HYPERLINK("http://trademark.i-assist.jp/data/china/image_1915th/81128780.pdf","81128780")</f>
        <v>81128780</v>
      </c>
      <c r="F2009" s="9" t="s">
        <v>5500</v>
      </c>
      <c r="G2009" s="9" t="s">
        <v>5501</v>
      </c>
      <c r="H2009" s="9" t="s">
        <v>5502</v>
      </c>
      <c r="I2009" s="10">
        <v>45561</v>
      </c>
    </row>
    <row r="2010" spans="1:9" x14ac:dyDescent="0.15">
      <c r="A2010" s="9">
        <v>2009</v>
      </c>
      <c r="B2010" s="9" t="s">
        <v>9</v>
      </c>
      <c r="C2010" s="9">
        <v>1915</v>
      </c>
      <c r="D2010" s="10">
        <v>45639</v>
      </c>
      <c r="E2010" s="13" t="str">
        <f>+HYPERLINK("http://trademark.i-assist.jp/data/china/image_1915th/81129196.pdf","81129196")</f>
        <v>81129196</v>
      </c>
      <c r="F2010" s="9" t="s">
        <v>5503</v>
      </c>
      <c r="G2010" s="9" t="s">
        <v>5479</v>
      </c>
      <c r="H2010" s="9" t="s">
        <v>5504</v>
      </c>
      <c r="I2010" s="10">
        <v>45561</v>
      </c>
    </row>
    <row r="2011" spans="1:9" x14ac:dyDescent="0.15">
      <c r="A2011" s="9">
        <v>2010</v>
      </c>
      <c r="B2011" s="9" t="s">
        <v>9</v>
      </c>
      <c r="C2011" s="9">
        <v>1915</v>
      </c>
      <c r="D2011" s="10">
        <v>45639</v>
      </c>
      <c r="E2011" s="13" t="str">
        <f>+HYPERLINK("http://trademark.i-assist.jp/data/china/image_1915th/81129561.pdf","81129561")</f>
        <v>81129561</v>
      </c>
      <c r="F2011" s="12" t="s">
        <v>5505</v>
      </c>
      <c r="G2011" s="12" t="s">
        <v>5506</v>
      </c>
      <c r="H2011" s="12" t="s">
        <v>5507</v>
      </c>
      <c r="I2011" s="10">
        <v>45561</v>
      </c>
    </row>
    <row r="2012" spans="1:9" x14ac:dyDescent="0.15">
      <c r="A2012" s="9">
        <v>2011</v>
      </c>
      <c r="B2012" s="9" t="s">
        <v>9</v>
      </c>
      <c r="C2012" s="9">
        <v>1915</v>
      </c>
      <c r="D2012" s="10">
        <v>45639</v>
      </c>
      <c r="E2012" s="13" t="str">
        <f>+HYPERLINK("http://trademark.i-assist.jp/data/china/image_1915th/81129676.pdf","81129676")</f>
        <v>81129676</v>
      </c>
      <c r="F2012" s="12" t="s">
        <v>5508</v>
      </c>
      <c r="G2012" s="12" t="s">
        <v>5509</v>
      </c>
      <c r="H2012" s="9" t="s">
        <v>5510</v>
      </c>
      <c r="I2012" s="10">
        <v>45561</v>
      </c>
    </row>
    <row r="2013" spans="1:9" x14ac:dyDescent="0.15">
      <c r="A2013" s="9">
        <v>2012</v>
      </c>
      <c r="B2013" s="9" t="s">
        <v>9</v>
      </c>
      <c r="C2013" s="9">
        <v>1915</v>
      </c>
      <c r="D2013" s="10">
        <v>45639</v>
      </c>
      <c r="E2013" s="13" t="str">
        <f>+HYPERLINK("http://trademark.i-assist.jp/data/china/image_1915th/81129968.pdf","81129968")</f>
        <v>81129968</v>
      </c>
      <c r="F2013" s="9" t="s">
        <v>5511</v>
      </c>
      <c r="G2013" s="12" t="s">
        <v>5450</v>
      </c>
      <c r="H2013" s="9" t="s">
        <v>5512</v>
      </c>
      <c r="I2013" s="10">
        <v>45561</v>
      </c>
    </row>
    <row r="2014" spans="1:9" x14ac:dyDescent="0.15">
      <c r="A2014" s="9">
        <v>2013</v>
      </c>
      <c r="B2014" s="9" t="s">
        <v>9</v>
      </c>
      <c r="C2014" s="9">
        <v>1915</v>
      </c>
      <c r="D2014" s="10">
        <v>45639</v>
      </c>
      <c r="E2014" s="13" t="str">
        <f>+HYPERLINK("http://trademark.i-assist.jp/data/china/image_1915th/81129975.pdf","81129975")</f>
        <v>81129975</v>
      </c>
      <c r="F2014" s="9" t="s">
        <v>5513</v>
      </c>
      <c r="G2014" s="12" t="s">
        <v>2413</v>
      </c>
      <c r="H2014" s="9" t="s">
        <v>5514</v>
      </c>
      <c r="I2014" s="10">
        <v>45561</v>
      </c>
    </row>
    <row r="2015" spans="1:9" x14ac:dyDescent="0.15">
      <c r="A2015" s="9">
        <v>2014</v>
      </c>
      <c r="B2015" s="9" t="s">
        <v>9</v>
      </c>
      <c r="C2015" s="9">
        <v>1915</v>
      </c>
      <c r="D2015" s="10">
        <v>45639</v>
      </c>
      <c r="E2015" s="13" t="str">
        <f>+HYPERLINK("http://trademark.i-assist.jp/data/china/image_1915th/81130241.pdf","81130241")</f>
        <v>81130241</v>
      </c>
      <c r="F2015" s="12" t="s">
        <v>5515</v>
      </c>
      <c r="G2015" s="9" t="s">
        <v>5466</v>
      </c>
      <c r="H2015" s="9" t="s">
        <v>5516</v>
      </c>
      <c r="I2015" s="10">
        <v>45561</v>
      </c>
    </row>
    <row r="2016" spans="1:9" x14ac:dyDescent="0.15">
      <c r="A2016" s="9">
        <v>2015</v>
      </c>
      <c r="B2016" s="9" t="s">
        <v>9</v>
      </c>
      <c r="C2016" s="9">
        <v>1915</v>
      </c>
      <c r="D2016" s="10">
        <v>45639</v>
      </c>
      <c r="E2016" s="13" t="str">
        <f>+HYPERLINK("http://trademark.i-assist.jp/data/china/image_1915th/81130830.pdf","81130830")</f>
        <v>81130830</v>
      </c>
      <c r="F2016" s="12" t="s">
        <v>15</v>
      </c>
      <c r="G2016" s="9" t="s">
        <v>5517</v>
      </c>
      <c r="H2016" s="9" t="s">
        <v>5518</v>
      </c>
      <c r="I2016" s="10">
        <v>45561</v>
      </c>
    </row>
    <row r="2017" spans="1:9" x14ac:dyDescent="0.15">
      <c r="A2017" s="9">
        <v>2016</v>
      </c>
      <c r="B2017" s="9" t="s">
        <v>9</v>
      </c>
      <c r="C2017" s="9">
        <v>1915</v>
      </c>
      <c r="D2017" s="10">
        <v>45639</v>
      </c>
      <c r="E2017" s="13" t="str">
        <f>+HYPERLINK("http://trademark.i-assist.jp/data/china/image_1915th/81131020.pdf","81131020")</f>
        <v>81131020</v>
      </c>
      <c r="F2017" s="9" t="s">
        <v>5519</v>
      </c>
      <c r="G2017" s="9" t="s">
        <v>4653</v>
      </c>
      <c r="H2017" s="9" t="s">
        <v>5520</v>
      </c>
      <c r="I2017" s="10">
        <v>45561</v>
      </c>
    </row>
    <row r="2018" spans="1:9" x14ac:dyDescent="0.15">
      <c r="A2018" s="9">
        <v>2017</v>
      </c>
      <c r="B2018" s="9" t="s">
        <v>9</v>
      </c>
      <c r="C2018" s="9">
        <v>1915</v>
      </c>
      <c r="D2018" s="10">
        <v>45639</v>
      </c>
      <c r="E2018" s="13" t="str">
        <f>+HYPERLINK("http://trademark.i-assist.jp/data/china/image_1915th/81131319.pdf","81131319")</f>
        <v>81131319</v>
      </c>
      <c r="F2018" s="9" t="s">
        <v>5521</v>
      </c>
      <c r="G2018" s="12" t="s">
        <v>5522</v>
      </c>
      <c r="H2018" s="9" t="s">
        <v>5523</v>
      </c>
      <c r="I2018" s="10">
        <v>45561</v>
      </c>
    </row>
    <row r="2019" spans="1:9" x14ac:dyDescent="0.15">
      <c r="A2019" s="9">
        <v>2018</v>
      </c>
      <c r="B2019" s="9" t="s">
        <v>9</v>
      </c>
      <c r="C2019" s="9">
        <v>1915</v>
      </c>
      <c r="D2019" s="10">
        <v>45639</v>
      </c>
      <c r="E2019" s="13" t="str">
        <f>+HYPERLINK("http://trademark.i-assist.jp/data/china/image_1915th/81131473.pdf","81131473")</f>
        <v>81131473</v>
      </c>
      <c r="F2019" s="9" t="s">
        <v>5524</v>
      </c>
      <c r="G2019" s="11" t="s">
        <v>5525</v>
      </c>
      <c r="H2019" s="9" t="s">
        <v>5526</v>
      </c>
      <c r="I2019" s="10">
        <v>45561</v>
      </c>
    </row>
    <row r="2020" spans="1:9" x14ac:dyDescent="0.15">
      <c r="A2020" s="9">
        <v>2019</v>
      </c>
      <c r="B2020" s="9" t="s">
        <v>9</v>
      </c>
      <c r="C2020" s="9">
        <v>1915</v>
      </c>
      <c r="D2020" s="10">
        <v>45639</v>
      </c>
      <c r="E2020" s="13" t="str">
        <f>+HYPERLINK("http://trademark.i-assist.jp/data/china/image_1915th/81131657.pdf","81131657")</f>
        <v>81131657</v>
      </c>
      <c r="F2020" s="9" t="s">
        <v>5527</v>
      </c>
      <c r="G2020" s="9" t="s">
        <v>5528</v>
      </c>
      <c r="H2020" s="9" t="s">
        <v>5529</v>
      </c>
      <c r="I2020" s="10">
        <v>45561</v>
      </c>
    </row>
    <row r="2021" spans="1:9" x14ac:dyDescent="0.15">
      <c r="A2021" s="9">
        <v>2020</v>
      </c>
      <c r="B2021" s="9" t="s">
        <v>9</v>
      </c>
      <c r="C2021" s="9">
        <v>1915</v>
      </c>
      <c r="D2021" s="10">
        <v>45639</v>
      </c>
      <c r="E2021" s="13" t="str">
        <f>+HYPERLINK("http://trademark.i-assist.jp/data/china/image_1915th/81131713.pdf","81131713")</f>
        <v>81131713</v>
      </c>
      <c r="F2021" s="9" t="s">
        <v>5530</v>
      </c>
      <c r="G2021" s="9" t="s">
        <v>5531</v>
      </c>
      <c r="H2021" s="9" t="s">
        <v>5532</v>
      </c>
      <c r="I2021" s="10">
        <v>45561</v>
      </c>
    </row>
    <row r="2022" spans="1:9" x14ac:dyDescent="0.15">
      <c r="A2022" s="9">
        <v>2021</v>
      </c>
      <c r="B2022" s="9" t="s">
        <v>9</v>
      </c>
      <c r="C2022" s="9">
        <v>1915</v>
      </c>
      <c r="D2022" s="10">
        <v>45639</v>
      </c>
      <c r="E2022" s="13" t="str">
        <f>+HYPERLINK("http://trademark.i-assist.jp/data/china/image_1915th/81131828.pdf","81131828")</f>
        <v>81131828</v>
      </c>
      <c r="F2022" s="9" t="s">
        <v>5533</v>
      </c>
      <c r="G2022" s="9" t="s">
        <v>5534</v>
      </c>
      <c r="H2022" s="9" t="s">
        <v>5535</v>
      </c>
      <c r="I2022" s="10">
        <v>45561</v>
      </c>
    </row>
    <row r="2023" spans="1:9" x14ac:dyDescent="0.15">
      <c r="A2023" s="9">
        <v>2022</v>
      </c>
      <c r="B2023" s="9" t="s">
        <v>9</v>
      </c>
      <c r="C2023" s="9">
        <v>1915</v>
      </c>
      <c r="D2023" s="10">
        <v>45639</v>
      </c>
      <c r="E2023" s="13" t="str">
        <f>+HYPERLINK("http://trademark.i-assist.jp/data/china/image_1915th/81132354.pdf","81132354")</f>
        <v>81132354</v>
      </c>
      <c r="F2023" s="9" t="s">
        <v>5536</v>
      </c>
      <c r="G2023" s="9" t="s">
        <v>51</v>
      </c>
      <c r="H2023" s="9" t="s">
        <v>5537</v>
      </c>
      <c r="I2023" s="10">
        <v>45561</v>
      </c>
    </row>
    <row r="2024" spans="1:9" x14ac:dyDescent="0.15">
      <c r="A2024" s="9">
        <v>2023</v>
      </c>
      <c r="B2024" s="9" t="s">
        <v>9</v>
      </c>
      <c r="C2024" s="9">
        <v>1915</v>
      </c>
      <c r="D2024" s="10">
        <v>45639</v>
      </c>
      <c r="E2024" s="13" t="str">
        <f>+HYPERLINK("http://trademark.i-assist.jp/data/china/image_1915th/81132817.pdf","81132817")</f>
        <v>81132817</v>
      </c>
      <c r="F2024" s="9" t="s">
        <v>5399</v>
      </c>
      <c r="G2024" s="12" t="s">
        <v>5400</v>
      </c>
      <c r="H2024" s="9" t="s">
        <v>5538</v>
      </c>
      <c r="I2024" s="10">
        <v>45561</v>
      </c>
    </row>
    <row r="2025" spans="1:9" x14ac:dyDescent="0.15">
      <c r="A2025" s="9">
        <v>2024</v>
      </c>
      <c r="B2025" s="9" t="s">
        <v>9</v>
      </c>
      <c r="C2025" s="9">
        <v>1915</v>
      </c>
      <c r="D2025" s="10">
        <v>45639</v>
      </c>
      <c r="E2025" s="13" t="str">
        <f>+HYPERLINK("http://trademark.i-assist.jp/data/china/image_1915th/81133295.pdf","81133295")</f>
        <v>81133295</v>
      </c>
      <c r="F2025" s="9" t="s">
        <v>5539</v>
      </c>
      <c r="G2025" s="12" t="s">
        <v>3692</v>
      </c>
      <c r="H2025" s="9" t="s">
        <v>5540</v>
      </c>
      <c r="I2025" s="10">
        <v>45561</v>
      </c>
    </row>
    <row r="2026" spans="1:9" x14ac:dyDescent="0.15">
      <c r="A2026" s="9">
        <v>2025</v>
      </c>
      <c r="B2026" s="9" t="s">
        <v>9</v>
      </c>
      <c r="C2026" s="9">
        <v>1915</v>
      </c>
      <c r="D2026" s="10">
        <v>45639</v>
      </c>
      <c r="E2026" s="13" t="str">
        <f>+HYPERLINK("http://trademark.i-assist.jp/data/china/image_1915th/81133398.pdf","81133398")</f>
        <v>81133398</v>
      </c>
      <c r="F2026" s="9" t="s">
        <v>5541</v>
      </c>
      <c r="G2026" s="12" t="s">
        <v>5542</v>
      </c>
      <c r="H2026" s="9" t="s">
        <v>5543</v>
      </c>
      <c r="I2026" s="10">
        <v>45561</v>
      </c>
    </row>
    <row r="2027" spans="1:9" x14ac:dyDescent="0.15">
      <c r="A2027" s="9">
        <v>2026</v>
      </c>
      <c r="B2027" s="9" t="s">
        <v>9</v>
      </c>
      <c r="C2027" s="9">
        <v>1915</v>
      </c>
      <c r="D2027" s="10">
        <v>45639</v>
      </c>
      <c r="E2027" s="13" t="str">
        <f>+HYPERLINK("http://trademark.i-assist.jp/data/china/image_1915th/81133433.pdf","81133433")</f>
        <v>81133433</v>
      </c>
      <c r="F2027" s="9" t="s">
        <v>5544</v>
      </c>
      <c r="G2027" s="9" t="s">
        <v>5545</v>
      </c>
      <c r="H2027" s="9" t="s">
        <v>5546</v>
      </c>
      <c r="I2027" s="10">
        <v>45561</v>
      </c>
    </row>
    <row r="2028" spans="1:9" x14ac:dyDescent="0.15">
      <c r="A2028" s="9">
        <v>2027</v>
      </c>
      <c r="B2028" s="9" t="s">
        <v>9</v>
      </c>
      <c r="C2028" s="9">
        <v>1915</v>
      </c>
      <c r="D2028" s="10">
        <v>45639</v>
      </c>
      <c r="E2028" s="13" t="str">
        <f>+HYPERLINK("http://trademark.i-assist.jp/data/china/image_1915th/81133471.pdf","81133471")</f>
        <v>81133471</v>
      </c>
      <c r="F2028" s="9" t="s">
        <v>5547</v>
      </c>
      <c r="G2028" s="9" t="s">
        <v>5469</v>
      </c>
      <c r="H2028" s="9" t="s">
        <v>5548</v>
      </c>
      <c r="I2028" s="10">
        <v>45561</v>
      </c>
    </row>
    <row r="2029" spans="1:9" x14ac:dyDescent="0.15">
      <c r="A2029" s="9">
        <v>2028</v>
      </c>
      <c r="B2029" s="9" t="s">
        <v>9</v>
      </c>
      <c r="C2029" s="9">
        <v>1915</v>
      </c>
      <c r="D2029" s="10">
        <v>45639</v>
      </c>
      <c r="E2029" s="13" t="str">
        <f>+HYPERLINK("http://trademark.i-assist.jp/data/china/image_1915th/81133648.pdf","81133648")</f>
        <v>81133648</v>
      </c>
      <c r="F2029" s="12" t="s">
        <v>5549</v>
      </c>
      <c r="G2029" s="9" t="s">
        <v>5550</v>
      </c>
      <c r="H2029" s="9" t="s">
        <v>5551</v>
      </c>
      <c r="I2029" s="10">
        <v>45561</v>
      </c>
    </row>
    <row r="2030" spans="1:9" x14ac:dyDescent="0.15">
      <c r="A2030" s="9">
        <v>2029</v>
      </c>
      <c r="B2030" s="9" t="s">
        <v>9</v>
      </c>
      <c r="C2030" s="9">
        <v>1915</v>
      </c>
      <c r="D2030" s="10">
        <v>45639</v>
      </c>
      <c r="E2030" s="13" t="str">
        <f>+HYPERLINK("http://trademark.i-assist.jp/data/china/image_1915th/81133687.pdf","81133687")</f>
        <v>81133687</v>
      </c>
      <c r="F2030" s="9" t="s">
        <v>5552</v>
      </c>
      <c r="G2030" s="9" t="s">
        <v>5553</v>
      </c>
      <c r="H2030" s="9" t="s">
        <v>5554</v>
      </c>
      <c r="I2030" s="10">
        <v>45561</v>
      </c>
    </row>
    <row r="2031" spans="1:9" x14ac:dyDescent="0.15">
      <c r="A2031" s="9">
        <v>2030</v>
      </c>
      <c r="B2031" s="9" t="s">
        <v>9</v>
      </c>
      <c r="C2031" s="9">
        <v>1915</v>
      </c>
      <c r="D2031" s="10">
        <v>45639</v>
      </c>
      <c r="E2031" s="13" t="str">
        <f>+HYPERLINK("http://trademark.i-assist.jp/data/china/image_1915th/81133883.pdf","81133883")</f>
        <v>81133883</v>
      </c>
      <c r="F2031" s="9" t="s">
        <v>5555</v>
      </c>
      <c r="G2031" s="9" t="s">
        <v>5556</v>
      </c>
      <c r="H2031" s="9" t="s">
        <v>5557</v>
      </c>
      <c r="I2031" s="10">
        <v>45561</v>
      </c>
    </row>
    <row r="2032" spans="1:9" x14ac:dyDescent="0.15">
      <c r="A2032" s="9">
        <v>2031</v>
      </c>
      <c r="B2032" s="9" t="s">
        <v>9</v>
      </c>
      <c r="C2032" s="9">
        <v>1915</v>
      </c>
      <c r="D2032" s="10">
        <v>45639</v>
      </c>
      <c r="E2032" s="13" t="str">
        <f>+HYPERLINK("http://trademark.i-assist.jp/data/china/image_1915th/81133936.pdf","81133936")</f>
        <v>81133936</v>
      </c>
      <c r="F2032" s="9" t="s">
        <v>5558</v>
      </c>
      <c r="G2032" s="12" t="s">
        <v>5559</v>
      </c>
      <c r="H2032" s="12" t="s">
        <v>5560</v>
      </c>
      <c r="I2032" s="10">
        <v>45561</v>
      </c>
    </row>
    <row r="2033" spans="1:9" x14ac:dyDescent="0.15">
      <c r="A2033" s="9">
        <v>2032</v>
      </c>
      <c r="B2033" s="9" t="s">
        <v>9</v>
      </c>
      <c r="C2033" s="9">
        <v>1915</v>
      </c>
      <c r="D2033" s="10">
        <v>45639</v>
      </c>
      <c r="E2033" s="13" t="str">
        <f>+HYPERLINK("http://trademark.i-assist.jp/data/china/image_1915th/81134367.pdf","81134367")</f>
        <v>81134367</v>
      </c>
      <c r="F2033" s="9" t="s">
        <v>5561</v>
      </c>
      <c r="G2033" s="9" t="s">
        <v>5562</v>
      </c>
      <c r="H2033" s="9" t="s">
        <v>5563</v>
      </c>
      <c r="I2033" s="10">
        <v>45561</v>
      </c>
    </row>
    <row r="2034" spans="1:9" x14ac:dyDescent="0.15">
      <c r="A2034" s="9">
        <v>2033</v>
      </c>
      <c r="B2034" s="9" t="s">
        <v>9</v>
      </c>
      <c r="C2034" s="9">
        <v>1915</v>
      </c>
      <c r="D2034" s="10">
        <v>45639</v>
      </c>
      <c r="E2034" s="13" t="str">
        <f>+HYPERLINK("http://trademark.i-assist.jp/data/china/image_1915th/81134488.pdf","81134488")</f>
        <v>81134488</v>
      </c>
      <c r="F2034" s="9" t="s">
        <v>5564</v>
      </c>
      <c r="G2034" s="12" t="s">
        <v>1096</v>
      </c>
      <c r="H2034" s="9" t="s">
        <v>5565</v>
      </c>
      <c r="I2034" s="10">
        <v>45561</v>
      </c>
    </row>
    <row r="2035" spans="1:9" x14ac:dyDescent="0.15">
      <c r="A2035" s="9">
        <v>2034</v>
      </c>
      <c r="B2035" s="9" t="s">
        <v>9</v>
      </c>
      <c r="C2035" s="9">
        <v>1915</v>
      </c>
      <c r="D2035" s="10">
        <v>45639</v>
      </c>
      <c r="E2035" s="13" t="str">
        <f>+HYPERLINK("http://trademark.i-assist.jp/data/china/image_1915th/81134506.pdf","81134506")</f>
        <v>81134506</v>
      </c>
      <c r="F2035" s="9" t="s">
        <v>5566</v>
      </c>
      <c r="G2035" s="9" t="s">
        <v>5567</v>
      </c>
      <c r="H2035" s="9" t="s">
        <v>5568</v>
      </c>
      <c r="I2035" s="10">
        <v>45561</v>
      </c>
    </row>
    <row r="2036" spans="1:9" x14ac:dyDescent="0.15">
      <c r="A2036" s="9">
        <v>2035</v>
      </c>
      <c r="B2036" s="9" t="s">
        <v>9</v>
      </c>
      <c r="C2036" s="9">
        <v>1915</v>
      </c>
      <c r="D2036" s="10">
        <v>45639</v>
      </c>
      <c r="E2036" s="13" t="str">
        <f>+HYPERLINK("http://trademark.i-assist.jp/data/china/image_1915th/81134610.pdf","81134610")</f>
        <v>81134610</v>
      </c>
      <c r="F2036" s="9" t="s">
        <v>5569</v>
      </c>
      <c r="G2036" s="9" t="s">
        <v>5570</v>
      </c>
      <c r="H2036" s="12" t="s">
        <v>5571</v>
      </c>
      <c r="I2036" s="10">
        <v>45561</v>
      </c>
    </row>
    <row r="2037" spans="1:9" x14ac:dyDescent="0.15">
      <c r="A2037" s="9">
        <v>2036</v>
      </c>
      <c r="B2037" s="9" t="s">
        <v>9</v>
      </c>
      <c r="C2037" s="9">
        <v>1915</v>
      </c>
      <c r="D2037" s="10">
        <v>45639</v>
      </c>
      <c r="E2037" s="13" t="str">
        <f>+HYPERLINK("http://trademark.i-assist.jp/data/china/image_1915th/81134850.pdf","81134850")</f>
        <v>81134850</v>
      </c>
      <c r="F2037" s="9" t="s">
        <v>5572</v>
      </c>
      <c r="G2037" s="9" t="s">
        <v>3599</v>
      </c>
      <c r="H2037" s="9" t="s">
        <v>5573</v>
      </c>
      <c r="I2037" s="10">
        <v>45561</v>
      </c>
    </row>
    <row r="2038" spans="1:9" x14ac:dyDescent="0.15">
      <c r="A2038" s="9">
        <v>2037</v>
      </c>
      <c r="B2038" s="9" t="s">
        <v>9</v>
      </c>
      <c r="C2038" s="9">
        <v>1915</v>
      </c>
      <c r="D2038" s="10">
        <v>45639</v>
      </c>
      <c r="E2038" s="13" t="str">
        <f>+HYPERLINK("http://trademark.i-assist.jp/data/china/image_1915th/81134906.pdf","81134906")</f>
        <v>81134906</v>
      </c>
      <c r="F2038" s="9" t="s">
        <v>5574</v>
      </c>
      <c r="G2038" s="12" t="s">
        <v>5405</v>
      </c>
      <c r="H2038" s="9" t="s">
        <v>5575</v>
      </c>
      <c r="I2038" s="10">
        <v>45561</v>
      </c>
    </row>
    <row r="2039" spans="1:9" x14ac:dyDescent="0.15">
      <c r="A2039" s="9">
        <v>2038</v>
      </c>
      <c r="B2039" s="9" t="s">
        <v>9</v>
      </c>
      <c r="C2039" s="9">
        <v>1915</v>
      </c>
      <c r="D2039" s="10">
        <v>45639</v>
      </c>
      <c r="E2039" s="13" t="str">
        <f>+HYPERLINK("http://trademark.i-assist.jp/data/china/image_1915th/81135140.pdf","81135140")</f>
        <v>81135140</v>
      </c>
      <c r="F2039" s="9" t="s">
        <v>5576</v>
      </c>
      <c r="G2039" s="12" t="s">
        <v>5577</v>
      </c>
      <c r="H2039" s="12" t="s">
        <v>5578</v>
      </c>
      <c r="I2039" s="10">
        <v>45561</v>
      </c>
    </row>
    <row r="2040" spans="1:9" x14ac:dyDescent="0.15">
      <c r="A2040" s="9">
        <v>2039</v>
      </c>
      <c r="B2040" s="9" t="s">
        <v>9</v>
      </c>
      <c r="C2040" s="9">
        <v>1915</v>
      </c>
      <c r="D2040" s="10">
        <v>45639</v>
      </c>
      <c r="E2040" s="13" t="str">
        <f>+HYPERLINK("http://trademark.i-assist.jp/data/china/image_1915th/81135470.pdf","81135470")</f>
        <v>81135470</v>
      </c>
      <c r="F2040" s="9" t="s">
        <v>5579</v>
      </c>
      <c r="G2040" s="9" t="s">
        <v>5580</v>
      </c>
      <c r="H2040" s="9" t="s">
        <v>5581</v>
      </c>
      <c r="I2040" s="10">
        <v>45561</v>
      </c>
    </row>
    <row r="2041" spans="1:9" x14ac:dyDescent="0.15">
      <c r="A2041" s="9">
        <v>2040</v>
      </c>
      <c r="B2041" s="9" t="s">
        <v>9</v>
      </c>
      <c r="C2041" s="9">
        <v>1915</v>
      </c>
      <c r="D2041" s="10">
        <v>45639</v>
      </c>
      <c r="E2041" s="13" t="str">
        <f>+HYPERLINK("http://trademark.i-assist.jp/data/china/image_1915th/81135772.pdf","81135772")</f>
        <v>81135772</v>
      </c>
      <c r="F2041" s="12" t="s">
        <v>5582</v>
      </c>
      <c r="G2041" s="12" t="s">
        <v>5447</v>
      </c>
      <c r="H2041" s="9" t="s">
        <v>5583</v>
      </c>
      <c r="I2041" s="10">
        <v>45561</v>
      </c>
    </row>
    <row r="2042" spans="1:9" x14ac:dyDescent="0.15">
      <c r="A2042" s="9">
        <v>2041</v>
      </c>
      <c r="B2042" s="9" t="s">
        <v>9</v>
      </c>
      <c r="C2042" s="9">
        <v>1915</v>
      </c>
      <c r="D2042" s="10">
        <v>45639</v>
      </c>
      <c r="E2042" s="13" t="str">
        <f>+HYPERLINK("http://trademark.i-assist.jp/data/china/image_1915th/81135776.pdf","81135776")</f>
        <v>81135776</v>
      </c>
      <c r="F2042" s="9" t="s">
        <v>5584</v>
      </c>
      <c r="G2042" s="9" t="s">
        <v>5585</v>
      </c>
      <c r="H2042" s="12" t="s">
        <v>5586</v>
      </c>
      <c r="I2042" s="10">
        <v>45561</v>
      </c>
    </row>
    <row r="2043" spans="1:9" x14ac:dyDescent="0.15">
      <c r="A2043" s="9">
        <v>2042</v>
      </c>
      <c r="B2043" s="9" t="s">
        <v>9</v>
      </c>
      <c r="C2043" s="9">
        <v>1915</v>
      </c>
      <c r="D2043" s="10">
        <v>45639</v>
      </c>
      <c r="E2043" s="13" t="str">
        <f>+HYPERLINK("http://trademark.i-assist.jp/data/china/image_1915th/81135919.pdf","81135919")</f>
        <v>81135919</v>
      </c>
      <c r="F2043" s="9" t="s">
        <v>5587</v>
      </c>
      <c r="G2043" s="9" t="s">
        <v>5588</v>
      </c>
      <c r="H2043" s="9" t="s">
        <v>5589</v>
      </c>
      <c r="I2043" s="10">
        <v>45561</v>
      </c>
    </row>
    <row r="2044" spans="1:9" x14ac:dyDescent="0.15">
      <c r="A2044" s="9">
        <v>2043</v>
      </c>
      <c r="B2044" s="9" t="s">
        <v>9</v>
      </c>
      <c r="C2044" s="9">
        <v>1915</v>
      </c>
      <c r="D2044" s="10">
        <v>45639</v>
      </c>
      <c r="E2044" s="13" t="str">
        <f>+HYPERLINK("http://trademark.i-assist.jp/data/china/image_1915th/81135965.pdf","81135965")</f>
        <v>81135965</v>
      </c>
      <c r="F2044" s="9" t="s">
        <v>5590</v>
      </c>
      <c r="G2044" s="12" t="s">
        <v>16</v>
      </c>
      <c r="H2044" s="9" t="s">
        <v>5591</v>
      </c>
      <c r="I2044" s="10">
        <v>45561</v>
      </c>
    </row>
    <row r="2045" spans="1:9" x14ac:dyDescent="0.15">
      <c r="A2045" s="9">
        <v>2044</v>
      </c>
      <c r="B2045" s="9" t="s">
        <v>9</v>
      </c>
      <c r="C2045" s="9">
        <v>1915</v>
      </c>
      <c r="D2045" s="10">
        <v>45639</v>
      </c>
      <c r="E2045" s="13" t="str">
        <f>+HYPERLINK("http://trademark.i-assist.jp/data/china/image_1915th/81135971.pdf","81135971")</f>
        <v>81135971</v>
      </c>
      <c r="F2045" s="9" t="s">
        <v>5592</v>
      </c>
      <c r="G2045" s="12" t="s">
        <v>16</v>
      </c>
      <c r="H2045" s="9" t="s">
        <v>5593</v>
      </c>
      <c r="I2045" s="10">
        <v>45561</v>
      </c>
    </row>
    <row r="2046" spans="1:9" x14ac:dyDescent="0.15">
      <c r="A2046" s="9">
        <v>2045</v>
      </c>
      <c r="B2046" s="9" t="s">
        <v>9</v>
      </c>
      <c r="C2046" s="9">
        <v>1915</v>
      </c>
      <c r="D2046" s="10">
        <v>45639</v>
      </c>
      <c r="E2046" s="13" t="str">
        <f>+HYPERLINK("http://trademark.i-assist.jp/data/china/image_1915th/81136016.pdf","81136016")</f>
        <v>81136016</v>
      </c>
      <c r="F2046" s="12" t="s">
        <v>5594</v>
      </c>
      <c r="G2046" s="9" t="s">
        <v>5595</v>
      </c>
      <c r="H2046" s="9" t="s">
        <v>5596</v>
      </c>
      <c r="I2046" s="10">
        <v>45561</v>
      </c>
    </row>
    <row r="2047" spans="1:9" x14ac:dyDescent="0.15">
      <c r="A2047" s="9">
        <v>2046</v>
      </c>
      <c r="B2047" s="9" t="s">
        <v>9</v>
      </c>
      <c r="C2047" s="9">
        <v>1915</v>
      </c>
      <c r="D2047" s="10">
        <v>45639</v>
      </c>
      <c r="E2047" s="13" t="str">
        <f>+HYPERLINK("http://trademark.i-assist.jp/data/china/image_1915th/81136255.pdf","81136255")</f>
        <v>81136255</v>
      </c>
      <c r="F2047" s="12" t="s">
        <v>5597</v>
      </c>
      <c r="G2047" s="12" t="s">
        <v>5498</v>
      </c>
      <c r="H2047" s="9" t="s">
        <v>5598</v>
      </c>
      <c r="I2047" s="10">
        <v>45561</v>
      </c>
    </row>
    <row r="2048" spans="1:9" x14ac:dyDescent="0.15">
      <c r="A2048" s="9">
        <v>2047</v>
      </c>
      <c r="B2048" s="9" t="s">
        <v>9</v>
      </c>
      <c r="C2048" s="9">
        <v>1915</v>
      </c>
      <c r="D2048" s="10">
        <v>45639</v>
      </c>
      <c r="E2048" s="13" t="str">
        <f>+HYPERLINK("http://trademark.i-assist.jp/data/china/image_1915th/81136371.pdf","81136371")</f>
        <v>81136371</v>
      </c>
      <c r="F2048" s="9" t="s">
        <v>5599</v>
      </c>
      <c r="G2048" s="9" t="s">
        <v>5479</v>
      </c>
      <c r="H2048" s="9" t="s">
        <v>5600</v>
      </c>
      <c r="I2048" s="10">
        <v>45561</v>
      </c>
    </row>
    <row r="2049" spans="1:9" x14ac:dyDescent="0.15">
      <c r="A2049" s="9">
        <v>2048</v>
      </c>
      <c r="B2049" s="9" t="s">
        <v>9</v>
      </c>
      <c r="C2049" s="9">
        <v>1915</v>
      </c>
      <c r="D2049" s="10">
        <v>45639</v>
      </c>
      <c r="E2049" s="13" t="str">
        <f>+HYPERLINK("http://trademark.i-assist.jp/data/china/image_1915th/81136497.pdf","81136497")</f>
        <v>81136497</v>
      </c>
      <c r="F2049" s="9" t="s">
        <v>5601</v>
      </c>
      <c r="G2049" s="9" t="s">
        <v>5602</v>
      </c>
      <c r="H2049" s="9" t="s">
        <v>5603</v>
      </c>
      <c r="I2049" s="10">
        <v>45561</v>
      </c>
    </row>
    <row r="2050" spans="1:9" x14ac:dyDescent="0.15">
      <c r="A2050" s="9">
        <v>2049</v>
      </c>
      <c r="B2050" s="9" t="s">
        <v>9</v>
      </c>
      <c r="C2050" s="9">
        <v>1915</v>
      </c>
      <c r="D2050" s="10">
        <v>45639</v>
      </c>
      <c r="E2050" s="13" t="str">
        <f>+HYPERLINK("http://trademark.i-assist.jp/data/china/image_1915th/81137337.pdf","81137337")</f>
        <v>81137337</v>
      </c>
      <c r="F2050" s="9" t="s">
        <v>5604</v>
      </c>
      <c r="G2050" s="12" t="s">
        <v>5605</v>
      </c>
      <c r="H2050" s="9" t="s">
        <v>5606</v>
      </c>
      <c r="I2050" s="10">
        <v>45561</v>
      </c>
    </row>
    <row r="2051" spans="1:9" x14ac:dyDescent="0.15">
      <c r="A2051" s="9">
        <v>2050</v>
      </c>
      <c r="B2051" s="9" t="s">
        <v>9</v>
      </c>
      <c r="C2051" s="9">
        <v>1915</v>
      </c>
      <c r="D2051" s="10">
        <v>45639</v>
      </c>
      <c r="E2051" s="13" t="str">
        <f>+HYPERLINK("http://trademark.i-assist.jp/data/china/image_1915th/81137339.pdf","81137339")</f>
        <v>81137339</v>
      </c>
      <c r="F2051" s="9" t="s">
        <v>5607</v>
      </c>
      <c r="G2051" s="12" t="s">
        <v>5608</v>
      </c>
      <c r="H2051" s="12" t="s">
        <v>5609</v>
      </c>
      <c r="I2051" s="10">
        <v>45561</v>
      </c>
    </row>
    <row r="2052" spans="1:9" x14ac:dyDescent="0.15">
      <c r="A2052" s="9">
        <v>2051</v>
      </c>
      <c r="B2052" s="9" t="s">
        <v>9</v>
      </c>
      <c r="C2052" s="9">
        <v>1915</v>
      </c>
      <c r="D2052" s="10">
        <v>45639</v>
      </c>
      <c r="E2052" s="13" t="str">
        <f>+HYPERLINK("http://trademark.i-assist.jp/data/china/image_1915th/81137495.pdf","81137495")</f>
        <v>81137495</v>
      </c>
      <c r="F2052" s="11" t="s">
        <v>5610</v>
      </c>
      <c r="G2052" s="9" t="s">
        <v>5611</v>
      </c>
      <c r="H2052" s="9" t="s">
        <v>5612</v>
      </c>
      <c r="I2052" s="10">
        <v>45561</v>
      </c>
    </row>
    <row r="2053" spans="1:9" x14ac:dyDescent="0.15">
      <c r="A2053" s="9">
        <v>2052</v>
      </c>
      <c r="B2053" s="9" t="s">
        <v>9</v>
      </c>
      <c r="C2053" s="9">
        <v>1915</v>
      </c>
      <c r="D2053" s="10">
        <v>45639</v>
      </c>
      <c r="E2053" s="13" t="str">
        <f>+HYPERLINK("http://trademark.i-assist.jp/data/china/image_1915th/81137639.pdf","81137639")</f>
        <v>81137639</v>
      </c>
      <c r="F2053" s="12" t="s">
        <v>15</v>
      </c>
      <c r="G2053" s="9" t="s">
        <v>5613</v>
      </c>
      <c r="H2053" s="9" t="s">
        <v>5614</v>
      </c>
      <c r="I2053" s="10">
        <v>45561</v>
      </c>
    </row>
    <row r="2054" spans="1:9" x14ac:dyDescent="0.15">
      <c r="A2054" s="9">
        <v>2053</v>
      </c>
      <c r="B2054" s="9" t="s">
        <v>9</v>
      </c>
      <c r="C2054" s="9">
        <v>1915</v>
      </c>
      <c r="D2054" s="10">
        <v>45639</v>
      </c>
      <c r="E2054" s="13" t="str">
        <f>+HYPERLINK("http://trademark.i-assist.jp/data/china/image_1915th/81137978.pdf","81137978")</f>
        <v>81137978</v>
      </c>
      <c r="F2054" s="9" t="s">
        <v>5615</v>
      </c>
      <c r="G2054" s="9" t="s">
        <v>5616</v>
      </c>
      <c r="H2054" s="9" t="s">
        <v>5617</v>
      </c>
      <c r="I2054" s="10">
        <v>45561</v>
      </c>
    </row>
    <row r="2055" spans="1:9" x14ac:dyDescent="0.15">
      <c r="A2055" s="9">
        <v>2054</v>
      </c>
      <c r="B2055" s="9" t="s">
        <v>9</v>
      </c>
      <c r="C2055" s="9">
        <v>1915</v>
      </c>
      <c r="D2055" s="10">
        <v>45639</v>
      </c>
      <c r="E2055" s="13" t="str">
        <f>+HYPERLINK("http://trademark.i-assist.jp/data/china/image_1915th/81138251.pdf","81138251")</f>
        <v>81138251</v>
      </c>
      <c r="F2055" s="12" t="s">
        <v>15</v>
      </c>
      <c r="G2055" s="9" t="s">
        <v>5618</v>
      </c>
      <c r="H2055" s="9" t="s">
        <v>5619</v>
      </c>
      <c r="I2055" s="10">
        <v>45561</v>
      </c>
    </row>
    <row r="2056" spans="1:9" x14ac:dyDescent="0.15">
      <c r="A2056" s="9">
        <v>2055</v>
      </c>
      <c r="B2056" s="9" t="s">
        <v>9</v>
      </c>
      <c r="C2056" s="9">
        <v>1915</v>
      </c>
      <c r="D2056" s="10">
        <v>45639</v>
      </c>
      <c r="E2056" s="13" t="str">
        <f>+HYPERLINK("http://trademark.i-assist.jp/data/china/image_1915th/81138432.pdf","81138432")</f>
        <v>81138432</v>
      </c>
      <c r="F2056" s="9" t="s">
        <v>5620</v>
      </c>
      <c r="G2056" s="9" t="s">
        <v>5621</v>
      </c>
      <c r="H2056" s="9" t="s">
        <v>5622</v>
      </c>
      <c r="I2056" s="10">
        <v>45561</v>
      </c>
    </row>
    <row r="2057" spans="1:9" x14ac:dyDescent="0.15">
      <c r="A2057" s="9">
        <v>2056</v>
      </c>
      <c r="B2057" s="9" t="s">
        <v>9</v>
      </c>
      <c r="C2057" s="9">
        <v>1915</v>
      </c>
      <c r="D2057" s="10">
        <v>45639</v>
      </c>
      <c r="E2057" s="13" t="str">
        <f>+HYPERLINK("http://trademark.i-assist.jp/data/china/image_1915th/81138521.pdf","81138521")</f>
        <v>81138521</v>
      </c>
      <c r="F2057" s="9" t="s">
        <v>5623</v>
      </c>
      <c r="G2057" s="9" t="s">
        <v>5624</v>
      </c>
      <c r="H2057" s="9" t="s">
        <v>5625</v>
      </c>
      <c r="I2057" s="10">
        <v>45561</v>
      </c>
    </row>
    <row r="2058" spans="1:9" x14ac:dyDescent="0.15">
      <c r="A2058" s="9">
        <v>2057</v>
      </c>
      <c r="B2058" s="9" t="s">
        <v>9</v>
      </c>
      <c r="C2058" s="9">
        <v>1915</v>
      </c>
      <c r="D2058" s="10">
        <v>45639</v>
      </c>
      <c r="E2058" s="13" t="str">
        <f>+HYPERLINK("http://trademark.i-assist.jp/data/china/image_1915th/81138746.pdf","81138746")</f>
        <v>81138746</v>
      </c>
      <c r="F2058" s="9" t="s">
        <v>5626</v>
      </c>
      <c r="G2058" s="12" t="s">
        <v>5627</v>
      </c>
      <c r="H2058" s="12" t="s">
        <v>5628</v>
      </c>
      <c r="I2058" s="10">
        <v>45561</v>
      </c>
    </row>
    <row r="2059" spans="1:9" x14ac:dyDescent="0.15">
      <c r="A2059" s="9">
        <v>2058</v>
      </c>
      <c r="B2059" s="9" t="s">
        <v>9</v>
      </c>
      <c r="C2059" s="9">
        <v>1915</v>
      </c>
      <c r="D2059" s="10">
        <v>45639</v>
      </c>
      <c r="E2059" s="13" t="str">
        <f>+HYPERLINK("http://trademark.i-assist.jp/data/china/image_1915th/81138852.pdf","81138852")</f>
        <v>81138852</v>
      </c>
      <c r="F2059" s="9" t="s">
        <v>5629</v>
      </c>
      <c r="G2059" s="9" t="s">
        <v>25</v>
      </c>
      <c r="H2059" s="12" t="s">
        <v>5630</v>
      </c>
      <c r="I2059" s="10">
        <v>45561</v>
      </c>
    </row>
    <row r="2060" spans="1:9" x14ac:dyDescent="0.15">
      <c r="A2060" s="9">
        <v>2059</v>
      </c>
      <c r="B2060" s="9" t="s">
        <v>9</v>
      </c>
      <c r="C2060" s="9">
        <v>1915</v>
      </c>
      <c r="D2060" s="10">
        <v>45639</v>
      </c>
      <c r="E2060" s="13" t="str">
        <f>+HYPERLINK("http://trademark.i-assist.jp/data/china/image_1915th/81139019.pdf","81139019")</f>
        <v>81139019</v>
      </c>
      <c r="F2060" s="9" t="s">
        <v>5631</v>
      </c>
      <c r="G2060" s="9" t="s">
        <v>5632</v>
      </c>
      <c r="H2060" s="12" t="s">
        <v>5633</v>
      </c>
      <c r="I2060" s="10">
        <v>45561</v>
      </c>
    </row>
    <row r="2061" spans="1:9" x14ac:dyDescent="0.15">
      <c r="A2061" s="9">
        <v>2060</v>
      </c>
      <c r="B2061" s="9" t="s">
        <v>9</v>
      </c>
      <c r="C2061" s="9">
        <v>1915</v>
      </c>
      <c r="D2061" s="10">
        <v>45639</v>
      </c>
      <c r="E2061" s="13" t="str">
        <f>+HYPERLINK("http://trademark.i-assist.jp/data/china/image_1915th/81139087.pdf","81139087")</f>
        <v>81139087</v>
      </c>
      <c r="F2061" s="9" t="s">
        <v>5634</v>
      </c>
      <c r="G2061" s="12" t="s">
        <v>5495</v>
      </c>
      <c r="H2061" s="12" t="s">
        <v>5635</v>
      </c>
      <c r="I2061" s="10">
        <v>45561</v>
      </c>
    </row>
    <row r="2062" spans="1:9" x14ac:dyDescent="0.15">
      <c r="A2062" s="9">
        <v>2061</v>
      </c>
      <c r="B2062" s="9" t="s">
        <v>9</v>
      </c>
      <c r="C2062" s="9">
        <v>1915</v>
      </c>
      <c r="D2062" s="10">
        <v>45639</v>
      </c>
      <c r="E2062" s="13" t="str">
        <f>+HYPERLINK("http://trademark.i-assist.jp/data/china/image_1915th/81139404.pdf","81139404")</f>
        <v>81139404</v>
      </c>
      <c r="F2062" s="12" t="s">
        <v>5636</v>
      </c>
      <c r="G2062" s="12" t="s">
        <v>5476</v>
      </c>
      <c r="H2062" s="9" t="s">
        <v>5637</v>
      </c>
      <c r="I2062" s="10">
        <v>45561</v>
      </c>
    </row>
    <row r="2063" spans="1:9" x14ac:dyDescent="0.15">
      <c r="A2063" s="9">
        <v>2062</v>
      </c>
      <c r="B2063" s="9" t="s">
        <v>9</v>
      </c>
      <c r="C2063" s="9">
        <v>1915</v>
      </c>
      <c r="D2063" s="10">
        <v>45639</v>
      </c>
      <c r="E2063" s="13" t="str">
        <f>+HYPERLINK("http://trademark.i-assist.jp/data/china/image_1915th/81139509.pdf","81139509")</f>
        <v>81139509</v>
      </c>
      <c r="F2063" s="9" t="s">
        <v>5638</v>
      </c>
      <c r="G2063" s="9" t="s">
        <v>5639</v>
      </c>
      <c r="H2063" s="9" t="s">
        <v>5640</v>
      </c>
      <c r="I2063" s="10">
        <v>45561</v>
      </c>
    </row>
    <row r="2064" spans="1:9" x14ac:dyDescent="0.15">
      <c r="A2064" s="9">
        <v>2063</v>
      </c>
      <c r="B2064" s="9" t="s">
        <v>9</v>
      </c>
      <c r="C2064" s="9">
        <v>1915</v>
      </c>
      <c r="D2064" s="10">
        <v>45639</v>
      </c>
      <c r="E2064" s="13" t="str">
        <f>+HYPERLINK("http://trademark.i-assist.jp/data/china/image_1915th/81139548.pdf","81139548")</f>
        <v>81139548</v>
      </c>
      <c r="F2064" s="12" t="s">
        <v>5641</v>
      </c>
      <c r="G2064" s="9" t="s">
        <v>5642</v>
      </c>
      <c r="H2064" s="9" t="s">
        <v>5643</v>
      </c>
      <c r="I2064" s="10">
        <v>45561</v>
      </c>
    </row>
    <row r="2065" spans="1:9" x14ac:dyDescent="0.15">
      <c r="A2065" s="9">
        <v>2064</v>
      </c>
      <c r="B2065" s="9" t="s">
        <v>9</v>
      </c>
      <c r="C2065" s="9">
        <v>1915</v>
      </c>
      <c r="D2065" s="10">
        <v>45639</v>
      </c>
      <c r="E2065" s="13" t="str">
        <f>+HYPERLINK("http://trademark.i-assist.jp/data/china/image_1915th/81139693.pdf","81139693")</f>
        <v>81139693</v>
      </c>
      <c r="F2065" s="12" t="s">
        <v>5644</v>
      </c>
      <c r="G2065" s="9" t="s">
        <v>5645</v>
      </c>
      <c r="H2065" s="9" t="s">
        <v>5646</v>
      </c>
      <c r="I2065" s="10">
        <v>45561</v>
      </c>
    </row>
    <row r="2066" spans="1:9" x14ac:dyDescent="0.15">
      <c r="A2066" s="9">
        <v>2065</v>
      </c>
      <c r="B2066" s="9" t="s">
        <v>9</v>
      </c>
      <c r="C2066" s="9">
        <v>1915</v>
      </c>
      <c r="D2066" s="10">
        <v>45639</v>
      </c>
      <c r="E2066" s="13" t="str">
        <f>+HYPERLINK("http://trademark.i-assist.jp/data/china/image_1915th/81139962.pdf","81139962")</f>
        <v>81139962</v>
      </c>
      <c r="F2066" s="11" t="s">
        <v>5647</v>
      </c>
      <c r="G2066" s="9" t="s">
        <v>5648</v>
      </c>
      <c r="H2066" s="9" t="s">
        <v>5649</v>
      </c>
      <c r="I2066" s="10">
        <v>45561</v>
      </c>
    </row>
    <row r="2067" spans="1:9" x14ac:dyDescent="0.15">
      <c r="A2067" s="9">
        <v>2066</v>
      </c>
      <c r="B2067" s="9" t="s">
        <v>9</v>
      </c>
      <c r="C2067" s="9">
        <v>1915</v>
      </c>
      <c r="D2067" s="10">
        <v>45639</v>
      </c>
      <c r="E2067" s="13" t="str">
        <f>+HYPERLINK("http://trademark.i-assist.jp/data/china/image_1915th/81139986.pdf","81139986")</f>
        <v>81139986</v>
      </c>
      <c r="F2067" s="9" t="s">
        <v>5650</v>
      </c>
      <c r="G2067" s="9" t="s">
        <v>5651</v>
      </c>
      <c r="H2067" s="9" t="s">
        <v>5652</v>
      </c>
      <c r="I2067" s="10">
        <v>45561</v>
      </c>
    </row>
    <row r="2068" spans="1:9" x14ac:dyDescent="0.15">
      <c r="A2068" s="9">
        <v>2067</v>
      </c>
      <c r="B2068" s="9" t="s">
        <v>9</v>
      </c>
      <c r="C2068" s="9">
        <v>1915</v>
      </c>
      <c r="D2068" s="10">
        <v>45639</v>
      </c>
      <c r="E2068" s="13" t="str">
        <f>+HYPERLINK("http://trademark.i-assist.jp/data/china/image_1915th/81140284.pdf","81140284")</f>
        <v>81140284</v>
      </c>
      <c r="F2068" s="9" t="s">
        <v>5653</v>
      </c>
      <c r="G2068" s="9" t="s">
        <v>5654</v>
      </c>
      <c r="H2068" s="9" t="s">
        <v>5655</v>
      </c>
      <c r="I2068" s="10">
        <v>45561</v>
      </c>
    </row>
    <row r="2069" spans="1:9" x14ac:dyDescent="0.15">
      <c r="A2069" s="9">
        <v>2068</v>
      </c>
      <c r="B2069" s="9" t="s">
        <v>9</v>
      </c>
      <c r="C2069" s="9">
        <v>1915</v>
      </c>
      <c r="D2069" s="10">
        <v>45639</v>
      </c>
      <c r="E2069" s="13" t="str">
        <f>+HYPERLINK("http://trademark.i-assist.jp/data/china/image_1915th/81140305.pdf","81140305")</f>
        <v>81140305</v>
      </c>
      <c r="F2069" s="12" t="s">
        <v>5656</v>
      </c>
      <c r="G2069" s="9" t="s">
        <v>5657</v>
      </c>
      <c r="H2069" s="12" t="s">
        <v>5658</v>
      </c>
      <c r="I2069" s="10">
        <v>45561</v>
      </c>
    </row>
    <row r="2070" spans="1:9" x14ac:dyDescent="0.15">
      <c r="A2070" s="9">
        <v>2069</v>
      </c>
      <c r="B2070" s="9" t="s">
        <v>9</v>
      </c>
      <c r="C2070" s="9">
        <v>1915</v>
      </c>
      <c r="D2070" s="10">
        <v>45639</v>
      </c>
      <c r="E2070" s="13" t="str">
        <f>+HYPERLINK("http://trademark.i-assist.jp/data/china/image_1915th/81141016.pdf","81141016")</f>
        <v>81141016</v>
      </c>
      <c r="F2070" s="9" t="s">
        <v>5399</v>
      </c>
      <c r="G2070" s="12" t="s">
        <v>5400</v>
      </c>
      <c r="H2070" s="9" t="s">
        <v>5659</v>
      </c>
      <c r="I2070" s="10">
        <v>45561</v>
      </c>
    </row>
    <row r="2071" spans="1:9" x14ac:dyDescent="0.15">
      <c r="A2071" s="9">
        <v>2070</v>
      </c>
      <c r="B2071" s="9" t="s">
        <v>9</v>
      </c>
      <c r="C2071" s="9">
        <v>1915</v>
      </c>
      <c r="D2071" s="10">
        <v>45639</v>
      </c>
      <c r="E2071" s="13" t="str">
        <f>+HYPERLINK("http://trademark.i-assist.jp/data/china/image_1915th/81141212.pdf","81141212")</f>
        <v>81141212</v>
      </c>
      <c r="F2071" s="9" t="s">
        <v>5660</v>
      </c>
      <c r="G2071" s="9" t="s">
        <v>5661</v>
      </c>
      <c r="H2071" s="9" t="s">
        <v>5662</v>
      </c>
      <c r="I2071" s="10">
        <v>45561</v>
      </c>
    </row>
    <row r="2072" spans="1:9" x14ac:dyDescent="0.15">
      <c r="A2072" s="9">
        <v>2071</v>
      </c>
      <c r="B2072" s="9" t="s">
        <v>9</v>
      </c>
      <c r="C2072" s="9">
        <v>1915</v>
      </c>
      <c r="D2072" s="10">
        <v>45639</v>
      </c>
      <c r="E2072" s="13" t="str">
        <f>+HYPERLINK("http://trademark.i-assist.jp/data/china/image_1915th/81141318.pdf","81141318")</f>
        <v>81141318</v>
      </c>
      <c r="F2072" s="9" t="s">
        <v>5663</v>
      </c>
      <c r="G2072" s="9" t="s">
        <v>5664</v>
      </c>
      <c r="H2072" s="9" t="s">
        <v>5665</v>
      </c>
      <c r="I2072" s="10">
        <v>45561</v>
      </c>
    </row>
    <row r="2073" spans="1:9" x14ac:dyDescent="0.15">
      <c r="A2073" s="9">
        <v>2072</v>
      </c>
      <c r="B2073" s="9" t="s">
        <v>9</v>
      </c>
      <c r="C2073" s="9">
        <v>1915</v>
      </c>
      <c r="D2073" s="10">
        <v>45639</v>
      </c>
      <c r="E2073" s="13" t="str">
        <f>+HYPERLINK("http://trademark.i-assist.jp/data/china/image_1915th/81141354.pdf","81141354")</f>
        <v>81141354</v>
      </c>
      <c r="F2073" s="9" t="s">
        <v>5666</v>
      </c>
      <c r="G2073" s="9" t="s">
        <v>5667</v>
      </c>
      <c r="H2073" s="9" t="s">
        <v>5668</v>
      </c>
      <c r="I2073" s="10">
        <v>45561</v>
      </c>
    </row>
    <row r="2074" spans="1:9" x14ac:dyDescent="0.15">
      <c r="A2074" s="9">
        <v>2073</v>
      </c>
      <c r="B2074" s="9" t="s">
        <v>9</v>
      </c>
      <c r="C2074" s="9">
        <v>1915</v>
      </c>
      <c r="D2074" s="10">
        <v>45639</v>
      </c>
      <c r="E2074" s="13" t="str">
        <f>+HYPERLINK("http://trademark.i-assist.jp/data/china/image_1915th/81141613.pdf","81141613")</f>
        <v>81141613</v>
      </c>
      <c r="F2074" s="9" t="s">
        <v>5669</v>
      </c>
      <c r="G2074" s="9" t="s">
        <v>5528</v>
      </c>
      <c r="H2074" s="9" t="s">
        <v>5670</v>
      </c>
      <c r="I2074" s="10">
        <v>45561</v>
      </c>
    </row>
    <row r="2075" spans="1:9" x14ac:dyDescent="0.15">
      <c r="A2075" s="9">
        <v>2074</v>
      </c>
      <c r="B2075" s="9" t="s">
        <v>9</v>
      </c>
      <c r="C2075" s="9">
        <v>1915</v>
      </c>
      <c r="D2075" s="10">
        <v>45639</v>
      </c>
      <c r="E2075" s="13" t="str">
        <f>+HYPERLINK("http://trademark.i-assist.jp/data/china/image_1915th/81141636.pdf","81141636")</f>
        <v>81141636</v>
      </c>
      <c r="F2075" s="12" t="s">
        <v>5505</v>
      </c>
      <c r="G2075" s="12" t="s">
        <v>5506</v>
      </c>
      <c r="H2075" s="9" t="s">
        <v>5671</v>
      </c>
      <c r="I2075" s="10">
        <v>45561</v>
      </c>
    </row>
    <row r="2076" spans="1:9" x14ac:dyDescent="0.15">
      <c r="A2076" s="9">
        <v>2075</v>
      </c>
      <c r="B2076" s="9" t="s">
        <v>9</v>
      </c>
      <c r="C2076" s="9">
        <v>1915</v>
      </c>
      <c r="D2076" s="10">
        <v>45639</v>
      </c>
      <c r="E2076" s="13" t="str">
        <f>+HYPERLINK("http://trademark.i-assist.jp/data/china/image_1915th/81141761.pdf","81141761")</f>
        <v>81141761</v>
      </c>
      <c r="F2076" s="9" t="s">
        <v>5672</v>
      </c>
      <c r="G2076" s="9" t="s">
        <v>5469</v>
      </c>
      <c r="H2076" s="9" t="s">
        <v>5673</v>
      </c>
      <c r="I2076" s="10">
        <v>45561</v>
      </c>
    </row>
    <row r="2077" spans="1:9" x14ac:dyDescent="0.15">
      <c r="A2077" s="9">
        <v>2076</v>
      </c>
      <c r="B2077" s="9" t="s">
        <v>9</v>
      </c>
      <c r="C2077" s="9">
        <v>1915</v>
      </c>
      <c r="D2077" s="10">
        <v>45639</v>
      </c>
      <c r="E2077" s="13" t="str">
        <f>+HYPERLINK("http://trademark.i-assist.jp/data/china/image_1915th/81141882.pdf","81141882")</f>
        <v>81141882</v>
      </c>
      <c r="F2077" s="9" t="s">
        <v>5674</v>
      </c>
      <c r="G2077" s="9" t="s">
        <v>5675</v>
      </c>
      <c r="H2077" s="9" t="s">
        <v>5676</v>
      </c>
      <c r="I2077" s="10">
        <v>45561</v>
      </c>
    </row>
    <row r="2078" spans="1:9" x14ac:dyDescent="0.15">
      <c r="A2078" s="9">
        <v>2077</v>
      </c>
      <c r="B2078" s="9" t="s">
        <v>9</v>
      </c>
      <c r="C2078" s="9">
        <v>1915</v>
      </c>
      <c r="D2078" s="10">
        <v>45639</v>
      </c>
      <c r="E2078" s="13" t="str">
        <f>+HYPERLINK("http://trademark.i-assist.jp/data/china/image_1915th/81141903.pdf","81141903")</f>
        <v>81141903</v>
      </c>
      <c r="F2078" s="9" t="s">
        <v>5677</v>
      </c>
      <c r="G2078" s="12" t="s">
        <v>5678</v>
      </c>
      <c r="H2078" s="9" t="s">
        <v>5679</v>
      </c>
      <c r="I2078" s="10">
        <v>45561</v>
      </c>
    </row>
    <row r="2079" spans="1:9" x14ac:dyDescent="0.15">
      <c r="A2079" s="9">
        <v>2078</v>
      </c>
      <c r="B2079" s="9" t="s">
        <v>9</v>
      </c>
      <c r="C2079" s="9">
        <v>1915</v>
      </c>
      <c r="D2079" s="10">
        <v>45639</v>
      </c>
      <c r="E2079" s="13" t="str">
        <f>+HYPERLINK("http://trademark.i-assist.jp/data/china/image_1915th/81142401.pdf","81142401")</f>
        <v>81142401</v>
      </c>
      <c r="F2079" s="9" t="s">
        <v>5680</v>
      </c>
      <c r="G2079" s="9" t="s">
        <v>5681</v>
      </c>
      <c r="H2079" s="9" t="s">
        <v>5682</v>
      </c>
      <c r="I2079" s="10">
        <v>45561</v>
      </c>
    </row>
    <row r="2080" spans="1:9" x14ac:dyDescent="0.15">
      <c r="A2080" s="9">
        <v>2079</v>
      </c>
      <c r="B2080" s="9" t="s">
        <v>9</v>
      </c>
      <c r="C2080" s="9">
        <v>1915</v>
      </c>
      <c r="D2080" s="10">
        <v>45639</v>
      </c>
      <c r="E2080" s="13" t="str">
        <f>+HYPERLINK("http://trademark.i-assist.jp/data/china/image_1915th/81142549.pdf","81142549")</f>
        <v>81142549</v>
      </c>
      <c r="F2080" s="9" t="s">
        <v>5683</v>
      </c>
      <c r="G2080" s="12" t="s">
        <v>5684</v>
      </c>
      <c r="H2080" s="9" t="s">
        <v>5685</v>
      </c>
      <c r="I2080" s="10">
        <v>45561</v>
      </c>
    </row>
    <row r="2081" spans="1:9" x14ac:dyDescent="0.15">
      <c r="A2081" s="9">
        <v>2080</v>
      </c>
      <c r="B2081" s="9" t="s">
        <v>9</v>
      </c>
      <c r="C2081" s="9">
        <v>1915</v>
      </c>
      <c r="D2081" s="10">
        <v>45639</v>
      </c>
      <c r="E2081" s="13" t="str">
        <f>+HYPERLINK("http://trademark.i-assist.jp/data/china/image_1915th/81142643.pdf","81142643")</f>
        <v>81142643</v>
      </c>
      <c r="F2081" s="9" t="s">
        <v>5686</v>
      </c>
      <c r="G2081" s="9" t="s">
        <v>5687</v>
      </c>
      <c r="H2081" s="9" t="s">
        <v>5688</v>
      </c>
      <c r="I2081" s="10">
        <v>45561</v>
      </c>
    </row>
    <row r="2082" spans="1:9" x14ac:dyDescent="0.15">
      <c r="A2082" s="9">
        <v>2081</v>
      </c>
      <c r="B2082" s="9" t="s">
        <v>9</v>
      </c>
      <c r="C2082" s="9">
        <v>1915</v>
      </c>
      <c r="D2082" s="10">
        <v>45639</v>
      </c>
      <c r="E2082" s="13" t="str">
        <f>+HYPERLINK("http://trademark.i-assist.jp/data/china/image_1915th/81142727.pdf","81142727")</f>
        <v>81142727</v>
      </c>
      <c r="F2082" s="12" t="s">
        <v>5689</v>
      </c>
      <c r="G2082" s="9" t="s">
        <v>4653</v>
      </c>
      <c r="H2082" s="9" t="s">
        <v>5690</v>
      </c>
      <c r="I2082" s="10">
        <v>45561</v>
      </c>
    </row>
    <row r="2083" spans="1:9" x14ac:dyDescent="0.15">
      <c r="A2083" s="9">
        <v>2082</v>
      </c>
      <c r="B2083" s="9" t="s">
        <v>9</v>
      </c>
      <c r="C2083" s="9">
        <v>1915</v>
      </c>
      <c r="D2083" s="10">
        <v>45639</v>
      </c>
      <c r="E2083" s="13" t="str">
        <f>+HYPERLINK("http://trademark.i-assist.jp/data/china/image_1915th/81142813.pdf","81142813")</f>
        <v>81142813</v>
      </c>
      <c r="F2083" s="9" t="s">
        <v>5691</v>
      </c>
      <c r="G2083" s="9" t="s">
        <v>26</v>
      </c>
      <c r="H2083" s="9" t="s">
        <v>5692</v>
      </c>
      <c r="I2083" s="10">
        <v>45561</v>
      </c>
    </row>
    <row r="2084" spans="1:9" x14ac:dyDescent="0.15">
      <c r="A2084" s="9">
        <v>2083</v>
      </c>
      <c r="B2084" s="9" t="s">
        <v>9</v>
      </c>
      <c r="C2084" s="9">
        <v>1915</v>
      </c>
      <c r="D2084" s="10">
        <v>45639</v>
      </c>
      <c r="E2084" s="13" t="str">
        <f>+HYPERLINK("http://trademark.i-assist.jp/data/china/image_1915th/81143602.pdf","81143602")</f>
        <v>81143602</v>
      </c>
      <c r="F2084" s="9" t="s">
        <v>5693</v>
      </c>
      <c r="G2084" s="9" t="s">
        <v>5694</v>
      </c>
      <c r="H2084" s="9" t="s">
        <v>5695</v>
      </c>
      <c r="I2084" s="10">
        <v>45562</v>
      </c>
    </row>
    <row r="2085" spans="1:9" x14ac:dyDescent="0.15">
      <c r="A2085" s="9">
        <v>2084</v>
      </c>
      <c r="B2085" s="9" t="s">
        <v>9</v>
      </c>
      <c r="C2085" s="9">
        <v>1915</v>
      </c>
      <c r="D2085" s="10">
        <v>45639</v>
      </c>
      <c r="E2085" s="13" t="str">
        <f>+HYPERLINK("http://trademark.i-assist.jp/data/china/image_1915th/81143628.pdf","81143628")</f>
        <v>81143628</v>
      </c>
      <c r="F2085" s="11" t="s">
        <v>5696</v>
      </c>
      <c r="G2085" s="9" t="s">
        <v>5697</v>
      </c>
      <c r="H2085" s="9" t="s">
        <v>5698</v>
      </c>
      <c r="I2085" s="10">
        <v>45562</v>
      </c>
    </row>
    <row r="2086" spans="1:9" x14ac:dyDescent="0.15">
      <c r="A2086" s="9">
        <v>2085</v>
      </c>
      <c r="B2086" s="9" t="s">
        <v>9</v>
      </c>
      <c r="C2086" s="9">
        <v>1915</v>
      </c>
      <c r="D2086" s="10">
        <v>45639</v>
      </c>
      <c r="E2086" s="13" t="str">
        <f>+HYPERLINK("http://trademark.i-assist.jp/data/china/image_1915th/81143718.pdf","81143718")</f>
        <v>81143718</v>
      </c>
      <c r="F2086" s="9" t="s">
        <v>5699</v>
      </c>
      <c r="G2086" s="12" t="s">
        <v>5700</v>
      </c>
      <c r="H2086" s="9" t="s">
        <v>5701</v>
      </c>
      <c r="I2086" s="10">
        <v>45562</v>
      </c>
    </row>
    <row r="2087" spans="1:9" x14ac:dyDescent="0.15">
      <c r="A2087" s="9">
        <v>2086</v>
      </c>
      <c r="B2087" s="9" t="s">
        <v>9</v>
      </c>
      <c r="C2087" s="9">
        <v>1915</v>
      </c>
      <c r="D2087" s="10">
        <v>45639</v>
      </c>
      <c r="E2087" s="13" t="str">
        <f>+HYPERLINK("http://trademark.i-assist.jp/data/china/image_1915th/81143741.pdf","81143741")</f>
        <v>81143741</v>
      </c>
      <c r="F2087" s="9" t="s">
        <v>5702</v>
      </c>
      <c r="G2087" s="12" t="s">
        <v>5703</v>
      </c>
      <c r="H2087" s="9" t="s">
        <v>5704</v>
      </c>
      <c r="I2087" s="10">
        <v>45562</v>
      </c>
    </row>
    <row r="2088" spans="1:9" x14ac:dyDescent="0.15">
      <c r="A2088" s="9">
        <v>2087</v>
      </c>
      <c r="B2088" s="9" t="s">
        <v>9</v>
      </c>
      <c r="C2088" s="9">
        <v>1915</v>
      </c>
      <c r="D2088" s="10">
        <v>45639</v>
      </c>
      <c r="E2088" s="13" t="str">
        <f>+HYPERLINK("http://trademark.i-assist.jp/data/china/image_1915th/81143811.pdf","81143811")</f>
        <v>81143811</v>
      </c>
      <c r="F2088" s="9" t="s">
        <v>5705</v>
      </c>
      <c r="G2088" s="9" t="s">
        <v>5706</v>
      </c>
      <c r="H2088" s="12" t="s">
        <v>5707</v>
      </c>
      <c r="I2088" s="10">
        <v>45562</v>
      </c>
    </row>
    <row r="2089" spans="1:9" x14ac:dyDescent="0.15">
      <c r="A2089" s="9">
        <v>2088</v>
      </c>
      <c r="B2089" s="9" t="s">
        <v>9</v>
      </c>
      <c r="C2089" s="9">
        <v>1915</v>
      </c>
      <c r="D2089" s="10">
        <v>45639</v>
      </c>
      <c r="E2089" s="13" t="str">
        <f>+HYPERLINK("http://trademark.i-assist.jp/data/china/image_1915th/81143891.pdf","81143891")</f>
        <v>81143891</v>
      </c>
      <c r="F2089" s="9" t="s">
        <v>5708</v>
      </c>
      <c r="G2089" s="9" t="s">
        <v>5709</v>
      </c>
      <c r="H2089" s="9" t="s">
        <v>5710</v>
      </c>
      <c r="I2089" s="10">
        <v>45562</v>
      </c>
    </row>
    <row r="2090" spans="1:9" x14ac:dyDescent="0.15">
      <c r="A2090" s="9">
        <v>2089</v>
      </c>
      <c r="B2090" s="9" t="s">
        <v>9</v>
      </c>
      <c r="C2090" s="9">
        <v>1915</v>
      </c>
      <c r="D2090" s="10">
        <v>45639</v>
      </c>
      <c r="E2090" s="13" t="str">
        <f>+HYPERLINK("http://trademark.i-assist.jp/data/china/image_1915th/81144847.pdf","81144847")</f>
        <v>81144847</v>
      </c>
      <c r="F2090" s="9" t="s">
        <v>5711</v>
      </c>
      <c r="G2090" s="12" t="s">
        <v>5712</v>
      </c>
      <c r="H2090" s="9" t="s">
        <v>5713</v>
      </c>
      <c r="I2090" s="10">
        <v>45562</v>
      </c>
    </row>
    <row r="2091" spans="1:9" x14ac:dyDescent="0.15">
      <c r="A2091" s="9">
        <v>2090</v>
      </c>
      <c r="B2091" s="9" t="s">
        <v>9</v>
      </c>
      <c r="C2091" s="9">
        <v>1915</v>
      </c>
      <c r="D2091" s="10">
        <v>45639</v>
      </c>
      <c r="E2091" s="13" t="str">
        <f>+HYPERLINK("http://trademark.i-assist.jp/data/china/image_1915th/81145508.pdf","81145508")</f>
        <v>81145508</v>
      </c>
      <c r="F2091" s="9" t="s">
        <v>5714</v>
      </c>
      <c r="G2091" s="9" t="s">
        <v>5715</v>
      </c>
      <c r="H2091" s="9" t="s">
        <v>5716</v>
      </c>
      <c r="I2091" s="10">
        <v>45562</v>
      </c>
    </row>
    <row r="2092" spans="1:9" x14ac:dyDescent="0.15">
      <c r="A2092" s="9">
        <v>2091</v>
      </c>
      <c r="B2092" s="9" t="s">
        <v>9</v>
      </c>
      <c r="C2092" s="9">
        <v>1915</v>
      </c>
      <c r="D2092" s="10">
        <v>45639</v>
      </c>
      <c r="E2092" s="13" t="str">
        <f>+HYPERLINK("http://trademark.i-assist.jp/data/china/image_1915th/81145921.pdf","81145921")</f>
        <v>81145921</v>
      </c>
      <c r="F2092" s="9" t="s">
        <v>5717</v>
      </c>
      <c r="G2092" s="9" t="s">
        <v>36</v>
      </c>
      <c r="H2092" s="9" t="s">
        <v>5718</v>
      </c>
      <c r="I2092" s="10">
        <v>45562</v>
      </c>
    </row>
    <row r="2093" spans="1:9" x14ac:dyDescent="0.15">
      <c r="A2093" s="9">
        <v>2092</v>
      </c>
      <c r="B2093" s="9" t="s">
        <v>9</v>
      </c>
      <c r="C2093" s="9">
        <v>1915</v>
      </c>
      <c r="D2093" s="10">
        <v>45639</v>
      </c>
      <c r="E2093" s="13" t="str">
        <f>+HYPERLINK("http://trademark.i-assist.jp/data/china/image_1915th/81146593.pdf","81146593")</f>
        <v>81146593</v>
      </c>
      <c r="F2093" s="12" t="s">
        <v>5719</v>
      </c>
      <c r="G2093" s="12" t="s">
        <v>5703</v>
      </c>
      <c r="H2093" s="9" t="s">
        <v>5720</v>
      </c>
      <c r="I2093" s="10">
        <v>45562</v>
      </c>
    </row>
    <row r="2094" spans="1:9" x14ac:dyDescent="0.15">
      <c r="A2094" s="9">
        <v>2093</v>
      </c>
      <c r="B2094" s="9" t="s">
        <v>9</v>
      </c>
      <c r="C2094" s="9">
        <v>1915</v>
      </c>
      <c r="D2094" s="10">
        <v>45639</v>
      </c>
      <c r="E2094" s="13" t="str">
        <f>+HYPERLINK("http://trademark.i-assist.jp/data/china/image_1915th/81147070.pdf","81147070")</f>
        <v>81147070</v>
      </c>
      <c r="F2094" s="12" t="s">
        <v>15</v>
      </c>
      <c r="G2094" s="9" t="s">
        <v>5721</v>
      </c>
      <c r="H2094" s="9" t="s">
        <v>5722</v>
      </c>
      <c r="I2094" s="10">
        <v>45562</v>
      </c>
    </row>
    <row r="2095" spans="1:9" x14ac:dyDescent="0.15">
      <c r="A2095" s="9">
        <v>2094</v>
      </c>
      <c r="B2095" s="9" t="s">
        <v>9</v>
      </c>
      <c r="C2095" s="9">
        <v>1915</v>
      </c>
      <c r="D2095" s="10">
        <v>45639</v>
      </c>
      <c r="E2095" s="13" t="str">
        <f>+HYPERLINK("http://trademark.i-assist.jp/data/china/image_1915th/81147165.pdf","81147165")</f>
        <v>81147165</v>
      </c>
      <c r="F2095" s="9" t="s">
        <v>5723</v>
      </c>
      <c r="G2095" s="12" t="s">
        <v>5724</v>
      </c>
      <c r="H2095" s="9" t="s">
        <v>5725</v>
      </c>
      <c r="I2095" s="10">
        <v>45562</v>
      </c>
    </row>
    <row r="2096" spans="1:9" x14ac:dyDescent="0.15">
      <c r="A2096" s="9">
        <v>2095</v>
      </c>
      <c r="B2096" s="9" t="s">
        <v>9</v>
      </c>
      <c r="C2096" s="9">
        <v>1915</v>
      </c>
      <c r="D2096" s="10">
        <v>45639</v>
      </c>
      <c r="E2096" s="13" t="str">
        <f>+HYPERLINK("http://trademark.i-assist.jp/data/china/image_1915th/81147616.pdf","81147616")</f>
        <v>81147616</v>
      </c>
      <c r="F2096" s="12" t="s">
        <v>5726</v>
      </c>
      <c r="G2096" s="9" t="s">
        <v>22</v>
      </c>
      <c r="H2096" s="9" t="s">
        <v>5727</v>
      </c>
      <c r="I2096" s="10">
        <v>45562</v>
      </c>
    </row>
    <row r="2097" spans="1:9" x14ac:dyDescent="0.15">
      <c r="A2097" s="9">
        <v>2096</v>
      </c>
      <c r="B2097" s="9" t="s">
        <v>9</v>
      </c>
      <c r="C2097" s="9">
        <v>1915</v>
      </c>
      <c r="D2097" s="10">
        <v>45639</v>
      </c>
      <c r="E2097" s="13" t="str">
        <f>+HYPERLINK("http://trademark.i-assist.jp/data/china/image_1915th/81147877.pdf","81147877")</f>
        <v>81147877</v>
      </c>
      <c r="F2097" s="9" t="s">
        <v>5728</v>
      </c>
      <c r="G2097" s="12" t="s">
        <v>5729</v>
      </c>
      <c r="H2097" s="9" t="s">
        <v>5730</v>
      </c>
      <c r="I2097" s="10">
        <v>45562</v>
      </c>
    </row>
    <row r="2098" spans="1:9" x14ac:dyDescent="0.15">
      <c r="A2098" s="9">
        <v>2097</v>
      </c>
      <c r="B2098" s="9" t="s">
        <v>9</v>
      </c>
      <c r="C2098" s="9">
        <v>1915</v>
      </c>
      <c r="D2098" s="10">
        <v>45639</v>
      </c>
      <c r="E2098" s="13" t="str">
        <f>+HYPERLINK("http://trademark.i-assist.jp/data/china/image_1915th/81147878.pdf","81147878")</f>
        <v>81147878</v>
      </c>
      <c r="F2098" s="9" t="s">
        <v>5731</v>
      </c>
      <c r="G2098" s="9" t="s">
        <v>5411</v>
      </c>
      <c r="H2098" s="9" t="s">
        <v>5732</v>
      </c>
      <c r="I2098" s="10">
        <v>45562</v>
      </c>
    </row>
    <row r="2099" spans="1:9" x14ac:dyDescent="0.15">
      <c r="A2099" s="9">
        <v>2098</v>
      </c>
      <c r="B2099" s="9" t="s">
        <v>9</v>
      </c>
      <c r="C2099" s="9">
        <v>1915</v>
      </c>
      <c r="D2099" s="10">
        <v>45639</v>
      </c>
      <c r="E2099" s="13" t="str">
        <f>+HYPERLINK("http://trademark.i-assist.jp/data/china/image_1915th/81147899.pdf","81147899")</f>
        <v>81147899</v>
      </c>
      <c r="F2099" s="9" t="s">
        <v>5733</v>
      </c>
      <c r="G2099" s="9" t="s">
        <v>5734</v>
      </c>
      <c r="H2099" s="9" t="s">
        <v>5735</v>
      </c>
      <c r="I2099" s="10">
        <v>45562</v>
      </c>
    </row>
    <row r="2100" spans="1:9" x14ac:dyDescent="0.15">
      <c r="A2100" s="9">
        <v>2099</v>
      </c>
      <c r="B2100" s="9" t="s">
        <v>9</v>
      </c>
      <c r="C2100" s="9">
        <v>1915</v>
      </c>
      <c r="D2100" s="10">
        <v>45639</v>
      </c>
      <c r="E2100" s="13" t="str">
        <f>+HYPERLINK("http://trademark.i-assist.jp/data/china/image_1915th/81147997.pdf","81147997")</f>
        <v>81147997</v>
      </c>
      <c r="F2100" s="9" t="s">
        <v>5736</v>
      </c>
      <c r="G2100" s="9" t="s">
        <v>5737</v>
      </c>
      <c r="H2100" s="9" t="s">
        <v>5738</v>
      </c>
      <c r="I2100" s="10">
        <v>45562</v>
      </c>
    </row>
    <row r="2101" spans="1:9" x14ac:dyDescent="0.15">
      <c r="A2101" s="9">
        <v>2100</v>
      </c>
      <c r="B2101" s="9" t="s">
        <v>9</v>
      </c>
      <c r="C2101" s="9">
        <v>1915</v>
      </c>
      <c r="D2101" s="10">
        <v>45639</v>
      </c>
      <c r="E2101" s="13" t="str">
        <f>+HYPERLINK("http://trademark.i-assist.jp/data/china/image_1915th/81148101.pdf","81148101")</f>
        <v>81148101</v>
      </c>
      <c r="F2101" s="9" t="s">
        <v>5739</v>
      </c>
      <c r="G2101" s="9" t="s">
        <v>5740</v>
      </c>
      <c r="H2101" s="9" t="s">
        <v>5741</v>
      </c>
      <c r="I2101" s="10">
        <v>45562</v>
      </c>
    </row>
    <row r="2102" spans="1:9" x14ac:dyDescent="0.15">
      <c r="A2102" s="9">
        <v>2101</v>
      </c>
      <c r="B2102" s="9" t="s">
        <v>9</v>
      </c>
      <c r="C2102" s="9">
        <v>1915</v>
      </c>
      <c r="D2102" s="10">
        <v>45639</v>
      </c>
      <c r="E2102" s="13" t="str">
        <f>+HYPERLINK("http://trademark.i-assist.jp/data/china/image_1915th/81148227.pdf","81148227")</f>
        <v>81148227</v>
      </c>
      <c r="F2102" s="9" t="s">
        <v>5742</v>
      </c>
      <c r="G2102" s="12" t="s">
        <v>5743</v>
      </c>
      <c r="H2102" s="9" t="s">
        <v>5744</v>
      </c>
      <c r="I2102" s="10">
        <v>45562</v>
      </c>
    </row>
    <row r="2103" spans="1:9" x14ac:dyDescent="0.15">
      <c r="A2103" s="9">
        <v>2102</v>
      </c>
      <c r="B2103" s="9" t="s">
        <v>9</v>
      </c>
      <c r="C2103" s="9">
        <v>1915</v>
      </c>
      <c r="D2103" s="10">
        <v>45639</v>
      </c>
      <c r="E2103" s="13" t="str">
        <f>+HYPERLINK("http://trademark.i-assist.jp/data/china/image_1915th/81149221.pdf","81149221")</f>
        <v>81149221</v>
      </c>
      <c r="F2103" s="12" t="s">
        <v>5745</v>
      </c>
      <c r="G2103" s="9" t="s">
        <v>5746</v>
      </c>
      <c r="H2103" s="9" t="s">
        <v>5747</v>
      </c>
      <c r="I2103" s="10">
        <v>45562</v>
      </c>
    </row>
    <row r="2104" spans="1:9" x14ac:dyDescent="0.15">
      <c r="A2104" s="9">
        <v>2103</v>
      </c>
      <c r="B2104" s="9" t="s">
        <v>9</v>
      </c>
      <c r="C2104" s="9">
        <v>1915</v>
      </c>
      <c r="D2104" s="10">
        <v>45639</v>
      </c>
      <c r="E2104" s="13" t="str">
        <f>+HYPERLINK("http://trademark.i-assist.jp/data/china/image_1915th/81149512.pdf","81149512")</f>
        <v>81149512</v>
      </c>
      <c r="F2104" s="9" t="s">
        <v>5748</v>
      </c>
      <c r="G2104" s="12" t="s">
        <v>5743</v>
      </c>
      <c r="H2104" s="9" t="s">
        <v>5749</v>
      </c>
      <c r="I2104" s="10">
        <v>45562</v>
      </c>
    </row>
    <row r="2105" spans="1:9" x14ac:dyDescent="0.15">
      <c r="A2105" s="9">
        <v>2104</v>
      </c>
      <c r="B2105" s="9" t="s">
        <v>9</v>
      </c>
      <c r="C2105" s="9">
        <v>1915</v>
      </c>
      <c r="D2105" s="10">
        <v>45639</v>
      </c>
      <c r="E2105" s="13" t="str">
        <f>+HYPERLINK("http://trademark.i-assist.jp/data/china/image_1915th/81149532.pdf","81149532")</f>
        <v>81149532</v>
      </c>
      <c r="F2105" s="9" t="s">
        <v>5750</v>
      </c>
      <c r="G2105" s="12" t="s">
        <v>5751</v>
      </c>
      <c r="H2105" s="9" t="s">
        <v>5752</v>
      </c>
      <c r="I2105" s="10">
        <v>45562</v>
      </c>
    </row>
    <row r="2106" spans="1:9" x14ac:dyDescent="0.15">
      <c r="A2106" s="9">
        <v>2105</v>
      </c>
      <c r="B2106" s="9" t="s">
        <v>9</v>
      </c>
      <c r="C2106" s="9">
        <v>1915</v>
      </c>
      <c r="D2106" s="10">
        <v>45639</v>
      </c>
      <c r="E2106" s="13" t="str">
        <f>+HYPERLINK("http://trademark.i-assist.jp/data/china/image_1915th/81149791.pdf","81149791")</f>
        <v>81149791</v>
      </c>
      <c r="F2106" s="9" t="s">
        <v>5753</v>
      </c>
      <c r="G2106" s="9" t="s">
        <v>5754</v>
      </c>
      <c r="H2106" s="9" t="s">
        <v>5755</v>
      </c>
      <c r="I2106" s="10">
        <v>45562</v>
      </c>
    </row>
    <row r="2107" spans="1:9" x14ac:dyDescent="0.15">
      <c r="A2107" s="9">
        <v>2106</v>
      </c>
      <c r="B2107" s="9" t="s">
        <v>9</v>
      </c>
      <c r="C2107" s="9">
        <v>1915</v>
      </c>
      <c r="D2107" s="10">
        <v>45639</v>
      </c>
      <c r="E2107" s="13" t="str">
        <f>+HYPERLINK("http://trademark.i-assist.jp/data/china/image_1915th/81149844.pdf","81149844")</f>
        <v>81149844</v>
      </c>
      <c r="F2107" s="9" t="s">
        <v>5756</v>
      </c>
      <c r="G2107" s="9" t="s">
        <v>5757</v>
      </c>
      <c r="H2107" s="12" t="s">
        <v>5758</v>
      </c>
      <c r="I2107" s="10">
        <v>45562</v>
      </c>
    </row>
    <row r="2108" spans="1:9" x14ac:dyDescent="0.15">
      <c r="A2108" s="9">
        <v>2107</v>
      </c>
      <c r="B2108" s="9" t="s">
        <v>9</v>
      </c>
      <c r="C2108" s="9">
        <v>1915</v>
      </c>
      <c r="D2108" s="10">
        <v>45639</v>
      </c>
      <c r="E2108" s="13" t="str">
        <f>+HYPERLINK("http://trademark.i-assist.jp/data/china/image_1915th/81150039.pdf","81150039")</f>
        <v>81150039</v>
      </c>
      <c r="F2108" s="9" t="s">
        <v>5759</v>
      </c>
      <c r="G2108" s="12" t="s">
        <v>5760</v>
      </c>
      <c r="H2108" s="9" t="s">
        <v>5761</v>
      </c>
      <c r="I2108" s="10">
        <v>45562</v>
      </c>
    </row>
    <row r="2109" spans="1:9" x14ac:dyDescent="0.15">
      <c r="A2109" s="9">
        <v>2108</v>
      </c>
      <c r="B2109" s="9" t="s">
        <v>9</v>
      </c>
      <c r="C2109" s="9">
        <v>1915</v>
      </c>
      <c r="D2109" s="10">
        <v>45639</v>
      </c>
      <c r="E2109" s="13" t="str">
        <f>+HYPERLINK("http://trademark.i-assist.jp/data/china/image_1915th/81150150.pdf","81150150")</f>
        <v>81150150</v>
      </c>
      <c r="F2109" s="9" t="s">
        <v>5762</v>
      </c>
      <c r="G2109" s="12" t="s">
        <v>5763</v>
      </c>
      <c r="H2109" s="9" t="s">
        <v>5764</v>
      </c>
      <c r="I2109" s="10">
        <v>45562</v>
      </c>
    </row>
    <row r="2110" spans="1:9" x14ac:dyDescent="0.15">
      <c r="A2110" s="9">
        <v>2109</v>
      </c>
      <c r="B2110" s="9" t="s">
        <v>9</v>
      </c>
      <c r="C2110" s="9">
        <v>1915</v>
      </c>
      <c r="D2110" s="10">
        <v>45639</v>
      </c>
      <c r="E2110" s="13" t="str">
        <f>+HYPERLINK("http://trademark.i-assist.jp/data/china/image_1915th/81150218.pdf","81150218")</f>
        <v>81150218</v>
      </c>
      <c r="F2110" s="12" t="s">
        <v>5765</v>
      </c>
      <c r="G2110" s="12" t="s">
        <v>5724</v>
      </c>
      <c r="H2110" s="9" t="s">
        <v>5766</v>
      </c>
      <c r="I2110" s="10">
        <v>45562</v>
      </c>
    </row>
    <row r="2111" spans="1:9" x14ac:dyDescent="0.15">
      <c r="A2111" s="9">
        <v>2110</v>
      </c>
      <c r="B2111" s="9" t="s">
        <v>9</v>
      </c>
      <c r="C2111" s="9">
        <v>1915</v>
      </c>
      <c r="D2111" s="10">
        <v>45639</v>
      </c>
      <c r="E2111" s="13" t="str">
        <f>+HYPERLINK("http://trademark.i-assist.jp/data/china/image_1915th/81150324.pdf","81150324")</f>
        <v>81150324</v>
      </c>
      <c r="F2111" s="12" t="s">
        <v>5767</v>
      </c>
      <c r="G2111" s="12" t="s">
        <v>5703</v>
      </c>
      <c r="H2111" s="9" t="s">
        <v>5768</v>
      </c>
      <c r="I2111" s="10">
        <v>45562</v>
      </c>
    </row>
    <row r="2112" spans="1:9" x14ac:dyDescent="0.15">
      <c r="A2112" s="9">
        <v>2111</v>
      </c>
      <c r="B2112" s="9" t="s">
        <v>9</v>
      </c>
      <c r="C2112" s="9">
        <v>1915</v>
      </c>
      <c r="D2112" s="10">
        <v>45639</v>
      </c>
      <c r="E2112" s="13" t="str">
        <f>+HYPERLINK("http://trademark.i-assist.jp/data/china/image_1915th/81150489.pdf","81150489")</f>
        <v>81150489</v>
      </c>
      <c r="F2112" s="9" t="s">
        <v>5769</v>
      </c>
      <c r="G2112" s="9" t="s">
        <v>5770</v>
      </c>
      <c r="H2112" s="9" t="s">
        <v>5771</v>
      </c>
      <c r="I2112" s="10">
        <v>45562</v>
      </c>
    </row>
    <row r="2113" spans="1:9" x14ac:dyDescent="0.15">
      <c r="A2113" s="9">
        <v>2112</v>
      </c>
      <c r="B2113" s="9" t="s">
        <v>9</v>
      </c>
      <c r="C2113" s="9">
        <v>1915</v>
      </c>
      <c r="D2113" s="10">
        <v>45639</v>
      </c>
      <c r="E2113" s="13" t="str">
        <f>+HYPERLINK("http://trademark.i-assist.jp/data/china/image_1915th/81150506.pdf","81150506")</f>
        <v>81150506</v>
      </c>
      <c r="F2113" s="9" t="s">
        <v>5772</v>
      </c>
      <c r="G2113" s="9" t="s">
        <v>5773</v>
      </c>
      <c r="H2113" s="9" t="s">
        <v>5774</v>
      </c>
      <c r="I2113" s="10">
        <v>45562</v>
      </c>
    </row>
    <row r="2114" spans="1:9" x14ac:dyDescent="0.15">
      <c r="A2114" s="9">
        <v>2113</v>
      </c>
      <c r="B2114" s="9" t="s">
        <v>9</v>
      </c>
      <c r="C2114" s="9">
        <v>1915</v>
      </c>
      <c r="D2114" s="10">
        <v>45639</v>
      </c>
      <c r="E2114" s="13" t="str">
        <f>+HYPERLINK("http://trademark.i-assist.jp/data/china/image_1915th/81150818.pdf","81150818")</f>
        <v>81150818</v>
      </c>
      <c r="F2114" s="9" t="s">
        <v>5775</v>
      </c>
      <c r="G2114" s="9" t="s">
        <v>5776</v>
      </c>
      <c r="H2114" s="9" t="s">
        <v>5777</v>
      </c>
      <c r="I2114" s="10">
        <v>45562</v>
      </c>
    </row>
    <row r="2115" spans="1:9" x14ac:dyDescent="0.15">
      <c r="A2115" s="9">
        <v>2114</v>
      </c>
      <c r="B2115" s="9" t="s">
        <v>9</v>
      </c>
      <c r="C2115" s="9">
        <v>1915</v>
      </c>
      <c r="D2115" s="10">
        <v>45639</v>
      </c>
      <c r="E2115" s="13" t="str">
        <f>+HYPERLINK("http://trademark.i-assist.jp/data/china/image_1915th/81152022.pdf","81152022")</f>
        <v>81152022</v>
      </c>
      <c r="F2115" s="12" t="s">
        <v>5778</v>
      </c>
      <c r="G2115" s="9" t="s">
        <v>5779</v>
      </c>
      <c r="H2115" s="9" t="s">
        <v>5780</v>
      </c>
      <c r="I2115" s="10">
        <v>45562</v>
      </c>
    </row>
    <row r="2116" spans="1:9" x14ac:dyDescent="0.15">
      <c r="A2116" s="9">
        <v>2115</v>
      </c>
      <c r="B2116" s="9" t="s">
        <v>9</v>
      </c>
      <c r="C2116" s="9">
        <v>1915</v>
      </c>
      <c r="D2116" s="10">
        <v>45639</v>
      </c>
      <c r="E2116" s="13" t="str">
        <f>+HYPERLINK("http://trademark.i-assist.jp/data/china/image_1915th/81152103.pdf","81152103")</f>
        <v>81152103</v>
      </c>
      <c r="F2116" s="12" t="s">
        <v>5781</v>
      </c>
      <c r="G2116" s="9" t="s">
        <v>5782</v>
      </c>
      <c r="H2116" s="9" t="s">
        <v>5783</v>
      </c>
      <c r="I2116" s="10">
        <v>45562</v>
      </c>
    </row>
    <row r="2117" spans="1:9" x14ac:dyDescent="0.15">
      <c r="A2117" s="9">
        <v>2116</v>
      </c>
      <c r="B2117" s="9" t="s">
        <v>9</v>
      </c>
      <c r="C2117" s="9">
        <v>1915</v>
      </c>
      <c r="D2117" s="10">
        <v>45639</v>
      </c>
      <c r="E2117" s="13" t="str">
        <f>+HYPERLINK("http://trademark.i-assist.jp/data/china/image_1915th/81152152.pdf","81152152")</f>
        <v>81152152</v>
      </c>
      <c r="F2117" s="9" t="s">
        <v>5784</v>
      </c>
      <c r="G2117" s="9" t="s">
        <v>5785</v>
      </c>
      <c r="H2117" s="9" t="s">
        <v>5786</v>
      </c>
      <c r="I2117" s="10">
        <v>45562</v>
      </c>
    </row>
    <row r="2118" spans="1:9" x14ac:dyDescent="0.15">
      <c r="A2118" s="9">
        <v>2117</v>
      </c>
      <c r="B2118" s="9" t="s">
        <v>9</v>
      </c>
      <c r="C2118" s="9">
        <v>1915</v>
      </c>
      <c r="D2118" s="10">
        <v>45639</v>
      </c>
      <c r="E2118" s="13" t="str">
        <f>+HYPERLINK("http://trademark.i-assist.jp/data/china/image_1915th/81152977.pdf","81152977")</f>
        <v>81152977</v>
      </c>
      <c r="F2118" s="9" t="s">
        <v>5787</v>
      </c>
      <c r="G2118" s="12" t="s">
        <v>5743</v>
      </c>
      <c r="H2118" s="9" t="s">
        <v>5788</v>
      </c>
      <c r="I2118" s="10">
        <v>45562</v>
      </c>
    </row>
    <row r="2119" spans="1:9" x14ac:dyDescent="0.15">
      <c r="A2119" s="9">
        <v>2118</v>
      </c>
      <c r="B2119" s="9" t="s">
        <v>9</v>
      </c>
      <c r="C2119" s="9">
        <v>1915</v>
      </c>
      <c r="D2119" s="10">
        <v>45639</v>
      </c>
      <c r="E2119" s="13" t="str">
        <f>+HYPERLINK("http://trademark.i-assist.jp/data/china/image_1915th/81153226.pdf","81153226")</f>
        <v>81153226</v>
      </c>
      <c r="F2119" s="9" t="s">
        <v>5789</v>
      </c>
      <c r="G2119" s="9" t="s">
        <v>5790</v>
      </c>
      <c r="H2119" s="9" t="s">
        <v>5791</v>
      </c>
      <c r="I2119" s="10">
        <v>45562</v>
      </c>
    </row>
    <row r="2120" spans="1:9" x14ac:dyDescent="0.15">
      <c r="A2120" s="9">
        <v>2119</v>
      </c>
      <c r="B2120" s="9" t="s">
        <v>9</v>
      </c>
      <c r="C2120" s="9">
        <v>1915</v>
      </c>
      <c r="D2120" s="10">
        <v>45639</v>
      </c>
      <c r="E2120" s="13" t="str">
        <f>+HYPERLINK("http://trademark.i-assist.jp/data/china/image_1915th/81153241.pdf","81153241")</f>
        <v>81153241</v>
      </c>
      <c r="F2120" s="12" t="s">
        <v>15</v>
      </c>
      <c r="G2120" s="9" t="s">
        <v>5790</v>
      </c>
      <c r="H2120" s="9" t="s">
        <v>5792</v>
      </c>
      <c r="I2120" s="10">
        <v>45562</v>
      </c>
    </row>
    <row r="2121" spans="1:9" x14ac:dyDescent="0.15">
      <c r="A2121" s="9">
        <v>2120</v>
      </c>
      <c r="B2121" s="9" t="s">
        <v>9</v>
      </c>
      <c r="C2121" s="9">
        <v>1915</v>
      </c>
      <c r="D2121" s="10">
        <v>45639</v>
      </c>
      <c r="E2121" s="13" t="str">
        <f>+HYPERLINK("http://trademark.i-assist.jp/data/china/image_1915th/81153725.pdf","81153725")</f>
        <v>81153725</v>
      </c>
      <c r="F2121" s="9" t="s">
        <v>5793</v>
      </c>
      <c r="G2121" s="9" t="s">
        <v>5794</v>
      </c>
      <c r="H2121" s="9" t="s">
        <v>5795</v>
      </c>
      <c r="I2121" s="10">
        <v>45562</v>
      </c>
    </row>
    <row r="2122" spans="1:9" x14ac:dyDescent="0.15">
      <c r="A2122" s="9">
        <v>2121</v>
      </c>
      <c r="B2122" s="9" t="s">
        <v>9</v>
      </c>
      <c r="C2122" s="9">
        <v>1915</v>
      </c>
      <c r="D2122" s="10">
        <v>45639</v>
      </c>
      <c r="E2122" s="13" t="str">
        <f>+HYPERLINK("http://trademark.i-assist.jp/data/china/image_1915th/81154272.pdf","81154272")</f>
        <v>81154272</v>
      </c>
      <c r="F2122" s="12" t="s">
        <v>5796</v>
      </c>
      <c r="G2122" s="9" t="s">
        <v>5797</v>
      </c>
      <c r="H2122" s="9" t="s">
        <v>5798</v>
      </c>
      <c r="I2122" s="10">
        <v>45562</v>
      </c>
    </row>
    <row r="2123" spans="1:9" x14ac:dyDescent="0.15">
      <c r="A2123" s="9">
        <v>2122</v>
      </c>
      <c r="B2123" s="9" t="s">
        <v>9</v>
      </c>
      <c r="C2123" s="9">
        <v>1915</v>
      </c>
      <c r="D2123" s="10">
        <v>45639</v>
      </c>
      <c r="E2123" s="13" t="str">
        <f>+HYPERLINK("http://trademark.i-assist.jp/data/china/image_1915th/81154275.pdf","81154275")</f>
        <v>81154275</v>
      </c>
      <c r="F2123" s="9" t="s">
        <v>5799</v>
      </c>
      <c r="G2123" s="9" t="s">
        <v>5800</v>
      </c>
      <c r="H2123" s="9" t="s">
        <v>5801</v>
      </c>
      <c r="I2123" s="10">
        <v>45562</v>
      </c>
    </row>
    <row r="2124" spans="1:9" x14ac:dyDescent="0.15">
      <c r="A2124" s="9">
        <v>2123</v>
      </c>
      <c r="B2124" s="9" t="s">
        <v>9</v>
      </c>
      <c r="C2124" s="9">
        <v>1915</v>
      </c>
      <c r="D2124" s="10">
        <v>45639</v>
      </c>
      <c r="E2124" s="13" t="str">
        <f>+HYPERLINK("http://trademark.i-assist.jp/data/china/image_1915th/81154397.pdf","81154397")</f>
        <v>81154397</v>
      </c>
      <c r="F2124" s="9" t="s">
        <v>5802</v>
      </c>
      <c r="G2124" s="12" t="s">
        <v>5803</v>
      </c>
      <c r="H2124" s="9" t="s">
        <v>5804</v>
      </c>
      <c r="I2124" s="10">
        <v>45562</v>
      </c>
    </row>
    <row r="2125" spans="1:9" x14ac:dyDescent="0.15">
      <c r="A2125" s="9">
        <v>2124</v>
      </c>
      <c r="B2125" s="9" t="s">
        <v>9</v>
      </c>
      <c r="C2125" s="9">
        <v>1915</v>
      </c>
      <c r="D2125" s="10">
        <v>45639</v>
      </c>
      <c r="E2125" s="13" t="str">
        <f>+HYPERLINK("http://trademark.i-assist.jp/data/china/image_1915th/81155303.pdf","81155303")</f>
        <v>81155303</v>
      </c>
      <c r="F2125" s="9" t="s">
        <v>5805</v>
      </c>
      <c r="G2125" s="9" t="s">
        <v>5715</v>
      </c>
      <c r="H2125" s="12" t="s">
        <v>5806</v>
      </c>
      <c r="I2125" s="10">
        <v>45562</v>
      </c>
    </row>
    <row r="2126" spans="1:9" x14ac:dyDescent="0.15">
      <c r="A2126" s="9">
        <v>2125</v>
      </c>
      <c r="B2126" s="9" t="s">
        <v>9</v>
      </c>
      <c r="C2126" s="9">
        <v>1915</v>
      </c>
      <c r="D2126" s="10">
        <v>45639</v>
      </c>
      <c r="E2126" s="13" t="str">
        <f>+HYPERLINK("http://trademark.i-assist.jp/data/china/image_1915th/81155367.pdf","81155367")</f>
        <v>81155367</v>
      </c>
      <c r="F2126" s="9" t="s">
        <v>5807</v>
      </c>
      <c r="G2126" s="9" t="s">
        <v>5808</v>
      </c>
      <c r="H2126" s="9" t="s">
        <v>5809</v>
      </c>
      <c r="I2126" s="10">
        <v>45562</v>
      </c>
    </row>
    <row r="2127" spans="1:9" x14ac:dyDescent="0.15">
      <c r="A2127" s="9">
        <v>2126</v>
      </c>
      <c r="B2127" s="9" t="s">
        <v>9</v>
      </c>
      <c r="C2127" s="9">
        <v>1915</v>
      </c>
      <c r="D2127" s="10">
        <v>45639</v>
      </c>
      <c r="E2127" s="13" t="str">
        <f>+HYPERLINK("http://trademark.i-assist.jp/data/china/image_1915th/81155467.pdf","81155467")</f>
        <v>81155467</v>
      </c>
      <c r="F2127" s="9" t="s">
        <v>5810</v>
      </c>
      <c r="G2127" s="9" t="s">
        <v>5811</v>
      </c>
      <c r="H2127" s="9" t="s">
        <v>5812</v>
      </c>
      <c r="I2127" s="10">
        <v>45562</v>
      </c>
    </row>
    <row r="2128" spans="1:9" x14ac:dyDescent="0.15">
      <c r="A2128" s="9">
        <v>2127</v>
      </c>
      <c r="B2128" s="9" t="s">
        <v>9</v>
      </c>
      <c r="C2128" s="9">
        <v>1915</v>
      </c>
      <c r="D2128" s="10">
        <v>45639</v>
      </c>
      <c r="E2128" s="13" t="str">
        <f>+HYPERLINK("http://trademark.i-assist.jp/data/china/image_1915th/81155756.pdf","81155756")</f>
        <v>81155756</v>
      </c>
      <c r="F2128" s="9" t="s">
        <v>5813</v>
      </c>
      <c r="G2128" s="12" t="s">
        <v>5814</v>
      </c>
      <c r="H2128" s="9" t="s">
        <v>5815</v>
      </c>
      <c r="I2128" s="10">
        <v>45562</v>
      </c>
    </row>
    <row r="2129" spans="1:9" x14ac:dyDescent="0.15">
      <c r="A2129" s="9">
        <v>2128</v>
      </c>
      <c r="B2129" s="9" t="s">
        <v>9</v>
      </c>
      <c r="C2129" s="9">
        <v>1915</v>
      </c>
      <c r="D2129" s="10">
        <v>45639</v>
      </c>
      <c r="E2129" s="13" t="str">
        <f>+HYPERLINK("http://trademark.i-assist.jp/data/china/image_1915th/81155914.pdf","81155914")</f>
        <v>81155914</v>
      </c>
      <c r="F2129" s="9" t="s">
        <v>5816</v>
      </c>
      <c r="G2129" s="9" t="s">
        <v>5817</v>
      </c>
      <c r="H2129" s="9" t="s">
        <v>5818</v>
      </c>
      <c r="I2129" s="10">
        <v>45562</v>
      </c>
    </row>
    <row r="2130" spans="1:9" x14ac:dyDescent="0.15">
      <c r="A2130" s="9">
        <v>2129</v>
      </c>
      <c r="B2130" s="9" t="s">
        <v>9</v>
      </c>
      <c r="C2130" s="9">
        <v>1915</v>
      </c>
      <c r="D2130" s="10">
        <v>45639</v>
      </c>
      <c r="E2130" s="13" t="str">
        <f>+HYPERLINK("http://trademark.i-assist.jp/data/china/image_1915th/81156034.pdf","81156034")</f>
        <v>81156034</v>
      </c>
      <c r="F2130" s="9" t="s">
        <v>5819</v>
      </c>
      <c r="G2130" s="9" t="s">
        <v>5817</v>
      </c>
      <c r="H2130" s="9" t="s">
        <v>5820</v>
      </c>
      <c r="I2130" s="10">
        <v>45562</v>
      </c>
    </row>
    <row r="2131" spans="1:9" x14ac:dyDescent="0.15">
      <c r="A2131" s="9">
        <v>2130</v>
      </c>
      <c r="B2131" s="9" t="s">
        <v>9</v>
      </c>
      <c r="C2131" s="9">
        <v>1915</v>
      </c>
      <c r="D2131" s="10">
        <v>45639</v>
      </c>
      <c r="E2131" s="13" t="str">
        <f>+HYPERLINK("http://trademark.i-assist.jp/data/china/image_1915th/81156054.pdf","81156054")</f>
        <v>81156054</v>
      </c>
      <c r="F2131" s="12" t="s">
        <v>5821</v>
      </c>
      <c r="G2131" s="9" t="s">
        <v>4898</v>
      </c>
      <c r="H2131" s="12" t="s">
        <v>5822</v>
      </c>
      <c r="I2131" s="10">
        <v>45562</v>
      </c>
    </row>
    <row r="2132" spans="1:9" x14ac:dyDescent="0.15">
      <c r="A2132" s="9">
        <v>2131</v>
      </c>
      <c r="B2132" s="9" t="s">
        <v>9</v>
      </c>
      <c r="C2132" s="9">
        <v>1915</v>
      </c>
      <c r="D2132" s="10">
        <v>45639</v>
      </c>
      <c r="E2132" s="13" t="str">
        <f>+HYPERLINK("http://trademark.i-assist.jp/data/china/image_1915th/81156229.pdf","81156229")</f>
        <v>81156229</v>
      </c>
      <c r="F2132" s="9" t="s">
        <v>5823</v>
      </c>
      <c r="G2132" s="9" t="s">
        <v>5048</v>
      </c>
      <c r="H2132" s="12" t="s">
        <v>5824</v>
      </c>
      <c r="I2132" s="10">
        <v>45562</v>
      </c>
    </row>
    <row r="2133" spans="1:9" x14ac:dyDescent="0.15">
      <c r="A2133" s="9">
        <v>2132</v>
      </c>
      <c r="B2133" s="9" t="s">
        <v>9</v>
      </c>
      <c r="C2133" s="9">
        <v>1915</v>
      </c>
      <c r="D2133" s="10">
        <v>45639</v>
      </c>
      <c r="E2133" s="13" t="str">
        <f>+HYPERLINK("http://trademark.i-assist.jp/data/china/image_1915th/81156333.pdf","81156333")</f>
        <v>81156333</v>
      </c>
      <c r="F2133" s="9" t="s">
        <v>5825</v>
      </c>
      <c r="G2133" s="9" t="s">
        <v>5826</v>
      </c>
      <c r="H2133" s="9" t="s">
        <v>5827</v>
      </c>
      <c r="I2133" s="10">
        <v>45562</v>
      </c>
    </row>
    <row r="2134" spans="1:9" x14ac:dyDescent="0.15">
      <c r="A2134" s="9">
        <v>2133</v>
      </c>
      <c r="B2134" s="9" t="s">
        <v>9</v>
      </c>
      <c r="C2134" s="9">
        <v>1915</v>
      </c>
      <c r="D2134" s="10">
        <v>45639</v>
      </c>
      <c r="E2134" s="13" t="str">
        <f>+HYPERLINK("http://trademark.i-assist.jp/data/china/image_1915th/81156472.pdf","81156472")</f>
        <v>81156472</v>
      </c>
      <c r="F2134" s="9" t="s">
        <v>5828</v>
      </c>
      <c r="G2134" s="9" t="s">
        <v>5829</v>
      </c>
      <c r="H2134" s="9" t="s">
        <v>5830</v>
      </c>
      <c r="I2134" s="10">
        <v>45562</v>
      </c>
    </row>
    <row r="2135" spans="1:9" x14ac:dyDescent="0.15">
      <c r="A2135" s="9">
        <v>2134</v>
      </c>
      <c r="B2135" s="9" t="s">
        <v>9</v>
      </c>
      <c r="C2135" s="9">
        <v>1915</v>
      </c>
      <c r="D2135" s="10">
        <v>45639</v>
      </c>
      <c r="E2135" s="13" t="str">
        <f>+HYPERLINK("http://trademark.i-assist.jp/data/china/image_1915th/81156860.pdf","81156860")</f>
        <v>81156860</v>
      </c>
      <c r="F2135" s="9" t="s">
        <v>5831</v>
      </c>
      <c r="G2135" s="12" t="s">
        <v>5832</v>
      </c>
      <c r="H2135" s="9" t="s">
        <v>5833</v>
      </c>
      <c r="I2135" s="10">
        <v>45562</v>
      </c>
    </row>
    <row r="2136" spans="1:9" x14ac:dyDescent="0.15">
      <c r="A2136" s="9">
        <v>2135</v>
      </c>
      <c r="B2136" s="9" t="s">
        <v>9</v>
      </c>
      <c r="C2136" s="9">
        <v>1915</v>
      </c>
      <c r="D2136" s="10">
        <v>45639</v>
      </c>
      <c r="E2136" s="13" t="str">
        <f>+HYPERLINK("http://trademark.i-assist.jp/data/china/image_1915th/81157257.pdf","81157257")</f>
        <v>81157257</v>
      </c>
      <c r="F2136" s="12" t="s">
        <v>15</v>
      </c>
      <c r="G2136" s="9" t="s">
        <v>5834</v>
      </c>
      <c r="H2136" s="9" t="s">
        <v>5835</v>
      </c>
      <c r="I2136" s="10">
        <v>45562</v>
      </c>
    </row>
    <row r="2137" spans="1:9" x14ac:dyDescent="0.15">
      <c r="A2137" s="9">
        <v>2136</v>
      </c>
      <c r="B2137" s="9" t="s">
        <v>9</v>
      </c>
      <c r="C2137" s="9">
        <v>1915</v>
      </c>
      <c r="D2137" s="10">
        <v>45639</v>
      </c>
      <c r="E2137" s="13" t="str">
        <f>+HYPERLINK("http://trademark.i-assist.jp/data/china/image_1915th/81157414.pdf","81157414")</f>
        <v>81157414</v>
      </c>
      <c r="F2137" s="9" t="s">
        <v>5836</v>
      </c>
      <c r="G2137" s="12" t="s">
        <v>5763</v>
      </c>
      <c r="H2137" s="12" t="s">
        <v>5837</v>
      </c>
      <c r="I2137" s="10">
        <v>45562</v>
      </c>
    </row>
    <row r="2138" spans="1:9" x14ac:dyDescent="0.15">
      <c r="A2138" s="9">
        <v>2137</v>
      </c>
      <c r="B2138" s="9" t="s">
        <v>9</v>
      </c>
      <c r="C2138" s="9">
        <v>1915</v>
      </c>
      <c r="D2138" s="10">
        <v>45639</v>
      </c>
      <c r="E2138" s="13" t="str">
        <f>+HYPERLINK("http://trademark.i-assist.jp/data/china/image_1915th/81158204.pdf","81158204")</f>
        <v>81158204</v>
      </c>
      <c r="F2138" s="9" t="s">
        <v>5838</v>
      </c>
      <c r="G2138" s="9" t="s">
        <v>5839</v>
      </c>
      <c r="H2138" s="9" t="s">
        <v>5840</v>
      </c>
      <c r="I2138" s="10">
        <v>45562</v>
      </c>
    </row>
    <row r="2139" spans="1:9" x14ac:dyDescent="0.15">
      <c r="A2139" s="9">
        <v>2138</v>
      </c>
      <c r="B2139" s="9" t="s">
        <v>9</v>
      </c>
      <c r="C2139" s="9">
        <v>1915</v>
      </c>
      <c r="D2139" s="10">
        <v>45639</v>
      </c>
      <c r="E2139" s="13" t="str">
        <f>+HYPERLINK("http://trademark.i-assist.jp/data/china/image_1915th/81158477.pdf","81158477")</f>
        <v>81158477</v>
      </c>
      <c r="F2139" s="12" t="s">
        <v>15</v>
      </c>
      <c r="G2139" s="9" t="s">
        <v>5841</v>
      </c>
      <c r="H2139" s="9" t="s">
        <v>5842</v>
      </c>
      <c r="I2139" s="10">
        <v>45562</v>
      </c>
    </row>
    <row r="2140" spans="1:9" x14ac:dyDescent="0.15">
      <c r="A2140" s="9">
        <v>2139</v>
      </c>
      <c r="B2140" s="9" t="s">
        <v>9</v>
      </c>
      <c r="C2140" s="9">
        <v>1915</v>
      </c>
      <c r="D2140" s="10">
        <v>45639</v>
      </c>
      <c r="E2140" s="13" t="str">
        <f>+HYPERLINK("http://trademark.i-assist.jp/data/china/image_1915th/81159555.pdf","81159555")</f>
        <v>81159555</v>
      </c>
      <c r="F2140" s="9" t="s">
        <v>5843</v>
      </c>
      <c r="G2140" s="12" t="s">
        <v>5844</v>
      </c>
      <c r="H2140" s="9" t="s">
        <v>5845</v>
      </c>
      <c r="I2140" s="10">
        <v>45562</v>
      </c>
    </row>
    <row r="2141" spans="1:9" x14ac:dyDescent="0.15">
      <c r="A2141" s="9">
        <v>2140</v>
      </c>
      <c r="B2141" s="9" t="s">
        <v>9</v>
      </c>
      <c r="C2141" s="9">
        <v>1915</v>
      </c>
      <c r="D2141" s="10">
        <v>45639</v>
      </c>
      <c r="E2141" s="13" t="str">
        <f>+HYPERLINK("http://trademark.i-assist.jp/data/china/image_1915th/81159901.pdf","81159901")</f>
        <v>81159901</v>
      </c>
      <c r="F2141" s="9" t="s">
        <v>5846</v>
      </c>
      <c r="G2141" s="12" t="s">
        <v>38</v>
      </c>
      <c r="H2141" s="9" t="s">
        <v>5847</v>
      </c>
      <c r="I2141" s="10">
        <v>45562</v>
      </c>
    </row>
    <row r="2142" spans="1:9" x14ac:dyDescent="0.15">
      <c r="A2142" s="9">
        <v>2141</v>
      </c>
      <c r="B2142" s="9" t="s">
        <v>9</v>
      </c>
      <c r="C2142" s="9">
        <v>1915</v>
      </c>
      <c r="D2142" s="10">
        <v>45639</v>
      </c>
      <c r="E2142" s="13" t="str">
        <f>+HYPERLINK("http://trademark.i-assist.jp/data/china/image_1915th/81160056.pdf","81160056")</f>
        <v>81160056</v>
      </c>
      <c r="F2142" s="12" t="s">
        <v>5848</v>
      </c>
      <c r="G2142" s="9" t="s">
        <v>5849</v>
      </c>
      <c r="H2142" s="9" t="s">
        <v>5850</v>
      </c>
      <c r="I2142" s="10">
        <v>45562</v>
      </c>
    </row>
    <row r="2143" spans="1:9" x14ac:dyDescent="0.15">
      <c r="A2143" s="9">
        <v>2142</v>
      </c>
      <c r="B2143" s="9" t="s">
        <v>9</v>
      </c>
      <c r="C2143" s="9">
        <v>1915</v>
      </c>
      <c r="D2143" s="10">
        <v>45639</v>
      </c>
      <c r="E2143" s="13" t="str">
        <f>+HYPERLINK("http://trademark.i-assist.jp/data/china/image_1915th/81160320.pdf","81160320")</f>
        <v>81160320</v>
      </c>
      <c r="F2143" s="9" t="s">
        <v>5851</v>
      </c>
      <c r="G2143" s="12" t="s">
        <v>5700</v>
      </c>
      <c r="H2143" s="9" t="s">
        <v>5852</v>
      </c>
      <c r="I2143" s="10">
        <v>45562</v>
      </c>
    </row>
    <row r="2144" spans="1:9" x14ac:dyDescent="0.15">
      <c r="A2144" s="9">
        <v>2143</v>
      </c>
      <c r="B2144" s="9" t="s">
        <v>9</v>
      </c>
      <c r="C2144" s="9">
        <v>1915</v>
      </c>
      <c r="D2144" s="10">
        <v>45639</v>
      </c>
      <c r="E2144" s="13" t="str">
        <f>+HYPERLINK("http://trademark.i-assist.jp/data/china/image_1915th/81160330.pdf","81160330")</f>
        <v>81160330</v>
      </c>
      <c r="F2144" s="12" t="s">
        <v>5853</v>
      </c>
      <c r="G2144" s="12" t="s">
        <v>5700</v>
      </c>
      <c r="H2144" s="9" t="s">
        <v>5854</v>
      </c>
      <c r="I2144" s="10">
        <v>45562</v>
      </c>
    </row>
    <row r="2145" spans="1:9" x14ac:dyDescent="0.15">
      <c r="A2145" s="9">
        <v>2144</v>
      </c>
      <c r="B2145" s="9" t="s">
        <v>9</v>
      </c>
      <c r="C2145" s="9">
        <v>1915</v>
      </c>
      <c r="D2145" s="10">
        <v>45639</v>
      </c>
      <c r="E2145" s="13" t="str">
        <f>+HYPERLINK("http://trademark.i-assist.jp/data/china/image_1915th/81161220.pdf","81161220")</f>
        <v>81161220</v>
      </c>
      <c r="F2145" s="9" t="s">
        <v>5855</v>
      </c>
      <c r="G2145" s="9" t="s">
        <v>5856</v>
      </c>
      <c r="H2145" s="9" t="s">
        <v>5857</v>
      </c>
      <c r="I2145" s="10">
        <v>45562</v>
      </c>
    </row>
    <row r="2146" spans="1:9" x14ac:dyDescent="0.15">
      <c r="A2146" s="9">
        <v>2145</v>
      </c>
      <c r="B2146" s="9" t="s">
        <v>9</v>
      </c>
      <c r="C2146" s="9">
        <v>1915</v>
      </c>
      <c r="D2146" s="10">
        <v>45639</v>
      </c>
      <c r="E2146" s="13" t="str">
        <f>+HYPERLINK("http://trademark.i-assist.jp/data/china/image_1915th/81161503.pdf","81161503")</f>
        <v>81161503</v>
      </c>
      <c r="F2146" s="9" t="s">
        <v>5693</v>
      </c>
      <c r="G2146" s="9" t="s">
        <v>5694</v>
      </c>
      <c r="H2146" s="9" t="s">
        <v>5858</v>
      </c>
      <c r="I2146" s="10">
        <v>45562</v>
      </c>
    </row>
    <row r="2147" spans="1:9" x14ac:dyDescent="0.15">
      <c r="A2147" s="9">
        <v>2146</v>
      </c>
      <c r="B2147" s="9" t="s">
        <v>9</v>
      </c>
      <c r="C2147" s="9">
        <v>1915</v>
      </c>
      <c r="D2147" s="10">
        <v>45639</v>
      </c>
      <c r="E2147" s="13" t="str">
        <f>+HYPERLINK("http://trademark.i-assist.jp/data/china/image_1915th/81161769.pdf","81161769")</f>
        <v>81161769</v>
      </c>
      <c r="F2147" s="9" t="s">
        <v>5859</v>
      </c>
      <c r="G2147" s="12" t="s">
        <v>5860</v>
      </c>
      <c r="H2147" s="9" t="s">
        <v>5861</v>
      </c>
      <c r="I2147" s="10">
        <v>45562</v>
      </c>
    </row>
    <row r="2148" spans="1:9" x14ac:dyDescent="0.15">
      <c r="A2148" s="9">
        <v>2147</v>
      </c>
      <c r="B2148" s="9" t="s">
        <v>9</v>
      </c>
      <c r="C2148" s="9">
        <v>1915</v>
      </c>
      <c r="D2148" s="10">
        <v>45639</v>
      </c>
      <c r="E2148" s="13" t="str">
        <f>+HYPERLINK("http://trademark.i-assist.jp/data/china/image_1915th/81162523.pdf","81162523")</f>
        <v>81162523</v>
      </c>
      <c r="F2148" s="12" t="s">
        <v>5862</v>
      </c>
      <c r="G2148" s="9" t="s">
        <v>5863</v>
      </c>
      <c r="H2148" s="9" t="s">
        <v>5864</v>
      </c>
      <c r="I2148" s="10">
        <v>45562</v>
      </c>
    </row>
    <row r="2149" spans="1:9" x14ac:dyDescent="0.15">
      <c r="A2149" s="9">
        <v>2148</v>
      </c>
      <c r="B2149" s="9" t="s">
        <v>9</v>
      </c>
      <c r="C2149" s="9">
        <v>1915</v>
      </c>
      <c r="D2149" s="10">
        <v>45639</v>
      </c>
      <c r="E2149" s="13" t="str">
        <f>+HYPERLINK("http://trademark.i-assist.jp/data/china/image_1915th/81162874.pdf","81162874")</f>
        <v>81162874</v>
      </c>
      <c r="F2149" s="12" t="s">
        <v>5865</v>
      </c>
      <c r="G2149" s="9" t="s">
        <v>5866</v>
      </c>
      <c r="H2149" s="9" t="s">
        <v>5867</v>
      </c>
      <c r="I2149" s="10">
        <v>45562</v>
      </c>
    </row>
    <row r="2150" spans="1:9" x14ac:dyDescent="0.15">
      <c r="A2150" s="9">
        <v>2149</v>
      </c>
      <c r="B2150" s="9" t="s">
        <v>9</v>
      </c>
      <c r="C2150" s="9">
        <v>1915</v>
      </c>
      <c r="D2150" s="10">
        <v>45639</v>
      </c>
      <c r="E2150" s="13" t="str">
        <f>+HYPERLINK("http://trademark.i-assist.jp/data/china/image_1915th/81163425.pdf","81163425")</f>
        <v>81163425</v>
      </c>
      <c r="F2150" s="9" t="s">
        <v>5868</v>
      </c>
      <c r="G2150" s="12" t="s">
        <v>5869</v>
      </c>
      <c r="H2150" s="9" t="s">
        <v>5870</v>
      </c>
      <c r="I2150" s="10">
        <v>45563</v>
      </c>
    </row>
    <row r="2151" spans="1:9" x14ac:dyDescent="0.15">
      <c r="A2151" s="9">
        <v>2150</v>
      </c>
      <c r="B2151" s="9" t="s">
        <v>9</v>
      </c>
      <c r="C2151" s="9">
        <v>1915</v>
      </c>
      <c r="D2151" s="10">
        <v>45639</v>
      </c>
      <c r="E2151" s="13" t="str">
        <f>+HYPERLINK("http://trademark.i-assist.jp/data/china/image_1915th/81163515.pdf","81163515")</f>
        <v>81163515</v>
      </c>
      <c r="F2151" s="11" t="s">
        <v>5871</v>
      </c>
      <c r="G2151" s="9" t="s">
        <v>62</v>
      </c>
      <c r="H2151" s="9" t="s">
        <v>5872</v>
      </c>
      <c r="I2151" s="10">
        <v>45563</v>
      </c>
    </row>
    <row r="2152" spans="1:9" x14ac:dyDescent="0.15">
      <c r="A2152" s="9">
        <v>2151</v>
      </c>
      <c r="B2152" s="9" t="s">
        <v>9</v>
      </c>
      <c r="C2152" s="9">
        <v>1915</v>
      </c>
      <c r="D2152" s="10">
        <v>45639</v>
      </c>
      <c r="E2152" s="13" t="str">
        <f>+HYPERLINK("http://trademark.i-assist.jp/data/china/image_1915th/81163617.pdf","81163617")</f>
        <v>81163617</v>
      </c>
      <c r="F2152" s="12" t="s">
        <v>5873</v>
      </c>
      <c r="G2152" s="9" t="s">
        <v>5874</v>
      </c>
      <c r="H2152" s="9" t="s">
        <v>5875</v>
      </c>
      <c r="I2152" s="10">
        <v>45563</v>
      </c>
    </row>
    <row r="2153" spans="1:9" x14ac:dyDescent="0.15">
      <c r="A2153" s="9">
        <v>2152</v>
      </c>
      <c r="B2153" s="9" t="s">
        <v>9</v>
      </c>
      <c r="C2153" s="9">
        <v>1915</v>
      </c>
      <c r="D2153" s="10">
        <v>45639</v>
      </c>
      <c r="E2153" s="13" t="str">
        <f>+HYPERLINK("http://trademark.i-assist.jp/data/china/image_1915th/81163726.pdf","81163726")</f>
        <v>81163726</v>
      </c>
      <c r="F2153" s="12" t="s">
        <v>15</v>
      </c>
      <c r="G2153" s="12" t="s">
        <v>5876</v>
      </c>
      <c r="H2153" s="12" t="s">
        <v>5877</v>
      </c>
      <c r="I2153" s="10">
        <v>45563</v>
      </c>
    </row>
    <row r="2154" spans="1:9" x14ac:dyDescent="0.15">
      <c r="A2154" s="9">
        <v>2153</v>
      </c>
      <c r="B2154" s="9" t="s">
        <v>9</v>
      </c>
      <c r="C2154" s="9">
        <v>1915</v>
      </c>
      <c r="D2154" s="10">
        <v>45639</v>
      </c>
      <c r="E2154" s="13" t="str">
        <f>+HYPERLINK("http://trademark.i-assist.jp/data/china/image_1915th/81163954.pdf","81163954")</f>
        <v>81163954</v>
      </c>
      <c r="F2154" s="9" t="s">
        <v>5878</v>
      </c>
      <c r="G2154" s="9" t="s">
        <v>5879</v>
      </c>
      <c r="H2154" s="9" t="s">
        <v>5880</v>
      </c>
      <c r="I2154" s="10">
        <v>45563</v>
      </c>
    </row>
    <row r="2155" spans="1:9" x14ac:dyDescent="0.15">
      <c r="A2155" s="9">
        <v>2154</v>
      </c>
      <c r="B2155" s="9" t="s">
        <v>9</v>
      </c>
      <c r="C2155" s="9">
        <v>1915</v>
      </c>
      <c r="D2155" s="10">
        <v>45639</v>
      </c>
      <c r="E2155" s="13" t="str">
        <f>+HYPERLINK("http://trademark.i-assist.jp/data/china/image_1915th/81164168.pdf","81164168")</f>
        <v>81164168</v>
      </c>
      <c r="F2155" s="9" t="s">
        <v>5881</v>
      </c>
      <c r="G2155" s="9" t="s">
        <v>5882</v>
      </c>
      <c r="H2155" s="12" t="s">
        <v>5883</v>
      </c>
      <c r="I2155" s="10">
        <v>45563</v>
      </c>
    </row>
    <row r="2156" spans="1:9" x14ac:dyDescent="0.15">
      <c r="A2156" s="9">
        <v>2155</v>
      </c>
      <c r="B2156" s="9" t="s">
        <v>9</v>
      </c>
      <c r="C2156" s="9">
        <v>1915</v>
      </c>
      <c r="D2156" s="10">
        <v>45639</v>
      </c>
      <c r="E2156" s="13" t="str">
        <f>+HYPERLINK("http://trademark.i-assist.jp/data/china/image_1915th/81164265.pdf","81164265")</f>
        <v>81164265</v>
      </c>
      <c r="F2156" s="9" t="s">
        <v>5884</v>
      </c>
      <c r="G2156" s="9" t="s">
        <v>5885</v>
      </c>
      <c r="H2156" s="9" t="s">
        <v>5886</v>
      </c>
      <c r="I2156" s="10">
        <v>45563</v>
      </c>
    </row>
    <row r="2157" spans="1:9" x14ac:dyDescent="0.15">
      <c r="A2157" s="9">
        <v>2156</v>
      </c>
      <c r="B2157" s="9" t="s">
        <v>9</v>
      </c>
      <c r="C2157" s="9">
        <v>1915</v>
      </c>
      <c r="D2157" s="10">
        <v>45639</v>
      </c>
      <c r="E2157" s="13" t="str">
        <f>+HYPERLINK("http://trademark.i-assist.jp/data/china/image_1915th/81164397.pdf","81164397")</f>
        <v>81164397</v>
      </c>
      <c r="F2157" s="9" t="s">
        <v>5887</v>
      </c>
      <c r="G2157" s="9" t="s">
        <v>5888</v>
      </c>
      <c r="H2157" s="9" t="s">
        <v>5889</v>
      </c>
      <c r="I2157" s="10">
        <v>45563</v>
      </c>
    </row>
    <row r="2158" spans="1:9" x14ac:dyDescent="0.15">
      <c r="A2158" s="9">
        <v>2157</v>
      </c>
      <c r="B2158" s="9" t="s">
        <v>9</v>
      </c>
      <c r="C2158" s="9">
        <v>1915</v>
      </c>
      <c r="D2158" s="10">
        <v>45639</v>
      </c>
      <c r="E2158" s="13" t="str">
        <f>+HYPERLINK("http://trademark.i-assist.jp/data/china/image_1915th/81164451.pdf","81164451")</f>
        <v>81164451</v>
      </c>
      <c r="F2158" s="12" t="s">
        <v>5890</v>
      </c>
      <c r="G2158" s="9" t="s">
        <v>5891</v>
      </c>
      <c r="H2158" s="9" t="s">
        <v>5892</v>
      </c>
      <c r="I2158" s="10">
        <v>45563</v>
      </c>
    </row>
    <row r="2159" spans="1:9" x14ac:dyDescent="0.15">
      <c r="A2159" s="9">
        <v>2158</v>
      </c>
      <c r="B2159" s="9" t="s">
        <v>9</v>
      </c>
      <c r="C2159" s="9">
        <v>1915</v>
      </c>
      <c r="D2159" s="10">
        <v>45639</v>
      </c>
      <c r="E2159" s="13" t="str">
        <f>+HYPERLINK("http://trademark.i-assist.jp/data/china/image_1915th/81164634.pdf","81164634")</f>
        <v>81164634</v>
      </c>
      <c r="F2159" s="9" t="s">
        <v>5693</v>
      </c>
      <c r="G2159" s="9" t="s">
        <v>5694</v>
      </c>
      <c r="H2159" s="9" t="s">
        <v>5893</v>
      </c>
      <c r="I2159" s="10">
        <v>45563</v>
      </c>
    </row>
    <row r="2160" spans="1:9" x14ac:dyDescent="0.15">
      <c r="A2160" s="9">
        <v>2159</v>
      </c>
      <c r="B2160" s="9" t="s">
        <v>9</v>
      </c>
      <c r="C2160" s="9">
        <v>1915</v>
      </c>
      <c r="D2160" s="10">
        <v>45639</v>
      </c>
      <c r="E2160" s="13" t="str">
        <f>+HYPERLINK("http://trademark.i-assist.jp/data/china/image_1915th/81165174.pdf","81165174")</f>
        <v>81165174</v>
      </c>
      <c r="F2160" s="12" t="s">
        <v>5894</v>
      </c>
      <c r="G2160" s="9" t="s">
        <v>5895</v>
      </c>
      <c r="H2160" s="9" t="s">
        <v>5896</v>
      </c>
      <c r="I2160" s="10">
        <v>45563</v>
      </c>
    </row>
    <row r="2161" spans="1:9" x14ac:dyDescent="0.15">
      <c r="A2161" s="9">
        <v>2160</v>
      </c>
      <c r="B2161" s="9" t="s">
        <v>9</v>
      </c>
      <c r="C2161" s="9">
        <v>1915</v>
      </c>
      <c r="D2161" s="10">
        <v>45639</v>
      </c>
      <c r="E2161" s="13" t="str">
        <f>+HYPERLINK("http://trademark.i-assist.jp/data/china/image_1915th/81165332.pdf","81165332")</f>
        <v>81165332</v>
      </c>
      <c r="F2161" s="9" t="s">
        <v>5897</v>
      </c>
      <c r="G2161" s="9" t="s">
        <v>5898</v>
      </c>
      <c r="H2161" s="9" t="s">
        <v>5899</v>
      </c>
      <c r="I2161" s="10">
        <v>45563</v>
      </c>
    </row>
    <row r="2162" spans="1:9" x14ac:dyDescent="0.15">
      <c r="A2162" s="9">
        <v>2161</v>
      </c>
      <c r="B2162" s="9" t="s">
        <v>9</v>
      </c>
      <c r="C2162" s="9">
        <v>1915</v>
      </c>
      <c r="D2162" s="10">
        <v>45639</v>
      </c>
      <c r="E2162" s="13" t="str">
        <f>+HYPERLINK("http://trademark.i-assist.jp/data/china/image_1915th/81165477.pdf","81165477")</f>
        <v>81165477</v>
      </c>
      <c r="F2162" s="9" t="s">
        <v>5900</v>
      </c>
      <c r="G2162" s="9" t="s">
        <v>5901</v>
      </c>
      <c r="H2162" s="12" t="s">
        <v>5902</v>
      </c>
      <c r="I2162" s="10">
        <v>45563</v>
      </c>
    </row>
    <row r="2163" spans="1:9" x14ac:dyDescent="0.15">
      <c r="A2163" s="9">
        <v>2162</v>
      </c>
      <c r="B2163" s="9" t="s">
        <v>9</v>
      </c>
      <c r="C2163" s="9">
        <v>1915</v>
      </c>
      <c r="D2163" s="10">
        <v>45639</v>
      </c>
      <c r="E2163" s="13" t="str">
        <f>+HYPERLINK("http://trademark.i-assist.jp/data/china/image_1915th/81165787.pdf","81165787")</f>
        <v>81165787</v>
      </c>
      <c r="F2163" s="12" t="s">
        <v>5903</v>
      </c>
      <c r="G2163" s="9" t="s">
        <v>2808</v>
      </c>
      <c r="H2163" s="9" t="s">
        <v>5904</v>
      </c>
      <c r="I2163" s="10">
        <v>45563</v>
      </c>
    </row>
    <row r="2164" spans="1:9" x14ac:dyDescent="0.15">
      <c r="A2164" s="9">
        <v>2163</v>
      </c>
      <c r="B2164" s="9" t="s">
        <v>9</v>
      </c>
      <c r="C2164" s="9">
        <v>1915</v>
      </c>
      <c r="D2164" s="10">
        <v>45639</v>
      </c>
      <c r="E2164" s="13" t="str">
        <f>+HYPERLINK("http://trademark.i-assist.jp/data/china/image_1915th/81166065.pdf","81166065")</f>
        <v>81166065</v>
      </c>
      <c r="F2164" s="9" t="s">
        <v>5905</v>
      </c>
      <c r="G2164" s="9" t="s">
        <v>46</v>
      </c>
      <c r="H2164" s="9" t="s">
        <v>5906</v>
      </c>
      <c r="I2164" s="10">
        <v>45563</v>
      </c>
    </row>
    <row r="2165" spans="1:9" x14ac:dyDescent="0.15">
      <c r="A2165" s="9">
        <v>2164</v>
      </c>
      <c r="B2165" s="9" t="s">
        <v>9</v>
      </c>
      <c r="C2165" s="9">
        <v>1915</v>
      </c>
      <c r="D2165" s="10">
        <v>45639</v>
      </c>
      <c r="E2165" s="13" t="str">
        <f>+HYPERLINK("http://trademark.i-assist.jp/data/china/image_1915th/81166341.pdf","81166341")</f>
        <v>81166341</v>
      </c>
      <c r="F2165" s="9" t="s">
        <v>5907</v>
      </c>
      <c r="G2165" s="9" t="s">
        <v>5908</v>
      </c>
      <c r="H2165" s="9" t="s">
        <v>5909</v>
      </c>
      <c r="I2165" s="10">
        <v>45563</v>
      </c>
    </row>
    <row r="2166" spans="1:9" x14ac:dyDescent="0.15">
      <c r="A2166" s="9">
        <v>2165</v>
      </c>
      <c r="B2166" s="9" t="s">
        <v>9</v>
      </c>
      <c r="C2166" s="9">
        <v>1915</v>
      </c>
      <c r="D2166" s="10">
        <v>45639</v>
      </c>
      <c r="E2166" s="13" t="str">
        <f>+HYPERLINK("http://trademark.i-assist.jp/data/china/image_1915th/81166546.pdf","81166546")</f>
        <v>81166546</v>
      </c>
      <c r="F2166" s="9" t="s">
        <v>5910</v>
      </c>
      <c r="G2166" s="9" t="s">
        <v>5911</v>
      </c>
      <c r="H2166" s="12" t="s">
        <v>5912</v>
      </c>
      <c r="I2166" s="10">
        <v>45563</v>
      </c>
    </row>
    <row r="2167" spans="1:9" x14ac:dyDescent="0.15">
      <c r="A2167" s="9">
        <v>2166</v>
      </c>
      <c r="B2167" s="9" t="s">
        <v>9</v>
      </c>
      <c r="C2167" s="9">
        <v>1915</v>
      </c>
      <c r="D2167" s="10">
        <v>45639</v>
      </c>
      <c r="E2167" s="13" t="str">
        <f>+HYPERLINK("http://trademark.i-assist.jp/data/china/image_1915th/81166896.pdf","81166896")</f>
        <v>81166896</v>
      </c>
      <c r="F2167" s="9" t="s">
        <v>5913</v>
      </c>
      <c r="G2167" s="9" t="s">
        <v>5914</v>
      </c>
      <c r="H2167" s="9" t="s">
        <v>5915</v>
      </c>
      <c r="I2167" s="10">
        <v>45563</v>
      </c>
    </row>
    <row r="2168" spans="1:9" x14ac:dyDescent="0.15">
      <c r="A2168" s="9">
        <v>2167</v>
      </c>
      <c r="B2168" s="9" t="s">
        <v>9</v>
      </c>
      <c r="C2168" s="9">
        <v>1915</v>
      </c>
      <c r="D2168" s="10">
        <v>45639</v>
      </c>
      <c r="E2168" s="13" t="str">
        <f>+HYPERLINK("http://trademark.i-assist.jp/data/china/image_1915th/81167001.pdf","81167001")</f>
        <v>81167001</v>
      </c>
      <c r="F2168" s="12" t="s">
        <v>5916</v>
      </c>
      <c r="G2168" s="9" t="s">
        <v>5917</v>
      </c>
      <c r="H2168" s="9" t="s">
        <v>5918</v>
      </c>
      <c r="I2168" s="10">
        <v>45563</v>
      </c>
    </row>
    <row r="2169" spans="1:9" x14ac:dyDescent="0.15">
      <c r="A2169" s="9">
        <v>2168</v>
      </c>
      <c r="B2169" s="9" t="s">
        <v>9</v>
      </c>
      <c r="C2169" s="9">
        <v>1915</v>
      </c>
      <c r="D2169" s="10">
        <v>45639</v>
      </c>
      <c r="E2169" s="13" t="str">
        <f>+HYPERLINK("http://trademark.i-assist.jp/data/china/image_1915th/81167591.pdf","81167591")</f>
        <v>81167591</v>
      </c>
      <c r="F2169" s="12" t="s">
        <v>5919</v>
      </c>
      <c r="G2169" s="9" t="s">
        <v>5920</v>
      </c>
      <c r="H2169" s="9" t="s">
        <v>5921</v>
      </c>
      <c r="I2169" s="10">
        <v>45563</v>
      </c>
    </row>
    <row r="2170" spans="1:9" x14ac:dyDescent="0.15">
      <c r="A2170" s="9">
        <v>2169</v>
      </c>
      <c r="B2170" s="9" t="s">
        <v>9</v>
      </c>
      <c r="C2170" s="9">
        <v>1915</v>
      </c>
      <c r="D2170" s="10">
        <v>45639</v>
      </c>
      <c r="E2170" s="13" t="str">
        <f>+HYPERLINK("http://trademark.i-assist.jp/data/china/image_1915th/81167684.pdf","81167684")</f>
        <v>81167684</v>
      </c>
      <c r="F2170" s="9" t="s">
        <v>5922</v>
      </c>
      <c r="G2170" s="12" t="s">
        <v>5923</v>
      </c>
      <c r="H2170" s="9" t="s">
        <v>5924</v>
      </c>
      <c r="I2170" s="10">
        <v>45563</v>
      </c>
    </row>
    <row r="2171" spans="1:9" x14ac:dyDescent="0.15">
      <c r="A2171" s="9">
        <v>2170</v>
      </c>
      <c r="B2171" s="9" t="s">
        <v>9</v>
      </c>
      <c r="C2171" s="9">
        <v>1915</v>
      </c>
      <c r="D2171" s="10">
        <v>45639</v>
      </c>
      <c r="E2171" s="13" t="str">
        <f>+HYPERLINK("http://trademark.i-assist.jp/data/china/image_1915th/81167789.pdf","81167789")</f>
        <v>81167789</v>
      </c>
      <c r="F2171" s="12" t="s">
        <v>5925</v>
      </c>
      <c r="G2171" s="9" t="s">
        <v>2808</v>
      </c>
      <c r="H2171" s="9" t="s">
        <v>5926</v>
      </c>
      <c r="I2171" s="10">
        <v>45563</v>
      </c>
    </row>
    <row r="2172" spans="1:9" x14ac:dyDescent="0.15">
      <c r="A2172" s="9">
        <v>2171</v>
      </c>
      <c r="B2172" s="9" t="s">
        <v>9</v>
      </c>
      <c r="C2172" s="9">
        <v>1915</v>
      </c>
      <c r="D2172" s="10">
        <v>45639</v>
      </c>
      <c r="E2172" s="13" t="str">
        <f>+HYPERLINK("http://trademark.i-assist.jp/data/china/image_1915th/81168012.pdf","81168012")</f>
        <v>81168012</v>
      </c>
      <c r="F2172" s="9" t="s">
        <v>5927</v>
      </c>
      <c r="G2172" s="9" t="s">
        <v>5928</v>
      </c>
      <c r="H2172" s="12" t="s">
        <v>5929</v>
      </c>
      <c r="I2172" s="10">
        <v>45563</v>
      </c>
    </row>
    <row r="2173" spans="1:9" x14ac:dyDescent="0.15">
      <c r="A2173" s="9">
        <v>2172</v>
      </c>
      <c r="B2173" s="9" t="s">
        <v>9</v>
      </c>
      <c r="C2173" s="9">
        <v>1915</v>
      </c>
      <c r="D2173" s="10">
        <v>45639</v>
      </c>
      <c r="E2173" s="13" t="str">
        <f>+HYPERLINK("http://trademark.i-assist.jp/data/china/image_1915th/81168218.pdf","81168218")</f>
        <v>81168218</v>
      </c>
      <c r="F2173" s="12" t="s">
        <v>5930</v>
      </c>
      <c r="G2173" s="9" t="s">
        <v>5895</v>
      </c>
      <c r="H2173" s="9" t="s">
        <v>5931</v>
      </c>
      <c r="I2173" s="10">
        <v>45563</v>
      </c>
    </row>
    <row r="2174" spans="1:9" x14ac:dyDescent="0.15">
      <c r="A2174" s="9">
        <v>2173</v>
      </c>
      <c r="B2174" s="9" t="s">
        <v>9</v>
      </c>
      <c r="C2174" s="9">
        <v>1915</v>
      </c>
      <c r="D2174" s="10">
        <v>45639</v>
      </c>
      <c r="E2174" s="13" t="str">
        <f>+HYPERLINK("http://trademark.i-assist.jp/data/china/image_1915th/81168232.pdf","81168232")</f>
        <v>81168232</v>
      </c>
      <c r="F2174" s="12" t="s">
        <v>5932</v>
      </c>
      <c r="G2174" s="9" t="s">
        <v>5933</v>
      </c>
      <c r="H2174" s="12" t="s">
        <v>5934</v>
      </c>
      <c r="I2174" s="10">
        <v>45563</v>
      </c>
    </row>
    <row r="2175" spans="1:9" x14ac:dyDescent="0.15">
      <c r="A2175" s="9">
        <v>2174</v>
      </c>
      <c r="B2175" s="9" t="s">
        <v>9</v>
      </c>
      <c r="C2175" s="9">
        <v>1915</v>
      </c>
      <c r="D2175" s="10">
        <v>45639</v>
      </c>
      <c r="E2175" s="13" t="str">
        <f>+HYPERLINK("http://trademark.i-assist.jp/data/china/image_1915th/81168284.pdf","81168284")</f>
        <v>81168284</v>
      </c>
      <c r="F2175" s="12" t="s">
        <v>5935</v>
      </c>
      <c r="G2175" s="9" t="s">
        <v>5936</v>
      </c>
      <c r="H2175" s="9" t="s">
        <v>5937</v>
      </c>
      <c r="I2175" s="10">
        <v>45563</v>
      </c>
    </row>
    <row r="2176" spans="1:9" x14ac:dyDescent="0.15">
      <c r="A2176" s="9">
        <v>2175</v>
      </c>
      <c r="B2176" s="9" t="s">
        <v>9</v>
      </c>
      <c r="C2176" s="9">
        <v>1915</v>
      </c>
      <c r="D2176" s="10">
        <v>45639</v>
      </c>
      <c r="E2176" s="13" t="str">
        <f>+HYPERLINK("http://trademark.i-assist.jp/data/china/image_1915th/81168355.pdf","81168355")</f>
        <v>81168355</v>
      </c>
      <c r="F2176" s="12" t="s">
        <v>5938</v>
      </c>
      <c r="G2176" s="9" t="s">
        <v>5939</v>
      </c>
      <c r="H2176" s="9" t="s">
        <v>5940</v>
      </c>
      <c r="I2176" s="10">
        <v>45563</v>
      </c>
    </row>
    <row r="2177" spans="1:9" x14ac:dyDescent="0.15">
      <c r="A2177" s="9">
        <v>2176</v>
      </c>
      <c r="B2177" s="9" t="s">
        <v>9</v>
      </c>
      <c r="C2177" s="9">
        <v>1915</v>
      </c>
      <c r="D2177" s="10">
        <v>45639</v>
      </c>
      <c r="E2177" s="13" t="str">
        <f>+HYPERLINK("http://trademark.i-assist.jp/data/china/image_1915th/81168451.pdf","81168451")</f>
        <v>81168451</v>
      </c>
      <c r="F2177" s="9" t="s">
        <v>5941</v>
      </c>
      <c r="G2177" s="9" t="s">
        <v>5942</v>
      </c>
      <c r="H2177" s="9" t="s">
        <v>5943</v>
      </c>
      <c r="I2177" s="10">
        <v>45563</v>
      </c>
    </row>
    <row r="2178" spans="1:9" x14ac:dyDescent="0.15">
      <c r="A2178" s="9">
        <v>2177</v>
      </c>
      <c r="B2178" s="9" t="s">
        <v>9</v>
      </c>
      <c r="C2178" s="9">
        <v>1915</v>
      </c>
      <c r="D2178" s="10">
        <v>45639</v>
      </c>
      <c r="E2178" s="13" t="str">
        <f>+HYPERLINK("http://trademark.i-assist.jp/data/china/image_1915th/81168612.pdf","81168612")</f>
        <v>81168612</v>
      </c>
      <c r="F2178" s="9" t="s">
        <v>5944</v>
      </c>
      <c r="G2178" s="12" t="s">
        <v>5945</v>
      </c>
      <c r="H2178" s="9" t="s">
        <v>5946</v>
      </c>
      <c r="I2178" s="10">
        <v>45563</v>
      </c>
    </row>
    <row r="2179" spans="1:9" x14ac:dyDescent="0.15">
      <c r="A2179" s="9">
        <v>2178</v>
      </c>
      <c r="B2179" s="9" t="s">
        <v>9</v>
      </c>
      <c r="C2179" s="9">
        <v>1915</v>
      </c>
      <c r="D2179" s="10">
        <v>45639</v>
      </c>
      <c r="E2179" s="13" t="str">
        <f>+HYPERLINK("http://trademark.i-assist.jp/data/china/image_1915th/81168739.pdf","81168739")</f>
        <v>81168739</v>
      </c>
      <c r="F2179" s="9" t="s">
        <v>5947</v>
      </c>
      <c r="G2179" s="9" t="s">
        <v>5928</v>
      </c>
      <c r="H2179" s="12" t="s">
        <v>5948</v>
      </c>
      <c r="I2179" s="10">
        <v>45563</v>
      </c>
    </row>
    <row r="2180" spans="1:9" x14ac:dyDescent="0.15">
      <c r="A2180" s="9">
        <v>2179</v>
      </c>
      <c r="B2180" s="9" t="s">
        <v>9</v>
      </c>
      <c r="C2180" s="9">
        <v>1915</v>
      </c>
      <c r="D2180" s="10">
        <v>45639</v>
      </c>
      <c r="E2180" s="13" t="str">
        <f>+HYPERLINK("http://trademark.i-assist.jp/data/china/image_1915th/81168746.pdf","81168746")</f>
        <v>81168746</v>
      </c>
      <c r="F2180" s="9" t="s">
        <v>5949</v>
      </c>
      <c r="G2180" s="9" t="s">
        <v>5950</v>
      </c>
      <c r="H2180" s="9" t="s">
        <v>5951</v>
      </c>
      <c r="I2180" s="10">
        <v>45563</v>
      </c>
    </row>
    <row r="2181" spans="1:9" x14ac:dyDescent="0.15">
      <c r="A2181" s="9">
        <v>2180</v>
      </c>
      <c r="B2181" s="9" t="s">
        <v>9</v>
      </c>
      <c r="C2181" s="9">
        <v>1915</v>
      </c>
      <c r="D2181" s="10">
        <v>45639</v>
      </c>
      <c r="E2181" s="13" t="str">
        <f>+HYPERLINK("http://trademark.i-assist.jp/data/china/image_1915th/81168886.pdf","81168886")</f>
        <v>81168886</v>
      </c>
      <c r="F2181" s="12" t="s">
        <v>5952</v>
      </c>
      <c r="G2181" s="9" t="s">
        <v>5874</v>
      </c>
      <c r="H2181" s="9" t="s">
        <v>5953</v>
      </c>
      <c r="I2181" s="10">
        <v>45563</v>
      </c>
    </row>
    <row r="2182" spans="1:9" x14ac:dyDescent="0.15">
      <c r="A2182" s="9">
        <v>2181</v>
      </c>
      <c r="B2182" s="9" t="s">
        <v>9</v>
      </c>
      <c r="C2182" s="9">
        <v>1915</v>
      </c>
      <c r="D2182" s="10">
        <v>45639</v>
      </c>
      <c r="E2182" s="13" t="str">
        <f>+HYPERLINK("http://trademark.i-assist.jp/data/china/image_1915th/81170091.pdf","81170091")</f>
        <v>81170091</v>
      </c>
      <c r="F2182" s="9" t="s">
        <v>5954</v>
      </c>
      <c r="G2182" s="9" t="s">
        <v>5955</v>
      </c>
      <c r="H2182" s="9" t="s">
        <v>5956</v>
      </c>
      <c r="I2182" s="10">
        <v>45563</v>
      </c>
    </row>
    <row r="2183" spans="1:9" x14ac:dyDescent="0.15">
      <c r="A2183" s="9">
        <v>2182</v>
      </c>
      <c r="B2183" s="9" t="s">
        <v>9</v>
      </c>
      <c r="C2183" s="9">
        <v>1915</v>
      </c>
      <c r="D2183" s="10">
        <v>45639</v>
      </c>
      <c r="E2183" s="13" t="str">
        <f>+HYPERLINK("http://trademark.i-assist.jp/data/china/image_1915th/81170239.pdf","81170239")</f>
        <v>81170239</v>
      </c>
      <c r="F2183" s="9" t="s">
        <v>5957</v>
      </c>
      <c r="G2183" s="9" t="s">
        <v>5901</v>
      </c>
      <c r="H2183" s="9" t="s">
        <v>5958</v>
      </c>
      <c r="I2183" s="10">
        <v>45563</v>
      </c>
    </row>
    <row r="2184" spans="1:9" x14ac:dyDescent="0.15">
      <c r="A2184" s="9">
        <v>2183</v>
      </c>
      <c r="B2184" s="9" t="s">
        <v>9</v>
      </c>
      <c r="C2184" s="9">
        <v>1915</v>
      </c>
      <c r="D2184" s="10">
        <v>45639</v>
      </c>
      <c r="E2184" s="13" t="str">
        <f>+HYPERLINK("http://trademark.i-assist.jp/data/china/image_1915th/81170252.pdf","81170252")</f>
        <v>81170252</v>
      </c>
      <c r="F2184" s="9" t="s">
        <v>5959</v>
      </c>
      <c r="G2184" s="9" t="s">
        <v>5960</v>
      </c>
      <c r="H2184" s="9" t="s">
        <v>5961</v>
      </c>
      <c r="I2184" s="10">
        <v>45563</v>
      </c>
    </row>
    <row r="2185" spans="1:9" x14ac:dyDescent="0.15">
      <c r="A2185" s="9">
        <v>2184</v>
      </c>
      <c r="B2185" s="9" t="s">
        <v>9</v>
      </c>
      <c r="C2185" s="9">
        <v>1915</v>
      </c>
      <c r="D2185" s="10">
        <v>45639</v>
      </c>
      <c r="E2185" s="13" t="str">
        <f>+HYPERLINK("http://trademark.i-assist.jp/data/china/image_1915th/81170297.pdf","81170297")</f>
        <v>81170297</v>
      </c>
      <c r="F2185" s="9" t="s">
        <v>5962</v>
      </c>
      <c r="G2185" s="9" t="s">
        <v>4631</v>
      </c>
      <c r="H2185" s="9" t="s">
        <v>5963</v>
      </c>
      <c r="I2185" s="10">
        <v>45563</v>
      </c>
    </row>
    <row r="2186" spans="1:9" x14ac:dyDescent="0.15">
      <c r="A2186" s="9">
        <v>2185</v>
      </c>
      <c r="B2186" s="9" t="s">
        <v>9</v>
      </c>
      <c r="C2186" s="9">
        <v>1915</v>
      </c>
      <c r="D2186" s="10">
        <v>45639</v>
      </c>
      <c r="E2186" s="13" t="str">
        <f>+HYPERLINK("http://trademark.i-assist.jp/data/china/image_1915th/81170500.pdf","81170500")</f>
        <v>81170500</v>
      </c>
      <c r="F2186" s="9" t="s">
        <v>5964</v>
      </c>
      <c r="G2186" s="9" t="s">
        <v>5965</v>
      </c>
      <c r="H2186" s="9" t="s">
        <v>5966</v>
      </c>
      <c r="I2186" s="10">
        <v>45563</v>
      </c>
    </row>
    <row r="2187" spans="1:9" x14ac:dyDescent="0.15">
      <c r="A2187" s="9">
        <v>2186</v>
      </c>
      <c r="B2187" s="9" t="s">
        <v>9</v>
      </c>
      <c r="C2187" s="9">
        <v>1915</v>
      </c>
      <c r="D2187" s="10">
        <v>45639</v>
      </c>
      <c r="E2187" s="13" t="str">
        <f>+HYPERLINK("http://trademark.i-assist.jp/data/china/image_1915th/81170505.pdf","81170505")</f>
        <v>81170505</v>
      </c>
      <c r="F2187" s="9" t="s">
        <v>5967</v>
      </c>
      <c r="G2187" s="9" t="s">
        <v>5965</v>
      </c>
      <c r="H2187" s="9" t="s">
        <v>5968</v>
      </c>
      <c r="I2187" s="10">
        <v>45563</v>
      </c>
    </row>
    <row r="2188" spans="1:9" x14ac:dyDescent="0.15">
      <c r="A2188" s="9">
        <v>2187</v>
      </c>
      <c r="B2188" s="9" t="s">
        <v>9</v>
      </c>
      <c r="C2188" s="9">
        <v>1915</v>
      </c>
      <c r="D2188" s="10">
        <v>45639</v>
      </c>
      <c r="E2188" s="13" t="str">
        <f>+HYPERLINK("http://trademark.i-assist.jp/data/china/image_1915th/81170585.pdf","81170585")</f>
        <v>81170585</v>
      </c>
      <c r="F2188" s="9" t="s">
        <v>5969</v>
      </c>
      <c r="G2188" s="9" t="s">
        <v>5970</v>
      </c>
      <c r="H2188" s="9" t="s">
        <v>5971</v>
      </c>
      <c r="I2188" s="10">
        <v>45563</v>
      </c>
    </row>
    <row r="2189" spans="1:9" x14ac:dyDescent="0.15">
      <c r="A2189" s="9">
        <v>2188</v>
      </c>
      <c r="B2189" s="9" t="s">
        <v>9</v>
      </c>
      <c r="C2189" s="9">
        <v>1915</v>
      </c>
      <c r="D2189" s="10">
        <v>45639</v>
      </c>
      <c r="E2189" s="13" t="str">
        <f>+HYPERLINK("http://trademark.i-assist.jp/data/china/image_1915th/81170671.pdf","81170671")</f>
        <v>81170671</v>
      </c>
      <c r="F2189" s="11" t="s">
        <v>5972</v>
      </c>
      <c r="G2189" s="9" t="s">
        <v>5874</v>
      </c>
      <c r="H2189" s="9" t="s">
        <v>5973</v>
      </c>
      <c r="I2189" s="10">
        <v>45563</v>
      </c>
    </row>
    <row r="2190" spans="1:9" x14ac:dyDescent="0.15">
      <c r="A2190" s="9">
        <v>2189</v>
      </c>
      <c r="B2190" s="9" t="s">
        <v>9</v>
      </c>
      <c r="C2190" s="9">
        <v>1915</v>
      </c>
      <c r="D2190" s="10">
        <v>45639</v>
      </c>
      <c r="E2190" s="13" t="str">
        <f>+HYPERLINK("http://trademark.i-assist.jp/data/china/image_1915th/81170696.pdf","81170696")</f>
        <v>81170696</v>
      </c>
      <c r="F2190" s="9" t="s">
        <v>5974</v>
      </c>
      <c r="G2190" s="9" t="s">
        <v>5975</v>
      </c>
      <c r="H2190" s="9" t="s">
        <v>5976</v>
      </c>
      <c r="I2190" s="10">
        <v>45563</v>
      </c>
    </row>
    <row r="2191" spans="1:9" x14ac:dyDescent="0.15">
      <c r="A2191" s="9">
        <v>2190</v>
      </c>
      <c r="B2191" s="9" t="s">
        <v>9</v>
      </c>
      <c r="C2191" s="9">
        <v>1915</v>
      </c>
      <c r="D2191" s="10">
        <v>45639</v>
      </c>
      <c r="E2191" s="13" t="str">
        <f>+HYPERLINK("http://trademark.i-assist.jp/data/china/image_1915th/81171124.pdf","81171124")</f>
        <v>81171124</v>
      </c>
      <c r="F2191" s="9" t="s">
        <v>5977</v>
      </c>
      <c r="G2191" s="9" t="s">
        <v>5978</v>
      </c>
      <c r="H2191" s="9" t="s">
        <v>5979</v>
      </c>
      <c r="I2191" s="10">
        <v>45563</v>
      </c>
    </row>
    <row r="2192" spans="1:9" x14ac:dyDescent="0.15">
      <c r="A2192" s="9">
        <v>2191</v>
      </c>
      <c r="B2192" s="9" t="s">
        <v>9</v>
      </c>
      <c r="C2192" s="9">
        <v>1915</v>
      </c>
      <c r="D2192" s="10">
        <v>45639</v>
      </c>
      <c r="E2192" s="13" t="str">
        <f>+HYPERLINK("http://trademark.i-assist.jp/data/china/image_1915th/81171230.pdf","81171230")</f>
        <v>81171230</v>
      </c>
      <c r="F2192" s="12" t="s">
        <v>5980</v>
      </c>
      <c r="G2192" s="9" t="s">
        <v>5981</v>
      </c>
      <c r="H2192" s="9" t="s">
        <v>5982</v>
      </c>
      <c r="I2192" s="10">
        <v>45563</v>
      </c>
    </row>
    <row r="2193" spans="1:9" x14ac:dyDescent="0.15">
      <c r="A2193" s="9">
        <v>2192</v>
      </c>
      <c r="B2193" s="9" t="s">
        <v>9</v>
      </c>
      <c r="C2193" s="9">
        <v>1915</v>
      </c>
      <c r="D2193" s="10">
        <v>45639</v>
      </c>
      <c r="E2193" s="13" t="str">
        <f>+HYPERLINK("http://trademark.i-assist.jp/data/china/image_1915th/81171266.pdf","81171266")</f>
        <v>81171266</v>
      </c>
      <c r="F2193" s="12" t="s">
        <v>5983</v>
      </c>
      <c r="G2193" s="9" t="s">
        <v>5984</v>
      </c>
      <c r="H2193" s="12" t="s">
        <v>5985</v>
      </c>
      <c r="I2193" s="10">
        <v>45563</v>
      </c>
    </row>
    <row r="2194" spans="1:9" x14ac:dyDescent="0.15">
      <c r="A2194" s="9">
        <v>2193</v>
      </c>
      <c r="B2194" s="9" t="s">
        <v>9</v>
      </c>
      <c r="C2194" s="9">
        <v>1915</v>
      </c>
      <c r="D2194" s="10">
        <v>45639</v>
      </c>
      <c r="E2194" s="13" t="str">
        <f>+HYPERLINK("http://trademark.i-assist.jp/data/china/image_1915th/81171288.pdf","81171288")</f>
        <v>81171288</v>
      </c>
      <c r="F2194" s="9" t="s">
        <v>5986</v>
      </c>
      <c r="G2194" s="9" t="s">
        <v>5928</v>
      </c>
      <c r="H2194" s="9" t="s">
        <v>5987</v>
      </c>
      <c r="I2194" s="10">
        <v>45563</v>
      </c>
    </row>
    <row r="2195" spans="1:9" x14ac:dyDescent="0.15">
      <c r="A2195" s="9">
        <v>2194</v>
      </c>
      <c r="B2195" s="9" t="s">
        <v>9</v>
      </c>
      <c r="C2195" s="9">
        <v>1915</v>
      </c>
      <c r="D2195" s="10">
        <v>45639</v>
      </c>
      <c r="E2195" s="13" t="str">
        <f>+HYPERLINK("http://trademark.i-assist.jp/data/china/image_1915th/81171562.pdf","81171562")</f>
        <v>81171562</v>
      </c>
      <c r="F2195" s="12" t="s">
        <v>15</v>
      </c>
      <c r="G2195" s="9" t="s">
        <v>5988</v>
      </c>
      <c r="H2195" s="9" t="s">
        <v>5989</v>
      </c>
      <c r="I2195" s="10">
        <v>45563</v>
      </c>
    </row>
    <row r="2196" spans="1:9" x14ac:dyDescent="0.15">
      <c r="A2196" s="9">
        <v>2195</v>
      </c>
      <c r="B2196" s="9" t="s">
        <v>9</v>
      </c>
      <c r="C2196" s="9">
        <v>1915</v>
      </c>
      <c r="D2196" s="10">
        <v>45639</v>
      </c>
      <c r="E2196" s="13" t="str">
        <f>+HYPERLINK("http://trademark.i-assist.jp/data/china/image_1915th/81171608.pdf","81171608")</f>
        <v>81171608</v>
      </c>
      <c r="F2196" s="9" t="s">
        <v>5990</v>
      </c>
      <c r="G2196" s="9" t="s">
        <v>5991</v>
      </c>
      <c r="H2196" s="9" t="s">
        <v>5992</v>
      </c>
      <c r="I2196" s="10">
        <v>45563</v>
      </c>
    </row>
    <row r="2197" spans="1:9" x14ac:dyDescent="0.15">
      <c r="A2197" s="9">
        <v>2196</v>
      </c>
      <c r="B2197" s="9" t="s">
        <v>9</v>
      </c>
      <c r="C2197" s="9">
        <v>1915</v>
      </c>
      <c r="D2197" s="10">
        <v>45639</v>
      </c>
      <c r="E2197" s="13" t="str">
        <f>+HYPERLINK("http://trademark.i-assist.jp/data/china/image_1915th/81171801.pdf","81171801")</f>
        <v>81171801</v>
      </c>
      <c r="F2197" s="12" t="s">
        <v>5993</v>
      </c>
      <c r="G2197" s="9" t="s">
        <v>5874</v>
      </c>
      <c r="H2197" s="9" t="s">
        <v>5994</v>
      </c>
      <c r="I2197" s="10">
        <v>45563</v>
      </c>
    </row>
    <row r="2198" spans="1:9" x14ac:dyDescent="0.15">
      <c r="A2198" s="9">
        <v>2197</v>
      </c>
      <c r="B2198" s="9" t="s">
        <v>9</v>
      </c>
      <c r="C2198" s="9">
        <v>1915</v>
      </c>
      <c r="D2198" s="10">
        <v>45639</v>
      </c>
      <c r="E2198" s="13" t="str">
        <f>+HYPERLINK("http://trademark.i-assist.jp/data/china/image_1915th/81172090.pdf","81172090")</f>
        <v>81172090</v>
      </c>
      <c r="F2198" s="9" t="s">
        <v>5995</v>
      </c>
      <c r="G2198" s="12" t="s">
        <v>5996</v>
      </c>
      <c r="H2198" s="9" t="s">
        <v>5997</v>
      </c>
      <c r="I2198" s="10">
        <v>45563</v>
      </c>
    </row>
    <row r="2199" spans="1:9" x14ac:dyDescent="0.15">
      <c r="A2199" s="9">
        <v>2198</v>
      </c>
      <c r="B2199" s="9" t="s">
        <v>9</v>
      </c>
      <c r="C2199" s="9">
        <v>1915</v>
      </c>
      <c r="D2199" s="10">
        <v>45639</v>
      </c>
      <c r="E2199" s="13" t="str">
        <f>+HYPERLINK("http://trademark.i-assist.jp/data/china/image_1915th/81172092.pdf","81172092")</f>
        <v>81172092</v>
      </c>
      <c r="F2199" s="9" t="s">
        <v>5998</v>
      </c>
      <c r="G2199" s="12" t="s">
        <v>5996</v>
      </c>
      <c r="H2199" s="9" t="s">
        <v>5999</v>
      </c>
      <c r="I2199" s="10">
        <v>45563</v>
      </c>
    </row>
    <row r="2200" spans="1:9" x14ac:dyDescent="0.15">
      <c r="A2200" s="9">
        <v>2199</v>
      </c>
      <c r="B2200" s="9" t="s">
        <v>9</v>
      </c>
      <c r="C2200" s="9">
        <v>1915</v>
      </c>
      <c r="D2200" s="10">
        <v>45639</v>
      </c>
      <c r="E2200" s="13" t="str">
        <f>+HYPERLINK("http://trademark.i-assist.jp/data/china/image_1915th/81172441.pdf","81172441")</f>
        <v>81172441</v>
      </c>
      <c r="F2200" s="9" t="s">
        <v>6000</v>
      </c>
      <c r="G2200" s="9" t="s">
        <v>6001</v>
      </c>
      <c r="H2200" s="9" t="s">
        <v>6002</v>
      </c>
      <c r="I2200" s="10">
        <v>45563</v>
      </c>
    </row>
    <row r="2201" spans="1:9" x14ac:dyDescent="0.15">
      <c r="A2201" s="9">
        <v>2200</v>
      </c>
      <c r="B2201" s="9" t="s">
        <v>9</v>
      </c>
      <c r="C2201" s="9">
        <v>1915</v>
      </c>
      <c r="D2201" s="10">
        <v>45639</v>
      </c>
      <c r="E2201" s="13" t="str">
        <f>+HYPERLINK("http://trademark.i-assist.jp/data/china/image_1915th/81173015.pdf","81173015")</f>
        <v>81173015</v>
      </c>
      <c r="F2201" s="9" t="s">
        <v>6003</v>
      </c>
      <c r="G2201" s="9" t="s">
        <v>6004</v>
      </c>
      <c r="H2201" s="9" t="s">
        <v>6005</v>
      </c>
      <c r="I2201" s="10">
        <v>45563</v>
      </c>
    </row>
    <row r="2202" spans="1:9" x14ac:dyDescent="0.15">
      <c r="A2202" s="9">
        <v>2201</v>
      </c>
      <c r="B2202" s="9" t="s">
        <v>9</v>
      </c>
      <c r="C2202" s="9">
        <v>1915</v>
      </c>
      <c r="D2202" s="10">
        <v>45639</v>
      </c>
      <c r="E2202" s="13" t="str">
        <f>+HYPERLINK("http://trademark.i-assist.jp/data/china/image_1915th/81173084.pdf","81173084")</f>
        <v>81173084</v>
      </c>
      <c r="F2202" s="9" t="s">
        <v>6006</v>
      </c>
      <c r="G2202" s="9" t="s">
        <v>6007</v>
      </c>
      <c r="H2202" s="9" t="s">
        <v>6008</v>
      </c>
      <c r="I2202" s="10">
        <v>45563</v>
      </c>
    </row>
    <row r="2203" spans="1:9" x14ac:dyDescent="0.15">
      <c r="A2203" s="9">
        <v>2202</v>
      </c>
      <c r="B2203" s="9" t="s">
        <v>9</v>
      </c>
      <c r="C2203" s="9">
        <v>1915</v>
      </c>
      <c r="D2203" s="10">
        <v>45639</v>
      </c>
      <c r="E2203" s="13" t="str">
        <f>+HYPERLINK("http://trademark.i-assist.jp/data/china/image_1915th/81173549.pdf","81173549")</f>
        <v>81173549</v>
      </c>
      <c r="F2203" s="9" t="s">
        <v>6009</v>
      </c>
      <c r="G2203" s="9" t="s">
        <v>6010</v>
      </c>
      <c r="H2203" s="9" t="s">
        <v>6011</v>
      </c>
      <c r="I2203" s="10">
        <v>45564</v>
      </c>
    </row>
    <row r="2204" spans="1:9" x14ac:dyDescent="0.15">
      <c r="A2204" s="9">
        <v>2203</v>
      </c>
      <c r="B2204" s="9" t="s">
        <v>9</v>
      </c>
      <c r="C2204" s="9">
        <v>1915</v>
      </c>
      <c r="D2204" s="10">
        <v>45639</v>
      </c>
      <c r="E2204" s="13" t="str">
        <f>+HYPERLINK("http://trademark.i-assist.jp/data/china/image_1915th/81173714.pdf","81173714")</f>
        <v>81173714</v>
      </c>
      <c r="F2204" s="9" t="s">
        <v>6012</v>
      </c>
      <c r="G2204" s="9" t="s">
        <v>6013</v>
      </c>
      <c r="H2204" s="9" t="s">
        <v>6014</v>
      </c>
      <c r="I2204" s="10">
        <v>45564</v>
      </c>
    </row>
    <row r="2205" spans="1:9" x14ac:dyDescent="0.15">
      <c r="A2205" s="9">
        <v>2204</v>
      </c>
      <c r="B2205" s="9" t="s">
        <v>9</v>
      </c>
      <c r="C2205" s="9">
        <v>1915</v>
      </c>
      <c r="D2205" s="10">
        <v>45639</v>
      </c>
      <c r="E2205" s="13" t="str">
        <f>+HYPERLINK("http://trademark.i-assist.jp/data/china/image_1915th/81173842.pdf","81173842")</f>
        <v>81173842</v>
      </c>
      <c r="F2205" s="9" t="s">
        <v>6015</v>
      </c>
      <c r="G2205" s="9" t="s">
        <v>6016</v>
      </c>
      <c r="H2205" s="9" t="s">
        <v>6017</v>
      </c>
      <c r="I2205" s="10">
        <v>45564</v>
      </c>
    </row>
    <row r="2206" spans="1:9" x14ac:dyDescent="0.15">
      <c r="A2206" s="9">
        <v>2205</v>
      </c>
      <c r="B2206" s="9" t="s">
        <v>9</v>
      </c>
      <c r="C2206" s="9">
        <v>1915</v>
      </c>
      <c r="D2206" s="10">
        <v>45639</v>
      </c>
      <c r="E2206" s="13" t="str">
        <f>+HYPERLINK("http://trademark.i-assist.jp/data/china/image_1915th/81174192.pdf","81174192")</f>
        <v>81174192</v>
      </c>
      <c r="F2206" s="9" t="s">
        <v>6018</v>
      </c>
      <c r="G2206" s="9" t="s">
        <v>6019</v>
      </c>
      <c r="H2206" s="9" t="s">
        <v>6020</v>
      </c>
      <c r="I2206" s="10">
        <v>45564</v>
      </c>
    </row>
    <row r="2207" spans="1:9" x14ac:dyDescent="0.15">
      <c r="A2207" s="9">
        <v>2206</v>
      </c>
      <c r="B2207" s="9" t="s">
        <v>9</v>
      </c>
      <c r="C2207" s="9">
        <v>1915</v>
      </c>
      <c r="D2207" s="10">
        <v>45639</v>
      </c>
      <c r="E2207" s="13" t="str">
        <f>+HYPERLINK("http://trademark.i-assist.jp/data/china/image_1915th/81174769.pdf","81174769")</f>
        <v>81174769</v>
      </c>
      <c r="F2207" s="12" t="s">
        <v>6021</v>
      </c>
      <c r="G2207" s="9" t="s">
        <v>139</v>
      </c>
      <c r="H2207" s="9" t="s">
        <v>6022</v>
      </c>
      <c r="I2207" s="10">
        <v>45564</v>
      </c>
    </row>
    <row r="2208" spans="1:9" x14ac:dyDescent="0.15">
      <c r="A2208" s="9">
        <v>2207</v>
      </c>
      <c r="B2208" s="9" t="s">
        <v>9</v>
      </c>
      <c r="C2208" s="9">
        <v>1915</v>
      </c>
      <c r="D2208" s="10">
        <v>45639</v>
      </c>
      <c r="E2208" s="13" t="str">
        <f>+HYPERLINK("http://trademark.i-assist.jp/data/china/image_1915th/81174968.pdf","81174968")</f>
        <v>81174968</v>
      </c>
      <c r="F2208" s="9" t="s">
        <v>6023</v>
      </c>
      <c r="G2208" s="12" t="s">
        <v>6024</v>
      </c>
      <c r="H2208" s="9" t="s">
        <v>6025</v>
      </c>
      <c r="I2208" s="10">
        <v>45564</v>
      </c>
    </row>
    <row r="2209" spans="1:9" x14ac:dyDescent="0.15">
      <c r="A2209" s="9">
        <v>2208</v>
      </c>
      <c r="B2209" s="9" t="s">
        <v>9</v>
      </c>
      <c r="C2209" s="9">
        <v>1915</v>
      </c>
      <c r="D2209" s="10">
        <v>45639</v>
      </c>
      <c r="E2209" s="13" t="str">
        <f>+HYPERLINK("http://trademark.i-assist.jp/data/china/image_1915th/81175171.pdf","81175171")</f>
        <v>81175171</v>
      </c>
      <c r="F2209" s="9" t="s">
        <v>6026</v>
      </c>
      <c r="G2209" s="9" t="s">
        <v>5984</v>
      </c>
      <c r="H2209" s="12" t="s">
        <v>6027</v>
      </c>
      <c r="I2209" s="10">
        <v>45564</v>
      </c>
    </row>
    <row r="2210" spans="1:9" x14ac:dyDescent="0.15">
      <c r="A2210" s="9">
        <v>2209</v>
      </c>
      <c r="B2210" s="9" t="s">
        <v>9</v>
      </c>
      <c r="C2210" s="9">
        <v>1915</v>
      </c>
      <c r="D2210" s="10">
        <v>45639</v>
      </c>
      <c r="E2210" s="13" t="str">
        <f>+HYPERLINK("http://trademark.i-assist.jp/data/china/image_1915th/81175312.pdf","81175312")</f>
        <v>81175312</v>
      </c>
      <c r="F2210" s="9" t="s">
        <v>6028</v>
      </c>
      <c r="G2210" s="9" t="s">
        <v>6029</v>
      </c>
      <c r="H2210" s="9" t="s">
        <v>6030</v>
      </c>
      <c r="I2210" s="10">
        <v>45564</v>
      </c>
    </row>
    <row r="2211" spans="1:9" x14ac:dyDescent="0.15">
      <c r="A2211" s="9">
        <v>2210</v>
      </c>
      <c r="B2211" s="9" t="s">
        <v>9</v>
      </c>
      <c r="C2211" s="9">
        <v>1915</v>
      </c>
      <c r="D2211" s="10">
        <v>45639</v>
      </c>
      <c r="E2211" s="13" t="str">
        <f>+HYPERLINK("http://trademark.i-assist.jp/data/china/image_1915th/81175544.pdf","81175544")</f>
        <v>81175544</v>
      </c>
      <c r="F2211" s="9" t="s">
        <v>6031</v>
      </c>
      <c r="G2211" s="12" t="s">
        <v>6032</v>
      </c>
      <c r="H2211" s="9" t="s">
        <v>6033</v>
      </c>
      <c r="I2211" s="10">
        <v>45564</v>
      </c>
    </row>
    <row r="2212" spans="1:9" x14ac:dyDescent="0.15">
      <c r="A2212" s="9">
        <v>2211</v>
      </c>
      <c r="B2212" s="9" t="s">
        <v>9</v>
      </c>
      <c r="C2212" s="9">
        <v>1915</v>
      </c>
      <c r="D2212" s="10">
        <v>45639</v>
      </c>
      <c r="E2212" s="13" t="str">
        <f>+HYPERLINK("http://trademark.i-assist.jp/data/china/image_1915th/81175879.pdf","81175879")</f>
        <v>81175879</v>
      </c>
      <c r="F2212" s="9" t="s">
        <v>6034</v>
      </c>
      <c r="G2212" s="9" t="s">
        <v>6035</v>
      </c>
      <c r="H2212" s="9" t="s">
        <v>6036</v>
      </c>
      <c r="I2212" s="10">
        <v>45564</v>
      </c>
    </row>
    <row r="2213" spans="1:9" x14ac:dyDescent="0.15">
      <c r="A2213" s="9">
        <v>2212</v>
      </c>
      <c r="B2213" s="9" t="s">
        <v>9</v>
      </c>
      <c r="C2213" s="9">
        <v>1915</v>
      </c>
      <c r="D2213" s="10">
        <v>45639</v>
      </c>
      <c r="E2213" s="13" t="str">
        <f>+HYPERLINK("http://trademark.i-assist.jp/data/china/image_1915th/81175895.pdf","81175895")</f>
        <v>81175895</v>
      </c>
      <c r="F2213" s="9" t="s">
        <v>6037</v>
      </c>
      <c r="G2213" s="9" t="s">
        <v>4793</v>
      </c>
      <c r="H2213" s="9" t="s">
        <v>6038</v>
      </c>
      <c r="I2213" s="10">
        <v>45564</v>
      </c>
    </row>
    <row r="2214" spans="1:9" x14ac:dyDescent="0.15">
      <c r="A2214" s="9">
        <v>2213</v>
      </c>
      <c r="B2214" s="9" t="s">
        <v>9</v>
      </c>
      <c r="C2214" s="9">
        <v>1915</v>
      </c>
      <c r="D2214" s="10">
        <v>45639</v>
      </c>
      <c r="E2214" s="13" t="str">
        <f>+HYPERLINK("http://trademark.i-assist.jp/data/china/image_1915th/81176625.pdf","81176625")</f>
        <v>81176625</v>
      </c>
      <c r="F2214" s="9" t="s">
        <v>6039</v>
      </c>
      <c r="G2214" s="9" t="s">
        <v>6040</v>
      </c>
      <c r="H2214" s="9" t="s">
        <v>6041</v>
      </c>
      <c r="I2214" s="10">
        <v>45564</v>
      </c>
    </row>
    <row r="2215" spans="1:9" x14ac:dyDescent="0.15">
      <c r="A2215" s="9">
        <v>2214</v>
      </c>
      <c r="B2215" s="9" t="s">
        <v>9</v>
      </c>
      <c r="C2215" s="9">
        <v>1915</v>
      </c>
      <c r="D2215" s="10">
        <v>45639</v>
      </c>
      <c r="E2215" s="13" t="str">
        <f>+HYPERLINK("http://trademark.i-assist.jp/data/china/image_1915th/81177112.pdf","81177112")</f>
        <v>81177112</v>
      </c>
      <c r="F2215" s="9" t="s">
        <v>6042</v>
      </c>
      <c r="G2215" s="9" t="s">
        <v>6043</v>
      </c>
      <c r="H2215" s="9" t="s">
        <v>6044</v>
      </c>
      <c r="I2215" s="10">
        <v>45564</v>
      </c>
    </row>
    <row r="2216" spans="1:9" x14ac:dyDescent="0.15">
      <c r="A2216" s="9">
        <v>2215</v>
      </c>
      <c r="B2216" s="9" t="s">
        <v>9</v>
      </c>
      <c r="C2216" s="9">
        <v>1915</v>
      </c>
      <c r="D2216" s="10">
        <v>45639</v>
      </c>
      <c r="E2216" s="13" t="str">
        <f>+HYPERLINK("http://trademark.i-assist.jp/data/china/image_1915th/81177348.pdf","81177348")</f>
        <v>81177348</v>
      </c>
      <c r="F2216" s="9" t="s">
        <v>6045</v>
      </c>
      <c r="G2216" s="9" t="s">
        <v>6046</v>
      </c>
      <c r="H2216" s="9" t="s">
        <v>6047</v>
      </c>
      <c r="I2216" s="10">
        <v>45564</v>
      </c>
    </row>
    <row r="2217" spans="1:9" x14ac:dyDescent="0.15">
      <c r="A2217" s="9">
        <v>2216</v>
      </c>
      <c r="B2217" s="9" t="s">
        <v>9</v>
      </c>
      <c r="C2217" s="9">
        <v>1915</v>
      </c>
      <c r="D2217" s="10">
        <v>45639</v>
      </c>
      <c r="E2217" s="13" t="str">
        <f>+HYPERLINK("http://trademark.i-assist.jp/data/china/image_1915th/81177409.pdf","81177409")</f>
        <v>81177409</v>
      </c>
      <c r="F2217" s="9" t="s">
        <v>6048</v>
      </c>
      <c r="G2217" s="9" t="s">
        <v>6049</v>
      </c>
      <c r="H2217" s="9" t="s">
        <v>6050</v>
      </c>
      <c r="I2217" s="10">
        <v>45564</v>
      </c>
    </row>
    <row r="2218" spans="1:9" x14ac:dyDescent="0.15">
      <c r="A2218" s="9">
        <v>2217</v>
      </c>
      <c r="B2218" s="9" t="s">
        <v>9</v>
      </c>
      <c r="C2218" s="9">
        <v>1915</v>
      </c>
      <c r="D2218" s="10">
        <v>45639</v>
      </c>
      <c r="E2218" s="13" t="str">
        <f>+HYPERLINK("http://trademark.i-assist.jp/data/china/image_1915th/81177864.pdf","81177864")</f>
        <v>81177864</v>
      </c>
      <c r="F2218" s="9" t="s">
        <v>6051</v>
      </c>
      <c r="G2218" s="9" t="s">
        <v>6052</v>
      </c>
      <c r="H2218" s="9" t="s">
        <v>6053</v>
      </c>
      <c r="I2218" s="10">
        <v>45564</v>
      </c>
    </row>
    <row r="2219" spans="1:9" x14ac:dyDescent="0.15">
      <c r="A2219" s="9">
        <v>2218</v>
      </c>
      <c r="B2219" s="9" t="s">
        <v>9</v>
      </c>
      <c r="C2219" s="9">
        <v>1915</v>
      </c>
      <c r="D2219" s="10">
        <v>45639</v>
      </c>
      <c r="E2219" s="13" t="str">
        <f>+HYPERLINK("http://trademark.i-assist.jp/data/china/image_1915th/81178024.pdf","81178024")</f>
        <v>81178024</v>
      </c>
      <c r="F2219" s="9" t="s">
        <v>6054</v>
      </c>
      <c r="G2219" s="9" t="s">
        <v>6055</v>
      </c>
      <c r="H2219" s="12" t="s">
        <v>6056</v>
      </c>
      <c r="I2219" s="10">
        <v>45564</v>
      </c>
    </row>
    <row r="2220" spans="1:9" x14ac:dyDescent="0.15">
      <c r="A2220" s="9">
        <v>2219</v>
      </c>
      <c r="B2220" s="9" t="s">
        <v>9</v>
      </c>
      <c r="C2220" s="9">
        <v>1915</v>
      </c>
      <c r="D2220" s="10">
        <v>45639</v>
      </c>
      <c r="E2220" s="13" t="str">
        <f>+HYPERLINK("http://trademark.i-assist.jp/data/china/image_1915th/81178245.pdf","81178245")</f>
        <v>81178245</v>
      </c>
      <c r="F2220" s="9" t="s">
        <v>6057</v>
      </c>
      <c r="G2220" s="9" t="s">
        <v>6058</v>
      </c>
      <c r="H2220" s="9" t="s">
        <v>6059</v>
      </c>
      <c r="I2220" s="10">
        <v>45564</v>
      </c>
    </row>
    <row r="2221" spans="1:9" x14ac:dyDescent="0.15">
      <c r="A2221" s="9">
        <v>2220</v>
      </c>
      <c r="B2221" s="9" t="s">
        <v>9</v>
      </c>
      <c r="C2221" s="9">
        <v>1915</v>
      </c>
      <c r="D2221" s="10">
        <v>45639</v>
      </c>
      <c r="E2221" s="13" t="str">
        <f>+HYPERLINK("http://trademark.i-assist.jp/data/china/image_1915th/81178298.pdf","81178298")</f>
        <v>81178298</v>
      </c>
      <c r="F2221" s="9" t="s">
        <v>6060</v>
      </c>
      <c r="G2221" s="9" t="s">
        <v>6013</v>
      </c>
      <c r="H2221" s="9" t="s">
        <v>6061</v>
      </c>
      <c r="I2221" s="10">
        <v>45564</v>
      </c>
    </row>
    <row r="2222" spans="1:9" x14ac:dyDescent="0.15">
      <c r="A2222" s="9">
        <v>2221</v>
      </c>
      <c r="B2222" s="9" t="s">
        <v>9</v>
      </c>
      <c r="C2222" s="9">
        <v>1915</v>
      </c>
      <c r="D2222" s="10">
        <v>45639</v>
      </c>
      <c r="E2222" s="13" t="str">
        <f>+HYPERLINK("http://trademark.i-assist.jp/data/china/image_1915th/81178390.pdf","81178390")</f>
        <v>81178390</v>
      </c>
      <c r="F2222" s="9" t="s">
        <v>6062</v>
      </c>
      <c r="G2222" s="12" t="s">
        <v>6063</v>
      </c>
      <c r="H2222" s="9" t="s">
        <v>6064</v>
      </c>
      <c r="I2222" s="10">
        <v>45564</v>
      </c>
    </row>
    <row r="2223" spans="1:9" x14ac:dyDescent="0.15">
      <c r="A2223" s="9">
        <v>2222</v>
      </c>
      <c r="B2223" s="9" t="s">
        <v>9</v>
      </c>
      <c r="C2223" s="9">
        <v>1915</v>
      </c>
      <c r="D2223" s="10">
        <v>45639</v>
      </c>
      <c r="E2223" s="13" t="str">
        <f>+HYPERLINK("http://trademark.i-assist.jp/data/china/image_1915th/81179634.pdf","81179634")</f>
        <v>81179634</v>
      </c>
      <c r="F2223" s="9" t="s">
        <v>6065</v>
      </c>
      <c r="G2223" s="9" t="s">
        <v>6066</v>
      </c>
      <c r="H2223" s="9" t="s">
        <v>6067</v>
      </c>
      <c r="I2223" s="10">
        <v>45564</v>
      </c>
    </row>
    <row r="2224" spans="1:9" x14ac:dyDescent="0.15">
      <c r="A2224" s="9">
        <v>2223</v>
      </c>
      <c r="B2224" s="9" t="s">
        <v>9</v>
      </c>
      <c r="C2224" s="9">
        <v>1915</v>
      </c>
      <c r="D2224" s="10">
        <v>45639</v>
      </c>
      <c r="E2224" s="13" t="str">
        <f>+HYPERLINK("http://trademark.i-assist.jp/data/china/image_1915th/81179683.pdf","81179683")</f>
        <v>81179683</v>
      </c>
      <c r="F2224" s="9" t="s">
        <v>6068</v>
      </c>
      <c r="G2224" s="9" t="s">
        <v>6069</v>
      </c>
      <c r="H2224" s="9" t="s">
        <v>6070</v>
      </c>
      <c r="I2224" s="10">
        <v>45564</v>
      </c>
    </row>
    <row r="2225" spans="1:9" x14ac:dyDescent="0.15">
      <c r="A2225" s="9">
        <v>2224</v>
      </c>
      <c r="B2225" s="9" t="s">
        <v>9</v>
      </c>
      <c r="C2225" s="9">
        <v>1915</v>
      </c>
      <c r="D2225" s="10">
        <v>45639</v>
      </c>
      <c r="E2225" s="13" t="str">
        <f>+HYPERLINK("http://trademark.i-assist.jp/data/china/image_1915th/81180015.pdf","81180015")</f>
        <v>81180015</v>
      </c>
      <c r="F2225" s="9" t="s">
        <v>6071</v>
      </c>
      <c r="G2225" s="9" t="s">
        <v>6072</v>
      </c>
      <c r="H2225" s="12" t="s">
        <v>6073</v>
      </c>
      <c r="I2225" s="10">
        <v>45564</v>
      </c>
    </row>
    <row r="2226" spans="1:9" x14ac:dyDescent="0.15">
      <c r="A2226" s="9">
        <v>2225</v>
      </c>
      <c r="B2226" s="9" t="s">
        <v>9</v>
      </c>
      <c r="C2226" s="9">
        <v>1915</v>
      </c>
      <c r="D2226" s="10">
        <v>45639</v>
      </c>
      <c r="E2226" s="13" t="str">
        <f>+HYPERLINK("http://trademark.i-assist.jp/data/china/image_1915th/81180087.pdf","81180087")</f>
        <v>81180087</v>
      </c>
      <c r="F2226" s="9" t="s">
        <v>6074</v>
      </c>
      <c r="G2226" s="9" t="s">
        <v>6013</v>
      </c>
      <c r="H2226" s="12" t="s">
        <v>6075</v>
      </c>
      <c r="I2226" s="10">
        <v>45564</v>
      </c>
    </row>
    <row r="2227" spans="1:9" x14ac:dyDescent="0.15">
      <c r="A2227" s="9">
        <v>2226</v>
      </c>
      <c r="B2227" s="9" t="s">
        <v>9</v>
      </c>
      <c r="C2227" s="9">
        <v>1915</v>
      </c>
      <c r="D2227" s="10">
        <v>45639</v>
      </c>
      <c r="E2227" s="13" t="str">
        <f>+HYPERLINK("http://trademark.i-assist.jp/data/china/image_1915th/81180291.pdf","81180291")</f>
        <v>81180291</v>
      </c>
      <c r="F2227" s="9" t="s">
        <v>6076</v>
      </c>
      <c r="G2227" s="9" t="s">
        <v>6077</v>
      </c>
      <c r="H2227" s="9" t="s">
        <v>6078</v>
      </c>
      <c r="I2227" s="10">
        <v>45564</v>
      </c>
    </row>
    <row r="2228" spans="1:9" x14ac:dyDescent="0.15">
      <c r="A2228" s="9">
        <v>2227</v>
      </c>
      <c r="B2228" s="9" t="s">
        <v>9</v>
      </c>
      <c r="C2228" s="9">
        <v>1915</v>
      </c>
      <c r="D2228" s="10">
        <v>45639</v>
      </c>
      <c r="E2228" s="13" t="str">
        <f>+HYPERLINK("http://trademark.i-assist.jp/data/china/image_1915th/81180476.pdf","81180476")</f>
        <v>81180476</v>
      </c>
      <c r="F2228" s="9" t="s">
        <v>6079</v>
      </c>
      <c r="G2228" s="9" t="s">
        <v>6080</v>
      </c>
      <c r="H2228" s="9" t="s">
        <v>6081</v>
      </c>
      <c r="I2228" s="10">
        <v>45564</v>
      </c>
    </row>
    <row r="2229" spans="1:9" x14ac:dyDescent="0.15">
      <c r="A2229" s="9">
        <v>2228</v>
      </c>
      <c r="B2229" s="9" t="s">
        <v>9</v>
      </c>
      <c r="C2229" s="9">
        <v>1915</v>
      </c>
      <c r="D2229" s="10">
        <v>45639</v>
      </c>
      <c r="E2229" s="13" t="str">
        <f>+HYPERLINK("http://trademark.i-assist.jp/data/china/image_1915th/81180848.pdf","81180848")</f>
        <v>81180848</v>
      </c>
      <c r="F2229" s="9" t="s">
        <v>6082</v>
      </c>
      <c r="G2229" s="9" t="s">
        <v>6083</v>
      </c>
      <c r="H2229" s="9" t="s">
        <v>6084</v>
      </c>
      <c r="I2229" s="10">
        <v>45564</v>
      </c>
    </row>
    <row r="2230" spans="1:9" x14ac:dyDescent="0.15">
      <c r="A2230" s="9">
        <v>2229</v>
      </c>
      <c r="B2230" s="9" t="s">
        <v>9</v>
      </c>
      <c r="C2230" s="9">
        <v>1915</v>
      </c>
      <c r="D2230" s="10">
        <v>45639</v>
      </c>
      <c r="E2230" s="13" t="str">
        <f>+HYPERLINK("http://trademark.i-assist.jp/data/china/image_1915th/81181558.pdf","81181558")</f>
        <v>81181558</v>
      </c>
      <c r="F2230" s="9" t="s">
        <v>6085</v>
      </c>
      <c r="G2230" s="9" t="s">
        <v>6086</v>
      </c>
      <c r="H2230" s="9" t="s">
        <v>6087</v>
      </c>
      <c r="I2230" s="10">
        <v>45564</v>
      </c>
    </row>
    <row r="2231" spans="1:9" x14ac:dyDescent="0.15">
      <c r="A2231" s="9">
        <v>2230</v>
      </c>
      <c r="B2231" s="9" t="s">
        <v>9</v>
      </c>
      <c r="C2231" s="9">
        <v>1915</v>
      </c>
      <c r="D2231" s="10">
        <v>45639</v>
      </c>
      <c r="E2231" s="13" t="str">
        <f>+HYPERLINK("http://trademark.i-assist.jp/data/china/image_1915th/81182137.pdf","81182137")</f>
        <v>81182137</v>
      </c>
      <c r="F2231" s="9" t="s">
        <v>6088</v>
      </c>
      <c r="G2231" s="9" t="s">
        <v>6089</v>
      </c>
      <c r="H2231" s="9" t="s">
        <v>6090</v>
      </c>
      <c r="I2231" s="10">
        <v>45564</v>
      </c>
    </row>
    <row r="2232" spans="1:9" x14ac:dyDescent="0.15">
      <c r="A2232" s="9">
        <v>2231</v>
      </c>
      <c r="B2232" s="9" t="s">
        <v>9</v>
      </c>
      <c r="C2232" s="9">
        <v>1915</v>
      </c>
      <c r="D2232" s="10">
        <v>45639</v>
      </c>
      <c r="E2232" s="13" t="str">
        <f>+HYPERLINK("http://trademark.i-assist.jp/data/china/image_1915th/81182634.pdf","81182634")</f>
        <v>81182634</v>
      </c>
      <c r="F2232" s="12" t="s">
        <v>6091</v>
      </c>
      <c r="G2232" s="9" t="s">
        <v>6080</v>
      </c>
      <c r="H2232" s="9" t="s">
        <v>6092</v>
      </c>
      <c r="I2232" s="10">
        <v>45564</v>
      </c>
    </row>
    <row r="2233" spans="1:9" x14ac:dyDescent="0.15">
      <c r="A2233" s="9">
        <v>2232</v>
      </c>
      <c r="B2233" s="9" t="s">
        <v>9</v>
      </c>
      <c r="C2233" s="9">
        <v>1915</v>
      </c>
      <c r="D2233" s="10">
        <v>45639</v>
      </c>
      <c r="E2233" s="13" t="str">
        <f>+HYPERLINK("http://trademark.i-assist.jp/data/china/image_1915th/81182717.pdf","81182717")</f>
        <v>81182717</v>
      </c>
      <c r="F2233" s="12" t="s">
        <v>6093</v>
      </c>
      <c r="G2233" s="9" t="s">
        <v>6094</v>
      </c>
      <c r="H2233" s="12" t="s">
        <v>6095</v>
      </c>
      <c r="I2233" s="10">
        <v>45564</v>
      </c>
    </row>
    <row r="2234" spans="1:9" x14ac:dyDescent="0.15">
      <c r="A2234" s="9">
        <v>2233</v>
      </c>
      <c r="B2234" s="9" t="s">
        <v>9</v>
      </c>
      <c r="C2234" s="9">
        <v>1915</v>
      </c>
      <c r="D2234" s="10">
        <v>45639</v>
      </c>
      <c r="E2234" s="13" t="str">
        <f>+HYPERLINK("http://trademark.i-assist.jp/data/china/image_1915th/81182727.pdf","81182727")</f>
        <v>81182727</v>
      </c>
      <c r="F2234" s="9" t="s">
        <v>6096</v>
      </c>
      <c r="G2234" s="12" t="s">
        <v>6097</v>
      </c>
      <c r="H2234" s="9" t="s">
        <v>6098</v>
      </c>
      <c r="I2234" s="10">
        <v>45564</v>
      </c>
    </row>
    <row r="2235" spans="1:9" x14ac:dyDescent="0.15">
      <c r="A2235" s="9">
        <v>2234</v>
      </c>
      <c r="B2235" s="9" t="s">
        <v>9</v>
      </c>
      <c r="C2235" s="9">
        <v>1915</v>
      </c>
      <c r="D2235" s="10">
        <v>45639</v>
      </c>
      <c r="E2235" s="13" t="str">
        <f>+HYPERLINK("http://trademark.i-assist.jp/data/china/image_1915th/81182739.pdf","81182739")</f>
        <v>81182739</v>
      </c>
      <c r="F2235" s="9" t="s">
        <v>6099</v>
      </c>
      <c r="G2235" s="9" t="s">
        <v>6100</v>
      </c>
      <c r="H2235" s="9" t="s">
        <v>6101</v>
      </c>
      <c r="I2235" s="10">
        <v>45564</v>
      </c>
    </row>
    <row r="2236" spans="1:9" x14ac:dyDescent="0.15">
      <c r="A2236" s="9">
        <v>2235</v>
      </c>
      <c r="B2236" s="9" t="s">
        <v>9</v>
      </c>
      <c r="C2236" s="9">
        <v>1915</v>
      </c>
      <c r="D2236" s="10">
        <v>45639</v>
      </c>
      <c r="E2236" s="13" t="str">
        <f>+HYPERLINK("http://trademark.i-assist.jp/data/china/image_1915th/81182870.pdf","81182870")</f>
        <v>81182870</v>
      </c>
      <c r="F2236" s="9" t="s">
        <v>6102</v>
      </c>
      <c r="G2236" s="9" t="s">
        <v>6102</v>
      </c>
      <c r="H2236" s="9" t="s">
        <v>6103</v>
      </c>
      <c r="I2236" s="10">
        <v>45564</v>
      </c>
    </row>
    <row r="2237" spans="1:9" x14ac:dyDescent="0.15">
      <c r="A2237" s="9">
        <v>2236</v>
      </c>
      <c r="B2237" s="9" t="s">
        <v>9</v>
      </c>
      <c r="C2237" s="9">
        <v>1915</v>
      </c>
      <c r="D2237" s="10">
        <v>45639</v>
      </c>
      <c r="E2237" s="13" t="str">
        <f>+HYPERLINK("http://trademark.i-assist.jp/data/china/image_1915th/81182914.pdf","81182914")</f>
        <v>81182914</v>
      </c>
      <c r="F2237" s="12" t="s">
        <v>6104</v>
      </c>
      <c r="G2237" s="9" t="s">
        <v>6105</v>
      </c>
      <c r="H2237" s="9" t="s">
        <v>6106</v>
      </c>
      <c r="I2237" s="10">
        <v>45564</v>
      </c>
    </row>
    <row r="2238" spans="1:9" x14ac:dyDescent="0.15">
      <c r="A2238" s="9">
        <v>2237</v>
      </c>
      <c r="B2238" s="9" t="s">
        <v>9</v>
      </c>
      <c r="C2238" s="9">
        <v>1915</v>
      </c>
      <c r="D2238" s="10">
        <v>45639</v>
      </c>
      <c r="E2238" s="13" t="str">
        <f>+HYPERLINK("http://trademark.i-assist.jp/data/china/image_1915th/81182997.pdf","81182997")</f>
        <v>81182997</v>
      </c>
      <c r="F2238" s="12" t="s">
        <v>6107</v>
      </c>
      <c r="G2238" s="9" t="s">
        <v>6108</v>
      </c>
      <c r="H2238" s="9" t="s">
        <v>6109</v>
      </c>
      <c r="I2238" s="10">
        <v>45564</v>
      </c>
    </row>
    <row r="2239" spans="1:9" x14ac:dyDescent="0.15">
      <c r="A2239" s="9">
        <v>2238</v>
      </c>
      <c r="B2239" s="9" t="s">
        <v>9</v>
      </c>
      <c r="C2239" s="9">
        <v>1915</v>
      </c>
      <c r="D2239" s="10">
        <v>45639</v>
      </c>
      <c r="E2239" s="13" t="str">
        <f>+HYPERLINK("http://trademark.i-assist.jp/data/china/image_1915th/81183411.pdf","81183411")</f>
        <v>81183411</v>
      </c>
      <c r="F2239" s="9" t="s">
        <v>6110</v>
      </c>
      <c r="G2239" s="9" t="s">
        <v>6013</v>
      </c>
      <c r="H2239" s="9" t="s">
        <v>6111</v>
      </c>
      <c r="I2239" s="10">
        <v>45564</v>
      </c>
    </row>
    <row r="2240" spans="1:9" x14ac:dyDescent="0.15">
      <c r="A2240" s="9">
        <v>2239</v>
      </c>
      <c r="B2240" s="9" t="s">
        <v>9</v>
      </c>
      <c r="C2240" s="9">
        <v>1915</v>
      </c>
      <c r="D2240" s="10">
        <v>45639</v>
      </c>
      <c r="E2240" s="13" t="str">
        <f>+HYPERLINK("http://trademark.i-assist.jp/data/china/image_1915th/81183601.pdf","81183601")</f>
        <v>81183601</v>
      </c>
      <c r="F2240" s="9" t="s">
        <v>6112</v>
      </c>
      <c r="G2240" s="9" t="s">
        <v>6113</v>
      </c>
      <c r="H2240" s="12" t="s">
        <v>6114</v>
      </c>
      <c r="I2240" s="10">
        <v>45564</v>
      </c>
    </row>
    <row r="2241" spans="1:9" x14ac:dyDescent="0.15">
      <c r="A2241" s="9">
        <v>2240</v>
      </c>
      <c r="B2241" s="9" t="s">
        <v>9</v>
      </c>
      <c r="C2241" s="9">
        <v>1915</v>
      </c>
      <c r="D2241" s="10">
        <v>45639</v>
      </c>
      <c r="E2241" s="13" t="str">
        <f>+HYPERLINK("http://trademark.i-assist.jp/data/china/image_1915th/81183634.pdf","81183634")</f>
        <v>81183634</v>
      </c>
      <c r="F2241" s="9" t="s">
        <v>6115</v>
      </c>
      <c r="G2241" s="12" t="s">
        <v>210</v>
      </c>
      <c r="H2241" s="9" t="s">
        <v>6116</v>
      </c>
      <c r="I2241" s="10">
        <v>45564</v>
      </c>
    </row>
    <row r="2242" spans="1:9" x14ac:dyDescent="0.15">
      <c r="A2242" s="9">
        <v>2241</v>
      </c>
      <c r="B2242" s="9" t="s">
        <v>9</v>
      </c>
      <c r="C2242" s="9">
        <v>1915</v>
      </c>
      <c r="D2242" s="10">
        <v>45639</v>
      </c>
      <c r="E2242" s="13" t="str">
        <f>+HYPERLINK("http://trademark.i-assist.jp/data/china/image_1915th/81183748.pdf","81183748")</f>
        <v>81183748</v>
      </c>
      <c r="F2242" s="9" t="s">
        <v>6117</v>
      </c>
      <c r="G2242" s="9" t="s">
        <v>6069</v>
      </c>
      <c r="H2242" s="9" t="s">
        <v>6118</v>
      </c>
      <c r="I2242" s="10">
        <v>45564</v>
      </c>
    </row>
    <row r="2243" spans="1:9" x14ac:dyDescent="0.15">
      <c r="A2243" s="9">
        <v>2242</v>
      </c>
      <c r="B2243" s="9" t="s">
        <v>9</v>
      </c>
      <c r="C2243" s="9">
        <v>1915</v>
      </c>
      <c r="D2243" s="10">
        <v>45639</v>
      </c>
      <c r="E2243" s="13" t="str">
        <f>+HYPERLINK("http://trademark.i-assist.jp/data/china/image_1915th/81184104.pdf","81184104")</f>
        <v>81184104</v>
      </c>
      <c r="F2243" s="9" t="s">
        <v>6119</v>
      </c>
      <c r="G2243" s="9" t="s">
        <v>6120</v>
      </c>
      <c r="H2243" s="9" t="s">
        <v>6121</v>
      </c>
      <c r="I2243" s="10">
        <v>45564</v>
      </c>
    </row>
    <row r="2244" spans="1:9" x14ac:dyDescent="0.15">
      <c r="A2244" s="9">
        <v>2243</v>
      </c>
      <c r="B2244" s="9" t="s">
        <v>9</v>
      </c>
      <c r="C2244" s="9">
        <v>1915</v>
      </c>
      <c r="D2244" s="10">
        <v>45639</v>
      </c>
      <c r="E2244" s="13" t="str">
        <f>+HYPERLINK("http://trademark.i-assist.jp/data/china/image_1915th/81184542.pdf","81184542")</f>
        <v>81184542</v>
      </c>
      <c r="F2244" s="9" t="s">
        <v>6122</v>
      </c>
      <c r="G2244" s="9" t="s">
        <v>6123</v>
      </c>
      <c r="H2244" s="9" t="s">
        <v>6124</v>
      </c>
      <c r="I2244" s="10">
        <v>45564</v>
      </c>
    </row>
    <row r="2245" spans="1:9" x14ac:dyDescent="0.15">
      <c r="A2245" s="9">
        <v>2244</v>
      </c>
      <c r="B2245" s="9" t="s">
        <v>9</v>
      </c>
      <c r="C2245" s="9">
        <v>1915</v>
      </c>
      <c r="D2245" s="10">
        <v>45639</v>
      </c>
      <c r="E2245" s="13" t="str">
        <f>+HYPERLINK("http://trademark.i-assist.jp/data/china/image_1915th/81184710.pdf","81184710")</f>
        <v>81184710</v>
      </c>
      <c r="F2245" s="9" t="s">
        <v>6125</v>
      </c>
      <c r="G2245" s="9" t="s">
        <v>6126</v>
      </c>
      <c r="H2245" s="9" t="s">
        <v>6127</v>
      </c>
      <c r="I2245" s="10">
        <v>45564</v>
      </c>
    </row>
    <row r="2246" spans="1:9" x14ac:dyDescent="0.15">
      <c r="A2246" s="9">
        <v>2245</v>
      </c>
      <c r="B2246" s="9" t="s">
        <v>9</v>
      </c>
      <c r="C2246" s="9">
        <v>1915</v>
      </c>
      <c r="D2246" s="10">
        <v>45639</v>
      </c>
      <c r="E2246" s="13" t="str">
        <f>+HYPERLINK("http://trademark.i-assist.jp/data/china/image_1915th/81184858.pdf","81184858")</f>
        <v>81184858</v>
      </c>
      <c r="F2246" s="12" t="s">
        <v>6128</v>
      </c>
      <c r="G2246" s="9" t="s">
        <v>6129</v>
      </c>
      <c r="H2246" s="9" t="s">
        <v>6130</v>
      </c>
      <c r="I2246" s="10">
        <v>45564</v>
      </c>
    </row>
    <row r="2247" spans="1:9" x14ac:dyDescent="0.15">
      <c r="A2247" s="9">
        <v>2246</v>
      </c>
      <c r="B2247" s="9" t="s">
        <v>9</v>
      </c>
      <c r="C2247" s="9">
        <v>1915</v>
      </c>
      <c r="D2247" s="10">
        <v>45639</v>
      </c>
      <c r="E2247" s="13" t="str">
        <f>+HYPERLINK("http://trademark.i-assist.jp/data/china/image_1915th/81185087.pdf","81185087")</f>
        <v>81185087</v>
      </c>
      <c r="F2247" s="9" t="s">
        <v>6131</v>
      </c>
      <c r="G2247" s="9" t="s">
        <v>6132</v>
      </c>
      <c r="H2247" s="9" t="s">
        <v>6133</v>
      </c>
      <c r="I2247" s="10">
        <v>45564</v>
      </c>
    </row>
    <row r="2248" spans="1:9" x14ac:dyDescent="0.15">
      <c r="A2248" s="9">
        <v>2247</v>
      </c>
      <c r="B2248" s="9" t="s">
        <v>9</v>
      </c>
      <c r="C2248" s="9">
        <v>1915</v>
      </c>
      <c r="D2248" s="10">
        <v>45639</v>
      </c>
      <c r="E2248" s="13" t="str">
        <f>+HYPERLINK("http://trademark.i-assist.jp/data/china/image_1915th/81185361.pdf","81185361")</f>
        <v>81185361</v>
      </c>
      <c r="F2248" s="9" t="s">
        <v>6134</v>
      </c>
      <c r="G2248" s="12" t="s">
        <v>6135</v>
      </c>
      <c r="H2248" s="9" t="s">
        <v>6136</v>
      </c>
      <c r="I2248" s="10">
        <v>45564</v>
      </c>
    </row>
    <row r="2249" spans="1:9" x14ac:dyDescent="0.15">
      <c r="A2249" s="9">
        <v>2248</v>
      </c>
      <c r="B2249" s="9" t="s">
        <v>9</v>
      </c>
      <c r="C2249" s="9">
        <v>1915</v>
      </c>
      <c r="D2249" s="10">
        <v>45639</v>
      </c>
      <c r="E2249" s="13" t="str">
        <f>+HYPERLINK("http://trademark.i-assist.jp/data/china/image_1915th/81185474.pdf","81185474")</f>
        <v>81185474</v>
      </c>
      <c r="F2249" s="9" t="s">
        <v>6137</v>
      </c>
      <c r="G2249" s="9" t="s">
        <v>6138</v>
      </c>
      <c r="H2249" s="9" t="s">
        <v>6139</v>
      </c>
      <c r="I2249" s="10">
        <v>45564</v>
      </c>
    </row>
    <row r="2250" spans="1:9" x14ac:dyDescent="0.15">
      <c r="A2250" s="9">
        <v>2249</v>
      </c>
      <c r="B2250" s="9" t="s">
        <v>9</v>
      </c>
      <c r="C2250" s="9">
        <v>1915</v>
      </c>
      <c r="D2250" s="10">
        <v>45639</v>
      </c>
      <c r="E2250" s="13" t="str">
        <f>+HYPERLINK("http://trademark.i-assist.jp/data/china/image_1915th/81186083.pdf","81186083")</f>
        <v>81186083</v>
      </c>
      <c r="F2250" s="9" t="s">
        <v>6140</v>
      </c>
      <c r="G2250" s="9" t="s">
        <v>6141</v>
      </c>
      <c r="H2250" s="9" t="s">
        <v>6142</v>
      </c>
      <c r="I2250" s="10">
        <v>45564</v>
      </c>
    </row>
    <row r="2251" spans="1:9" x14ac:dyDescent="0.15">
      <c r="A2251" s="9">
        <v>2250</v>
      </c>
      <c r="B2251" s="9" t="s">
        <v>9</v>
      </c>
      <c r="C2251" s="9">
        <v>1915</v>
      </c>
      <c r="D2251" s="10">
        <v>45639</v>
      </c>
      <c r="E2251" s="13" t="str">
        <f>+HYPERLINK("http://trademark.i-assist.jp/data/china/image_1915th/81186422.pdf","81186422")</f>
        <v>81186422</v>
      </c>
      <c r="F2251" s="9" t="s">
        <v>6143</v>
      </c>
      <c r="G2251" s="9" t="s">
        <v>6144</v>
      </c>
      <c r="H2251" s="9" t="s">
        <v>6145</v>
      </c>
      <c r="I2251" s="10">
        <v>45564</v>
      </c>
    </row>
    <row r="2252" spans="1:9" x14ac:dyDescent="0.15">
      <c r="A2252" s="9">
        <v>2251</v>
      </c>
      <c r="B2252" s="9" t="s">
        <v>9</v>
      </c>
      <c r="C2252" s="9">
        <v>1915</v>
      </c>
      <c r="D2252" s="10">
        <v>45639</v>
      </c>
      <c r="E2252" s="13" t="str">
        <f>+HYPERLINK("http://trademark.i-assist.jp/data/china/image_1915th/81186771.pdf","81186771")</f>
        <v>81186771</v>
      </c>
      <c r="F2252" s="12" t="s">
        <v>6146</v>
      </c>
      <c r="G2252" s="9" t="s">
        <v>6147</v>
      </c>
      <c r="H2252" s="9" t="s">
        <v>6148</v>
      </c>
      <c r="I2252" s="10">
        <v>45564</v>
      </c>
    </row>
    <row r="2253" spans="1:9" x14ac:dyDescent="0.15">
      <c r="A2253" s="9">
        <v>2252</v>
      </c>
      <c r="B2253" s="9" t="s">
        <v>9</v>
      </c>
      <c r="C2253" s="9">
        <v>1915</v>
      </c>
      <c r="D2253" s="10">
        <v>45639</v>
      </c>
      <c r="E2253" s="13" t="str">
        <f>+HYPERLINK("http://trademark.i-assist.jp/data/china/image_1915th/81187107.pdf","81187107")</f>
        <v>81187107</v>
      </c>
      <c r="F2253" s="12" t="s">
        <v>6149</v>
      </c>
      <c r="G2253" s="9" t="s">
        <v>6150</v>
      </c>
      <c r="H2253" s="9" t="s">
        <v>6151</v>
      </c>
      <c r="I2253" s="10">
        <v>45564</v>
      </c>
    </row>
    <row r="2254" spans="1:9" x14ac:dyDescent="0.15">
      <c r="A2254" s="9">
        <v>2253</v>
      </c>
      <c r="B2254" s="9" t="s">
        <v>9</v>
      </c>
      <c r="C2254" s="9">
        <v>1915</v>
      </c>
      <c r="D2254" s="10">
        <v>45639</v>
      </c>
      <c r="E2254" s="13" t="str">
        <f>+HYPERLINK("http://trademark.i-assist.jp/data/china/image_1915th/81187589.pdf","81187589")</f>
        <v>81187589</v>
      </c>
      <c r="F2254" s="12" t="s">
        <v>6152</v>
      </c>
      <c r="G2254" s="9" t="s">
        <v>6153</v>
      </c>
      <c r="H2254" s="9" t="s">
        <v>6154</v>
      </c>
      <c r="I2254" s="10">
        <v>45564</v>
      </c>
    </row>
    <row r="2255" spans="1:9" x14ac:dyDescent="0.15">
      <c r="A2255" s="9">
        <v>2254</v>
      </c>
      <c r="B2255" s="9" t="s">
        <v>9</v>
      </c>
      <c r="C2255" s="9">
        <v>1915</v>
      </c>
      <c r="D2255" s="10">
        <v>45639</v>
      </c>
      <c r="E2255" s="13" t="str">
        <f>+HYPERLINK("http://trademark.i-assist.jp/data/china/image_1915th/81187639.pdf","81187639")</f>
        <v>81187639</v>
      </c>
      <c r="F2255" s="9" t="s">
        <v>6155</v>
      </c>
      <c r="G2255" s="9" t="s">
        <v>6046</v>
      </c>
      <c r="H2255" s="9" t="s">
        <v>6156</v>
      </c>
      <c r="I2255" s="10">
        <v>45564</v>
      </c>
    </row>
    <row r="2256" spans="1:9" x14ac:dyDescent="0.15">
      <c r="A2256" s="9">
        <v>2255</v>
      </c>
      <c r="B2256" s="9" t="s">
        <v>9</v>
      </c>
      <c r="C2256" s="9">
        <v>1915</v>
      </c>
      <c r="D2256" s="10">
        <v>45639</v>
      </c>
      <c r="E2256" s="13" t="str">
        <f>+HYPERLINK("http://trademark.i-assist.jp/data/china/image_1915th/81189078.pdf","81189078")</f>
        <v>81189078</v>
      </c>
      <c r="F2256" s="12" t="s">
        <v>6157</v>
      </c>
      <c r="G2256" s="9" t="s">
        <v>6080</v>
      </c>
      <c r="H2256" s="9" t="s">
        <v>6158</v>
      </c>
      <c r="I2256" s="10">
        <v>45564</v>
      </c>
    </row>
    <row r="2257" spans="1:9" x14ac:dyDescent="0.15">
      <c r="A2257" s="9">
        <v>2256</v>
      </c>
      <c r="B2257" s="9" t="s">
        <v>9</v>
      </c>
      <c r="C2257" s="9">
        <v>1915</v>
      </c>
      <c r="D2257" s="10">
        <v>45639</v>
      </c>
      <c r="E2257" s="13" t="str">
        <f>+HYPERLINK("http://trademark.i-assist.jp/data/china/image_1915th/81189193.pdf","81189193")</f>
        <v>81189193</v>
      </c>
      <c r="F2257" s="11" t="s">
        <v>6159</v>
      </c>
      <c r="G2257" s="9" t="s">
        <v>6160</v>
      </c>
      <c r="H2257" s="9" t="s">
        <v>6161</v>
      </c>
      <c r="I2257" s="10">
        <v>45564</v>
      </c>
    </row>
    <row r="2258" spans="1:9" x14ac:dyDescent="0.15">
      <c r="A2258" s="9">
        <v>2257</v>
      </c>
      <c r="B2258" s="9" t="s">
        <v>9</v>
      </c>
      <c r="C2258" s="9">
        <v>1915</v>
      </c>
      <c r="D2258" s="10">
        <v>45639</v>
      </c>
      <c r="E2258" s="13" t="str">
        <f>+HYPERLINK("http://trademark.i-assist.jp/data/china/image_1915th/81189905.pdf","81189905")</f>
        <v>81189905</v>
      </c>
      <c r="F2258" s="9" t="s">
        <v>6162</v>
      </c>
      <c r="G2258" s="9" t="s">
        <v>6163</v>
      </c>
      <c r="H2258" s="9" t="s">
        <v>6164</v>
      </c>
      <c r="I2258" s="10">
        <v>45564</v>
      </c>
    </row>
    <row r="2259" spans="1:9" x14ac:dyDescent="0.15">
      <c r="A2259" s="9">
        <v>2258</v>
      </c>
      <c r="B2259" s="9" t="s">
        <v>9</v>
      </c>
      <c r="C2259" s="9">
        <v>1915</v>
      </c>
      <c r="D2259" s="10">
        <v>45639</v>
      </c>
      <c r="E2259" s="13" t="str">
        <f>+HYPERLINK("http://trademark.i-assist.jp/data/china/image_1915th/81190544.pdf","81190544")</f>
        <v>81190544</v>
      </c>
      <c r="F2259" s="12" t="s">
        <v>6165</v>
      </c>
      <c r="G2259" s="12" t="s">
        <v>6166</v>
      </c>
      <c r="H2259" s="9" t="s">
        <v>6167</v>
      </c>
      <c r="I2259" s="10">
        <v>45564</v>
      </c>
    </row>
    <row r="2260" spans="1:9" x14ac:dyDescent="0.15">
      <c r="A2260" s="9">
        <v>2259</v>
      </c>
      <c r="B2260" s="9" t="s">
        <v>9</v>
      </c>
      <c r="C2260" s="9">
        <v>1915</v>
      </c>
      <c r="D2260" s="10">
        <v>45639</v>
      </c>
      <c r="E2260" s="13" t="str">
        <f>+HYPERLINK("http://trademark.i-assist.jp/data/china/image_1915th/81190675.pdf","81190675")</f>
        <v>81190675</v>
      </c>
      <c r="F2260" s="9" t="s">
        <v>6168</v>
      </c>
      <c r="G2260" s="9" t="s">
        <v>6169</v>
      </c>
      <c r="H2260" s="9" t="s">
        <v>6170</v>
      </c>
      <c r="I2260" s="10">
        <v>45564</v>
      </c>
    </row>
    <row r="2261" spans="1:9" x14ac:dyDescent="0.15">
      <c r="A2261" s="9">
        <v>2260</v>
      </c>
      <c r="B2261" s="9" t="s">
        <v>9</v>
      </c>
      <c r="C2261" s="9">
        <v>1915</v>
      </c>
      <c r="D2261" s="10">
        <v>45639</v>
      </c>
      <c r="E2261" s="13" t="str">
        <f>+HYPERLINK("http://trademark.i-assist.jp/data/china/image_1915th/81191036.pdf","81191036")</f>
        <v>81191036</v>
      </c>
      <c r="F2261" s="9" t="s">
        <v>6171</v>
      </c>
      <c r="G2261" s="9" t="s">
        <v>6120</v>
      </c>
      <c r="H2261" s="9" t="s">
        <v>6172</v>
      </c>
      <c r="I2261" s="10">
        <v>45564</v>
      </c>
    </row>
    <row r="2262" spans="1:9" x14ac:dyDescent="0.15">
      <c r="A2262" s="9">
        <v>2261</v>
      </c>
      <c r="B2262" s="9" t="s">
        <v>9</v>
      </c>
      <c r="C2262" s="9">
        <v>1915</v>
      </c>
      <c r="D2262" s="10">
        <v>45639</v>
      </c>
      <c r="E2262" s="13" t="str">
        <f>+HYPERLINK("http://trademark.i-assist.jp/data/china/image_1915th/81191097.pdf","81191097")</f>
        <v>81191097</v>
      </c>
      <c r="F2262" s="9" t="s">
        <v>6173</v>
      </c>
      <c r="G2262" s="9" t="s">
        <v>6174</v>
      </c>
      <c r="H2262" s="9" t="s">
        <v>6175</v>
      </c>
      <c r="I2262" s="10">
        <v>45564</v>
      </c>
    </row>
    <row r="2263" spans="1:9" x14ac:dyDescent="0.15">
      <c r="A2263" s="9">
        <v>2262</v>
      </c>
      <c r="B2263" s="9" t="s">
        <v>9</v>
      </c>
      <c r="C2263" s="9">
        <v>1915</v>
      </c>
      <c r="D2263" s="10">
        <v>45639</v>
      </c>
      <c r="E2263" s="13" t="str">
        <f>+HYPERLINK("http://trademark.i-assist.jp/data/china/image_1915th/81191669.pdf","81191669")</f>
        <v>81191669</v>
      </c>
      <c r="F2263" s="12" t="s">
        <v>6176</v>
      </c>
      <c r="G2263" s="9" t="s">
        <v>6177</v>
      </c>
      <c r="H2263" s="9" t="s">
        <v>6178</v>
      </c>
      <c r="I2263" s="10">
        <v>45564</v>
      </c>
    </row>
    <row r="2264" spans="1:9" x14ac:dyDescent="0.15">
      <c r="A2264" s="9">
        <v>2263</v>
      </c>
      <c r="B2264" s="9" t="s">
        <v>9</v>
      </c>
      <c r="C2264" s="9">
        <v>1915</v>
      </c>
      <c r="D2264" s="10">
        <v>45639</v>
      </c>
      <c r="E2264" s="13" t="str">
        <f>+HYPERLINK("http://trademark.i-assist.jp/data/china/image_1915th/81192188.pdf","81192188")</f>
        <v>81192188</v>
      </c>
      <c r="F2264" s="9" t="s">
        <v>6179</v>
      </c>
      <c r="G2264" s="9" t="s">
        <v>6180</v>
      </c>
      <c r="H2264" s="9" t="s">
        <v>6181</v>
      </c>
      <c r="I2264" s="10">
        <v>45564</v>
      </c>
    </row>
    <row r="2265" spans="1:9" x14ac:dyDescent="0.15">
      <c r="A2265" s="9">
        <v>2264</v>
      </c>
      <c r="B2265" s="9" t="s">
        <v>9</v>
      </c>
      <c r="C2265" s="9">
        <v>1915</v>
      </c>
      <c r="D2265" s="10">
        <v>45639</v>
      </c>
      <c r="E2265" s="13" t="str">
        <f>+HYPERLINK("http://trademark.i-assist.jp/data/china/image_1915th/81192516.pdf","81192516")</f>
        <v>81192516</v>
      </c>
      <c r="F2265" s="9" t="s">
        <v>6182</v>
      </c>
      <c r="G2265" s="9" t="s">
        <v>6183</v>
      </c>
      <c r="H2265" s="9" t="s">
        <v>6184</v>
      </c>
      <c r="I2265" s="10">
        <v>45564</v>
      </c>
    </row>
    <row r="2266" spans="1:9" x14ac:dyDescent="0.15">
      <c r="A2266" s="9">
        <v>2265</v>
      </c>
      <c r="B2266" s="9" t="s">
        <v>9</v>
      </c>
      <c r="C2266" s="9">
        <v>1915</v>
      </c>
      <c r="D2266" s="10">
        <v>45639</v>
      </c>
      <c r="E2266" s="13" t="str">
        <f>+HYPERLINK("http://trademark.i-assist.jp/data/china/image_1915th/81192661.pdf","81192661")</f>
        <v>81192661</v>
      </c>
      <c r="F2266" s="9" t="s">
        <v>6185</v>
      </c>
      <c r="G2266" s="12" t="s">
        <v>6186</v>
      </c>
      <c r="H2266" s="9" t="s">
        <v>6187</v>
      </c>
      <c r="I2266" s="10">
        <v>45564</v>
      </c>
    </row>
    <row r="2267" spans="1:9" x14ac:dyDescent="0.15">
      <c r="A2267" s="9">
        <v>2266</v>
      </c>
      <c r="B2267" s="9" t="s">
        <v>9</v>
      </c>
      <c r="C2267" s="9">
        <v>1915</v>
      </c>
      <c r="D2267" s="10">
        <v>45639</v>
      </c>
      <c r="E2267" s="13" t="str">
        <f>+HYPERLINK("http://trademark.i-assist.jp/data/china/image_1915th/81193048.pdf","81193048")</f>
        <v>81193048</v>
      </c>
      <c r="F2267" s="9" t="s">
        <v>6188</v>
      </c>
      <c r="G2267" s="9" t="s">
        <v>6189</v>
      </c>
      <c r="H2267" s="9" t="s">
        <v>13</v>
      </c>
      <c r="I2267" s="10">
        <v>45564</v>
      </c>
    </row>
    <row r="2268" spans="1:9" x14ac:dyDescent="0.15">
      <c r="A2268" s="9">
        <v>2267</v>
      </c>
      <c r="B2268" s="9" t="s">
        <v>9</v>
      </c>
      <c r="C2268" s="9">
        <v>1915</v>
      </c>
      <c r="D2268" s="10">
        <v>45639</v>
      </c>
      <c r="E2268" s="13" t="str">
        <f>+HYPERLINK("http://trademark.i-assist.jp/data/china/image_1915th/81193102.pdf","81193102")</f>
        <v>81193102</v>
      </c>
      <c r="F2268" s="9" t="s">
        <v>6190</v>
      </c>
      <c r="G2268" s="9" t="s">
        <v>6191</v>
      </c>
      <c r="H2268" s="9" t="s">
        <v>6192</v>
      </c>
      <c r="I2268" s="10">
        <v>45564</v>
      </c>
    </row>
    <row r="2269" spans="1:9" x14ac:dyDescent="0.15">
      <c r="A2269" s="9">
        <v>2268</v>
      </c>
      <c r="B2269" s="9" t="s">
        <v>9</v>
      </c>
      <c r="C2269" s="9">
        <v>1915</v>
      </c>
      <c r="D2269" s="10">
        <v>45639</v>
      </c>
      <c r="E2269" s="13" t="str">
        <f>+HYPERLINK("http://trademark.i-assist.jp/data/china/image_1915th/81193376.pdf","81193376")</f>
        <v>81193376</v>
      </c>
      <c r="F2269" s="9" t="s">
        <v>6193</v>
      </c>
      <c r="G2269" s="12" t="s">
        <v>6194</v>
      </c>
      <c r="H2269" s="9" t="s">
        <v>6195</v>
      </c>
      <c r="I2269" s="10">
        <v>45564</v>
      </c>
    </row>
    <row r="2270" spans="1:9" x14ac:dyDescent="0.15">
      <c r="A2270" s="9">
        <v>2269</v>
      </c>
      <c r="B2270" s="9" t="s">
        <v>9</v>
      </c>
      <c r="C2270" s="9">
        <v>1915</v>
      </c>
      <c r="D2270" s="10">
        <v>45639</v>
      </c>
      <c r="E2270" s="13" t="str">
        <f>+HYPERLINK("http://trademark.i-assist.jp/data/china/image_1915th/81194408.pdf","81194408")</f>
        <v>81194408</v>
      </c>
      <c r="F2270" s="9" t="s">
        <v>6196</v>
      </c>
      <c r="G2270" s="12" t="s">
        <v>6197</v>
      </c>
      <c r="H2270" s="9" t="s">
        <v>6198</v>
      </c>
      <c r="I2270" s="10">
        <v>45564</v>
      </c>
    </row>
    <row r="2271" spans="1:9" x14ac:dyDescent="0.15">
      <c r="A2271" s="9">
        <v>2270</v>
      </c>
      <c r="B2271" s="9" t="s">
        <v>9</v>
      </c>
      <c r="C2271" s="9">
        <v>1915</v>
      </c>
      <c r="D2271" s="10">
        <v>45639</v>
      </c>
      <c r="E2271" s="13" t="str">
        <f>+HYPERLINK("http://trademark.i-assist.jp/data/china/image_1915th/81195193.pdf","81195193")</f>
        <v>81195193</v>
      </c>
      <c r="F2271" s="9" t="s">
        <v>6199</v>
      </c>
      <c r="G2271" s="9" t="s">
        <v>6200</v>
      </c>
      <c r="H2271" s="9" t="s">
        <v>6201</v>
      </c>
      <c r="I2271" s="10">
        <v>45564</v>
      </c>
    </row>
    <row r="2272" spans="1:9" x14ac:dyDescent="0.15">
      <c r="A2272" s="9">
        <v>2271</v>
      </c>
      <c r="B2272" s="9" t="s">
        <v>9</v>
      </c>
      <c r="C2272" s="9">
        <v>1915</v>
      </c>
      <c r="D2272" s="10">
        <v>45639</v>
      </c>
      <c r="E2272" s="13" t="str">
        <f>+HYPERLINK("http://trademark.i-assist.jp/data/china/image_1915th/81195203.pdf","81195203")</f>
        <v>81195203</v>
      </c>
      <c r="F2272" s="9" t="s">
        <v>6202</v>
      </c>
      <c r="G2272" s="12" t="s">
        <v>6203</v>
      </c>
      <c r="H2272" s="9" t="s">
        <v>6204</v>
      </c>
      <c r="I2272" s="10">
        <v>45564</v>
      </c>
    </row>
    <row r="2273" spans="1:9" x14ac:dyDescent="0.15">
      <c r="A2273" s="9">
        <v>2272</v>
      </c>
      <c r="B2273" s="9" t="s">
        <v>9</v>
      </c>
      <c r="C2273" s="9">
        <v>1915</v>
      </c>
      <c r="D2273" s="10">
        <v>45639</v>
      </c>
      <c r="E2273" s="13" t="str">
        <f>+HYPERLINK("http://trademark.i-assist.jp/data/china/image_1915th/81195408.pdf","81195408")</f>
        <v>81195408</v>
      </c>
      <c r="F2273" s="9" t="s">
        <v>6205</v>
      </c>
      <c r="G2273" s="9" t="s">
        <v>6206</v>
      </c>
      <c r="H2273" s="9" t="s">
        <v>6207</v>
      </c>
      <c r="I2273" s="10">
        <v>45564</v>
      </c>
    </row>
    <row r="2274" spans="1:9" x14ac:dyDescent="0.15">
      <c r="A2274" s="9">
        <v>2273</v>
      </c>
      <c r="B2274" s="9" t="s">
        <v>9</v>
      </c>
      <c r="C2274" s="9">
        <v>1915</v>
      </c>
      <c r="D2274" s="10">
        <v>45639</v>
      </c>
      <c r="E2274" s="13" t="str">
        <f>+HYPERLINK("http://trademark.i-assist.jp/data/china/image_1915th/81195603.pdf","81195603")</f>
        <v>81195603</v>
      </c>
      <c r="F2274" s="12" t="s">
        <v>6208</v>
      </c>
      <c r="G2274" s="9" t="s">
        <v>6120</v>
      </c>
      <c r="H2274" s="9" t="s">
        <v>6209</v>
      </c>
      <c r="I2274" s="10">
        <v>45564</v>
      </c>
    </row>
    <row r="2275" spans="1:9" x14ac:dyDescent="0.15">
      <c r="A2275" s="9">
        <v>2274</v>
      </c>
      <c r="B2275" s="9" t="s">
        <v>9</v>
      </c>
      <c r="C2275" s="9">
        <v>1915</v>
      </c>
      <c r="D2275" s="10">
        <v>45639</v>
      </c>
      <c r="E2275" s="13" t="str">
        <f>+HYPERLINK("http://trademark.i-assist.jp/data/china/image_1915th/81195710.pdf","81195710")</f>
        <v>81195710</v>
      </c>
      <c r="F2275" s="9" t="s">
        <v>6210</v>
      </c>
      <c r="G2275" s="9" t="s">
        <v>6211</v>
      </c>
      <c r="H2275" s="9" t="s">
        <v>6212</v>
      </c>
      <c r="I2275" s="10">
        <v>45564</v>
      </c>
    </row>
    <row r="2276" spans="1:9" x14ac:dyDescent="0.15">
      <c r="A2276" s="9">
        <v>2275</v>
      </c>
      <c r="B2276" s="9" t="s">
        <v>9</v>
      </c>
      <c r="C2276" s="9">
        <v>1915</v>
      </c>
      <c r="D2276" s="10">
        <v>45639</v>
      </c>
      <c r="E2276" s="13" t="str">
        <f>+HYPERLINK("http://trademark.i-assist.jp/data/china/image_1915th/81196168.pdf","81196168")</f>
        <v>81196168</v>
      </c>
      <c r="F2276" s="12" t="s">
        <v>6213</v>
      </c>
      <c r="G2276" s="9" t="s">
        <v>6214</v>
      </c>
      <c r="H2276" s="9" t="s">
        <v>6215</v>
      </c>
      <c r="I2276" s="10">
        <v>45564</v>
      </c>
    </row>
    <row r="2277" spans="1:9" x14ac:dyDescent="0.15">
      <c r="A2277" s="9">
        <v>2276</v>
      </c>
      <c r="B2277" s="9" t="s">
        <v>9</v>
      </c>
      <c r="C2277" s="9">
        <v>1915</v>
      </c>
      <c r="D2277" s="10">
        <v>45639</v>
      </c>
      <c r="E2277" s="13" t="str">
        <f>+HYPERLINK("http://trademark.i-assist.jp/data/china/image_1915th/81196259.pdf","81196259")</f>
        <v>81196259</v>
      </c>
      <c r="F2277" s="9" t="s">
        <v>6216</v>
      </c>
      <c r="G2277" s="9" t="s">
        <v>6217</v>
      </c>
      <c r="H2277" s="9" t="s">
        <v>6218</v>
      </c>
      <c r="I2277" s="10">
        <v>45564</v>
      </c>
    </row>
    <row r="2278" spans="1:9" x14ac:dyDescent="0.15">
      <c r="A2278" s="9">
        <v>2277</v>
      </c>
      <c r="B2278" s="9" t="s">
        <v>9</v>
      </c>
      <c r="C2278" s="9">
        <v>1915</v>
      </c>
      <c r="D2278" s="10">
        <v>45639</v>
      </c>
      <c r="E2278" s="13" t="str">
        <f>+HYPERLINK("http://trademark.i-assist.jp/data/china/image_1915th/81196310.pdf","81196310")</f>
        <v>81196310</v>
      </c>
      <c r="F2278" s="9" t="s">
        <v>6219</v>
      </c>
      <c r="G2278" s="9" t="s">
        <v>6220</v>
      </c>
      <c r="H2278" s="9" t="s">
        <v>6221</v>
      </c>
      <c r="I2278" s="10">
        <v>45564</v>
      </c>
    </row>
    <row r="2279" spans="1:9" x14ac:dyDescent="0.15">
      <c r="A2279" s="9">
        <v>2278</v>
      </c>
      <c r="B2279" s="9" t="s">
        <v>9</v>
      </c>
      <c r="C2279" s="9">
        <v>1915</v>
      </c>
      <c r="D2279" s="10">
        <v>45639</v>
      </c>
      <c r="E2279" s="13" t="str">
        <f>+HYPERLINK("http://trademark.i-assist.jp/data/china/image_1915th/81196380.pdf","81196380")</f>
        <v>81196380</v>
      </c>
      <c r="F2279" s="12" t="s">
        <v>6222</v>
      </c>
      <c r="G2279" s="12" t="s">
        <v>6223</v>
      </c>
      <c r="H2279" s="9" t="s">
        <v>6224</v>
      </c>
      <c r="I2279" s="10">
        <v>45564</v>
      </c>
    </row>
    <row r="2280" spans="1:9" x14ac:dyDescent="0.15">
      <c r="A2280" s="9">
        <v>2279</v>
      </c>
      <c r="B2280" s="9" t="s">
        <v>9</v>
      </c>
      <c r="C2280" s="9">
        <v>1915</v>
      </c>
      <c r="D2280" s="10">
        <v>45639</v>
      </c>
      <c r="E2280" s="13" t="str">
        <f>+HYPERLINK("http://trademark.i-assist.jp/data/china/image_1915th/81196417.pdf","81196417")</f>
        <v>81196417</v>
      </c>
      <c r="F2280" s="9" t="s">
        <v>6225</v>
      </c>
      <c r="G2280" s="9" t="s">
        <v>6226</v>
      </c>
      <c r="H2280" s="9" t="s">
        <v>6227</v>
      </c>
      <c r="I2280" s="10">
        <v>45564</v>
      </c>
    </row>
    <row r="2281" spans="1:9" x14ac:dyDescent="0.15">
      <c r="A2281" s="9">
        <v>2280</v>
      </c>
      <c r="B2281" s="9" t="s">
        <v>9</v>
      </c>
      <c r="C2281" s="9">
        <v>1915</v>
      </c>
      <c r="D2281" s="10">
        <v>45639</v>
      </c>
      <c r="E2281" s="13" t="str">
        <f>+HYPERLINK("http://trademark.i-assist.jp/data/china/image_1915th/81196486.pdf","81196486")</f>
        <v>81196486</v>
      </c>
      <c r="F2281" s="12" t="s">
        <v>6228</v>
      </c>
      <c r="G2281" s="12" t="s">
        <v>6229</v>
      </c>
      <c r="H2281" s="9" t="s">
        <v>6230</v>
      </c>
      <c r="I2281" s="10">
        <v>45564</v>
      </c>
    </row>
    <row r="2282" spans="1:9" x14ac:dyDescent="0.15">
      <c r="A2282" s="9">
        <v>2281</v>
      </c>
      <c r="B2282" s="9" t="s">
        <v>9</v>
      </c>
      <c r="C2282" s="9">
        <v>1915</v>
      </c>
      <c r="D2282" s="10">
        <v>45639</v>
      </c>
      <c r="E2282" s="13" t="str">
        <f>+HYPERLINK("http://trademark.i-assist.jp/data/china/image_1915th/81196640.pdf","81196640")</f>
        <v>81196640</v>
      </c>
      <c r="F2282" s="9" t="s">
        <v>6231</v>
      </c>
      <c r="G2282" s="9" t="s">
        <v>6232</v>
      </c>
      <c r="H2282" s="9" t="s">
        <v>6233</v>
      </c>
      <c r="I2282" s="10">
        <v>45564</v>
      </c>
    </row>
    <row r="2283" spans="1:9" x14ac:dyDescent="0.15">
      <c r="A2283" s="9">
        <v>2282</v>
      </c>
      <c r="B2283" s="9" t="s">
        <v>9</v>
      </c>
      <c r="C2283" s="9">
        <v>1915</v>
      </c>
      <c r="D2283" s="10">
        <v>45639</v>
      </c>
      <c r="E2283" s="13" t="str">
        <f>+HYPERLINK("http://trademark.i-assist.jp/data/china/image_1915th/81197421.pdf","81197421")</f>
        <v>81197421</v>
      </c>
      <c r="F2283" s="12" t="s">
        <v>6234</v>
      </c>
      <c r="G2283" s="9" t="s">
        <v>4728</v>
      </c>
      <c r="H2283" s="9" t="s">
        <v>6235</v>
      </c>
      <c r="I2283" s="10">
        <v>45564</v>
      </c>
    </row>
    <row r="2284" spans="1:9" x14ac:dyDescent="0.15">
      <c r="A2284" s="9">
        <v>2283</v>
      </c>
      <c r="B2284" s="9" t="s">
        <v>9</v>
      </c>
      <c r="C2284" s="9">
        <v>1915</v>
      </c>
      <c r="D2284" s="10">
        <v>45639</v>
      </c>
      <c r="E2284" s="13" t="str">
        <f>+HYPERLINK("http://trademark.i-assist.jp/data/china/image_1915th/81197426.pdf","81197426")</f>
        <v>81197426</v>
      </c>
      <c r="F2284" s="9" t="s">
        <v>6236</v>
      </c>
      <c r="G2284" s="9" t="s">
        <v>4728</v>
      </c>
      <c r="H2284" s="9" t="s">
        <v>6237</v>
      </c>
      <c r="I2284" s="10">
        <v>45564</v>
      </c>
    </row>
    <row r="2285" spans="1:9" x14ac:dyDescent="0.15">
      <c r="A2285" s="9">
        <v>2284</v>
      </c>
      <c r="B2285" s="9" t="s">
        <v>9</v>
      </c>
      <c r="C2285" s="9">
        <v>1915</v>
      </c>
      <c r="D2285" s="10">
        <v>45639</v>
      </c>
      <c r="E2285" s="13" t="str">
        <f>+HYPERLINK("http://trademark.i-assist.jp/data/china/image_1915th/81197965.pdf","81197965")</f>
        <v>81197965</v>
      </c>
      <c r="F2285" s="9" t="s">
        <v>6238</v>
      </c>
      <c r="G2285" s="9" t="s">
        <v>6239</v>
      </c>
      <c r="H2285" s="9" t="s">
        <v>6240</v>
      </c>
      <c r="I2285" s="10">
        <v>45564</v>
      </c>
    </row>
    <row r="2286" spans="1:9" x14ac:dyDescent="0.15">
      <c r="A2286" s="9">
        <v>2285</v>
      </c>
      <c r="B2286" s="9" t="s">
        <v>9</v>
      </c>
      <c r="C2286" s="9">
        <v>1915</v>
      </c>
      <c r="D2286" s="10">
        <v>45639</v>
      </c>
      <c r="E2286" s="13" t="str">
        <f>+HYPERLINK("http://trademark.i-assist.jp/data/china/image_1915th/81198068.pdf","81198068")</f>
        <v>81198068</v>
      </c>
      <c r="F2286" s="9" t="s">
        <v>6241</v>
      </c>
      <c r="G2286" s="9" t="s">
        <v>4728</v>
      </c>
      <c r="H2286" s="9" t="s">
        <v>6242</v>
      </c>
      <c r="I2286" s="10">
        <v>45564</v>
      </c>
    </row>
    <row r="2287" spans="1:9" x14ac:dyDescent="0.15">
      <c r="A2287" s="9">
        <v>2286</v>
      </c>
      <c r="B2287" s="9" t="s">
        <v>9</v>
      </c>
      <c r="C2287" s="9">
        <v>1915</v>
      </c>
      <c r="D2287" s="10">
        <v>45639</v>
      </c>
      <c r="E2287" s="13" t="str">
        <f>+HYPERLINK("http://trademark.i-assist.jp/data/china/image_1915th/81198089.pdf","81198089")</f>
        <v>81198089</v>
      </c>
      <c r="F2287" s="9" t="s">
        <v>6243</v>
      </c>
      <c r="G2287" s="9" t="s">
        <v>6244</v>
      </c>
      <c r="H2287" s="9" t="s">
        <v>6245</v>
      </c>
      <c r="I2287" s="10">
        <v>45564</v>
      </c>
    </row>
    <row r="2288" spans="1:9" x14ac:dyDescent="0.15">
      <c r="A2288" s="9">
        <v>2287</v>
      </c>
      <c r="B2288" s="9" t="s">
        <v>9</v>
      </c>
      <c r="C2288" s="9">
        <v>1915</v>
      </c>
      <c r="D2288" s="10">
        <v>45639</v>
      </c>
      <c r="E2288" s="13" t="str">
        <f>+HYPERLINK("http://trademark.i-assist.jp/data/china/image_1915th/81198102.pdf","81198102")</f>
        <v>81198102</v>
      </c>
      <c r="F2288" s="9" t="s">
        <v>6246</v>
      </c>
      <c r="G2288" s="9" t="s">
        <v>6247</v>
      </c>
      <c r="H2288" s="9" t="s">
        <v>6248</v>
      </c>
      <c r="I2288" s="10">
        <v>45564</v>
      </c>
    </row>
    <row r="2289" spans="1:9" x14ac:dyDescent="0.15">
      <c r="A2289" s="9">
        <v>2288</v>
      </c>
      <c r="B2289" s="9" t="s">
        <v>9</v>
      </c>
      <c r="C2289" s="9">
        <v>1915</v>
      </c>
      <c r="D2289" s="10">
        <v>45639</v>
      </c>
      <c r="E2289" s="13" t="str">
        <f>+HYPERLINK("http://trademark.i-assist.jp/data/china/image_1915th/81198112.pdf","81198112")</f>
        <v>81198112</v>
      </c>
      <c r="F2289" s="11" t="s">
        <v>6249</v>
      </c>
      <c r="G2289" s="9" t="s">
        <v>6250</v>
      </c>
      <c r="H2289" s="9" t="s">
        <v>6251</v>
      </c>
      <c r="I2289" s="10">
        <v>45564</v>
      </c>
    </row>
    <row r="2290" spans="1:9" x14ac:dyDescent="0.15">
      <c r="A2290" s="9">
        <v>2289</v>
      </c>
      <c r="B2290" s="9" t="s">
        <v>9</v>
      </c>
      <c r="C2290" s="9">
        <v>1915</v>
      </c>
      <c r="D2290" s="10">
        <v>45639</v>
      </c>
      <c r="E2290" s="13" t="str">
        <f>+HYPERLINK("http://trademark.i-assist.jp/data/china/image_1915th/81198150.pdf","81198150")</f>
        <v>81198150</v>
      </c>
      <c r="F2290" s="9" t="s">
        <v>6252</v>
      </c>
      <c r="G2290" s="9" t="s">
        <v>6253</v>
      </c>
      <c r="H2290" s="9" t="s">
        <v>6254</v>
      </c>
      <c r="I2290" s="10">
        <v>45564</v>
      </c>
    </row>
    <row r="2291" spans="1:9" x14ac:dyDescent="0.15">
      <c r="A2291" s="9">
        <v>2290</v>
      </c>
      <c r="B2291" s="9" t="s">
        <v>9</v>
      </c>
      <c r="C2291" s="9">
        <v>1915</v>
      </c>
      <c r="D2291" s="10">
        <v>45639</v>
      </c>
      <c r="E2291" s="13" t="str">
        <f>+HYPERLINK("http://trademark.i-assist.jp/data/china/image_1915th/81199600.pdf","81199600")</f>
        <v>81199600</v>
      </c>
      <c r="F2291" s="9" t="s">
        <v>6255</v>
      </c>
      <c r="G2291" s="9" t="s">
        <v>6256</v>
      </c>
      <c r="H2291" s="9" t="s">
        <v>6257</v>
      </c>
      <c r="I2291" s="10">
        <v>45564</v>
      </c>
    </row>
    <row r="2292" spans="1:9" x14ac:dyDescent="0.15">
      <c r="A2292" s="9">
        <v>2291</v>
      </c>
      <c r="B2292" s="9" t="s">
        <v>9</v>
      </c>
      <c r="C2292" s="9">
        <v>1915</v>
      </c>
      <c r="D2292" s="10">
        <v>45639</v>
      </c>
      <c r="E2292" s="13" t="str">
        <f>+HYPERLINK("http://trademark.i-assist.jp/data/china/image_1915th/81199837.pdf","81199837")</f>
        <v>81199837</v>
      </c>
      <c r="F2292" s="12" t="s">
        <v>6258</v>
      </c>
      <c r="G2292" s="9" t="s">
        <v>6013</v>
      </c>
      <c r="H2292" s="9" t="s">
        <v>6259</v>
      </c>
      <c r="I2292" s="10">
        <v>45564</v>
      </c>
    </row>
    <row r="2293" spans="1:9" x14ac:dyDescent="0.15">
      <c r="A2293" s="9">
        <v>2292</v>
      </c>
      <c r="B2293" s="9" t="s">
        <v>9</v>
      </c>
      <c r="C2293" s="9">
        <v>1915</v>
      </c>
      <c r="D2293" s="10">
        <v>45639</v>
      </c>
      <c r="E2293" s="13" t="str">
        <f>+HYPERLINK("http://trademark.i-assist.jp/data/china/image_1915th/81200278.pdf","81200278")</f>
        <v>81200278</v>
      </c>
      <c r="F2293" s="12" t="s">
        <v>6260</v>
      </c>
      <c r="G2293" s="9" t="s">
        <v>6080</v>
      </c>
      <c r="H2293" s="9" t="s">
        <v>6261</v>
      </c>
      <c r="I2293" s="10">
        <v>45564</v>
      </c>
    </row>
    <row r="2294" spans="1:9" x14ac:dyDescent="0.15">
      <c r="A2294" s="9">
        <v>2293</v>
      </c>
      <c r="B2294" s="9" t="s">
        <v>9</v>
      </c>
      <c r="C2294" s="9">
        <v>1915</v>
      </c>
      <c r="D2294" s="10">
        <v>45639</v>
      </c>
      <c r="E2294" s="13" t="str">
        <f>+HYPERLINK("http://trademark.i-assist.jp/data/china/image_1915th/81200527.pdf","81200527")</f>
        <v>81200527</v>
      </c>
      <c r="F2294" s="9" t="s">
        <v>6262</v>
      </c>
      <c r="G2294" s="12" t="s">
        <v>6263</v>
      </c>
      <c r="H2294" s="9" t="s">
        <v>6264</v>
      </c>
      <c r="I2294" s="10">
        <v>45564</v>
      </c>
    </row>
    <row r="2295" spans="1:9" x14ac:dyDescent="0.15">
      <c r="A2295" s="9">
        <v>2294</v>
      </c>
      <c r="B2295" s="9" t="s">
        <v>9</v>
      </c>
      <c r="C2295" s="9">
        <v>1915</v>
      </c>
      <c r="D2295" s="10">
        <v>45639</v>
      </c>
      <c r="E2295" s="13" t="str">
        <f>+HYPERLINK("http://trademark.i-assist.jp/data/china/image_1915th/81200636.pdf","81200636")</f>
        <v>81200636</v>
      </c>
      <c r="F2295" s="9" t="s">
        <v>6265</v>
      </c>
      <c r="G2295" s="12" t="s">
        <v>6266</v>
      </c>
      <c r="H2295" s="9" t="s">
        <v>6267</v>
      </c>
      <c r="I2295" s="10">
        <v>45564</v>
      </c>
    </row>
    <row r="2296" spans="1:9" x14ac:dyDescent="0.15">
      <c r="A2296" s="9">
        <v>2295</v>
      </c>
      <c r="B2296" s="9" t="s">
        <v>9</v>
      </c>
      <c r="C2296" s="9">
        <v>1915</v>
      </c>
      <c r="D2296" s="10">
        <v>45639</v>
      </c>
      <c r="E2296" s="13" t="str">
        <f>+HYPERLINK("http://trademark.i-assist.jp/data/china/image_1915th/81200682.pdf","81200682")</f>
        <v>81200682</v>
      </c>
      <c r="F2296" s="9" t="s">
        <v>6268</v>
      </c>
      <c r="G2296" s="9" t="s">
        <v>3229</v>
      </c>
      <c r="H2296" s="9" t="s">
        <v>6269</v>
      </c>
      <c r="I2296" s="10">
        <v>45564</v>
      </c>
    </row>
    <row r="2297" spans="1:9" x14ac:dyDescent="0.15">
      <c r="A2297" s="9">
        <v>2296</v>
      </c>
      <c r="B2297" s="9" t="s">
        <v>9</v>
      </c>
      <c r="C2297" s="9">
        <v>1915</v>
      </c>
      <c r="D2297" s="10">
        <v>45639</v>
      </c>
      <c r="E2297" s="13" t="str">
        <f>+HYPERLINK("http://trademark.i-assist.jp/data/china/image_1915th/81201009.pdf","81201009")</f>
        <v>81201009</v>
      </c>
      <c r="F2297" s="12" t="s">
        <v>6270</v>
      </c>
      <c r="G2297" s="12" t="s">
        <v>6271</v>
      </c>
      <c r="H2297" s="9" t="s">
        <v>6272</v>
      </c>
      <c r="I2297" s="10">
        <v>45564</v>
      </c>
    </row>
    <row r="2298" spans="1:9" x14ac:dyDescent="0.15">
      <c r="A2298" s="9">
        <v>2297</v>
      </c>
      <c r="B2298" s="9" t="s">
        <v>9</v>
      </c>
      <c r="C2298" s="9">
        <v>1915</v>
      </c>
      <c r="D2298" s="10">
        <v>45639</v>
      </c>
      <c r="E2298" s="13" t="str">
        <f>+HYPERLINK("http://trademark.i-assist.jp/data/china/image_1915th/81201908.pdf","81201908")</f>
        <v>81201908</v>
      </c>
      <c r="F2298" s="12" t="s">
        <v>6273</v>
      </c>
      <c r="G2298" s="12" t="s">
        <v>6274</v>
      </c>
      <c r="H2298" s="9" t="s">
        <v>6275</v>
      </c>
      <c r="I2298" s="10">
        <v>45564</v>
      </c>
    </row>
    <row r="2299" spans="1:9" x14ac:dyDescent="0.15">
      <c r="A2299" s="9">
        <v>2298</v>
      </c>
      <c r="B2299" s="9" t="s">
        <v>9</v>
      </c>
      <c r="C2299" s="9">
        <v>1915</v>
      </c>
      <c r="D2299" s="10">
        <v>45639</v>
      </c>
      <c r="E2299" s="13" t="str">
        <f>+HYPERLINK("http://trademark.i-assist.jp/data/china/image_1915th/81201964.pdf","81201964")</f>
        <v>81201964</v>
      </c>
      <c r="F2299" s="9" t="s">
        <v>6276</v>
      </c>
      <c r="G2299" s="12" t="s">
        <v>6229</v>
      </c>
      <c r="H2299" s="9" t="s">
        <v>6277</v>
      </c>
      <c r="I2299" s="10">
        <v>45564</v>
      </c>
    </row>
    <row r="2300" spans="1:9" x14ac:dyDescent="0.15">
      <c r="A2300" s="9">
        <v>2299</v>
      </c>
      <c r="B2300" s="9" t="s">
        <v>9</v>
      </c>
      <c r="C2300" s="9">
        <v>1915</v>
      </c>
      <c r="D2300" s="10">
        <v>45639</v>
      </c>
      <c r="E2300" s="13" t="str">
        <f>+HYPERLINK("http://trademark.i-assist.jp/data/china/image_1915th/81203301.pdf","81203301")</f>
        <v>81203301</v>
      </c>
      <c r="F2300" s="9" t="s">
        <v>6278</v>
      </c>
      <c r="G2300" s="9" t="s">
        <v>6279</v>
      </c>
      <c r="H2300" s="9" t="s">
        <v>6280</v>
      </c>
      <c r="I2300" s="10">
        <v>45565</v>
      </c>
    </row>
    <row r="2301" spans="1:9" x14ac:dyDescent="0.15">
      <c r="A2301" s="9">
        <v>2300</v>
      </c>
      <c r="B2301" s="9" t="s">
        <v>9</v>
      </c>
      <c r="C2301" s="9">
        <v>1915</v>
      </c>
      <c r="D2301" s="10">
        <v>45639</v>
      </c>
      <c r="E2301" s="13" t="str">
        <f>+HYPERLINK("http://trademark.i-assist.jp/data/china/image_1915th/81203995.pdf","81203995")</f>
        <v>81203995</v>
      </c>
      <c r="F2301" s="9" t="s">
        <v>6281</v>
      </c>
      <c r="G2301" s="9" t="s">
        <v>6282</v>
      </c>
      <c r="H2301" s="9" t="s">
        <v>6283</v>
      </c>
      <c r="I2301" s="10">
        <v>45565</v>
      </c>
    </row>
    <row r="2302" spans="1:9" x14ac:dyDescent="0.15">
      <c r="A2302" s="9">
        <v>2301</v>
      </c>
      <c r="B2302" s="9" t="s">
        <v>9</v>
      </c>
      <c r="C2302" s="9">
        <v>1915</v>
      </c>
      <c r="D2302" s="10">
        <v>45639</v>
      </c>
      <c r="E2302" s="13" t="str">
        <f>+HYPERLINK("http://trademark.i-assist.jp/data/china/image_1915th/81204044.pdf","81204044")</f>
        <v>81204044</v>
      </c>
      <c r="F2302" s="9" t="s">
        <v>6284</v>
      </c>
      <c r="G2302" s="9" t="s">
        <v>6285</v>
      </c>
      <c r="H2302" s="9" t="s">
        <v>6286</v>
      </c>
      <c r="I2302" s="10">
        <v>45565</v>
      </c>
    </row>
    <row r="2303" spans="1:9" x14ac:dyDescent="0.15">
      <c r="A2303" s="9">
        <v>2302</v>
      </c>
      <c r="B2303" s="9" t="s">
        <v>9</v>
      </c>
      <c r="C2303" s="9">
        <v>1915</v>
      </c>
      <c r="D2303" s="10">
        <v>45639</v>
      </c>
      <c r="E2303" s="13" t="str">
        <f>+HYPERLINK("http://trademark.i-assist.jp/data/china/image_1915th/81204263.pdf","81204263")</f>
        <v>81204263</v>
      </c>
      <c r="F2303" s="9" t="s">
        <v>6287</v>
      </c>
      <c r="G2303" s="12" t="s">
        <v>6288</v>
      </c>
      <c r="H2303" s="9" t="s">
        <v>6289</v>
      </c>
      <c r="I2303" s="10">
        <v>45565</v>
      </c>
    </row>
    <row r="2304" spans="1:9" x14ac:dyDescent="0.15">
      <c r="A2304" s="9">
        <v>2303</v>
      </c>
      <c r="B2304" s="9" t="s">
        <v>9</v>
      </c>
      <c r="C2304" s="9">
        <v>1915</v>
      </c>
      <c r="D2304" s="10">
        <v>45639</v>
      </c>
      <c r="E2304" s="13" t="str">
        <f>+HYPERLINK("http://trademark.i-assist.jp/data/china/image_1915th/81204358.pdf","81204358")</f>
        <v>81204358</v>
      </c>
      <c r="F2304" s="9" t="s">
        <v>6290</v>
      </c>
      <c r="G2304" s="9" t="s">
        <v>6291</v>
      </c>
      <c r="H2304" s="9" t="s">
        <v>6292</v>
      </c>
      <c r="I2304" s="10">
        <v>45565</v>
      </c>
    </row>
    <row r="2305" spans="1:9" x14ac:dyDescent="0.15">
      <c r="A2305" s="9">
        <v>2304</v>
      </c>
      <c r="B2305" s="9" t="s">
        <v>9</v>
      </c>
      <c r="C2305" s="9">
        <v>1915</v>
      </c>
      <c r="D2305" s="10">
        <v>45639</v>
      </c>
      <c r="E2305" s="13" t="str">
        <f>+HYPERLINK("http://trademark.i-assist.jp/data/china/image_1915th/81204416.pdf","81204416")</f>
        <v>81204416</v>
      </c>
      <c r="F2305" s="9" t="s">
        <v>6293</v>
      </c>
      <c r="G2305" s="12" t="s">
        <v>6294</v>
      </c>
      <c r="H2305" s="9" t="s">
        <v>6295</v>
      </c>
      <c r="I2305" s="10">
        <v>45565</v>
      </c>
    </row>
    <row r="2306" spans="1:9" x14ac:dyDescent="0.15">
      <c r="A2306" s="9">
        <v>2305</v>
      </c>
      <c r="B2306" s="9" t="s">
        <v>9</v>
      </c>
      <c r="C2306" s="9">
        <v>1915</v>
      </c>
      <c r="D2306" s="10">
        <v>45639</v>
      </c>
      <c r="E2306" s="13" t="str">
        <f>+HYPERLINK("http://trademark.i-assist.jp/data/china/image_1915th/81204490.pdf","81204490")</f>
        <v>81204490</v>
      </c>
      <c r="F2306" s="9" t="s">
        <v>6296</v>
      </c>
      <c r="G2306" s="12" t="s">
        <v>6297</v>
      </c>
      <c r="H2306" s="9" t="s">
        <v>6298</v>
      </c>
      <c r="I2306" s="10">
        <v>45565</v>
      </c>
    </row>
    <row r="2307" spans="1:9" x14ac:dyDescent="0.15">
      <c r="A2307" s="9">
        <v>2306</v>
      </c>
      <c r="B2307" s="9" t="s">
        <v>9</v>
      </c>
      <c r="C2307" s="9">
        <v>1915</v>
      </c>
      <c r="D2307" s="10">
        <v>45639</v>
      </c>
      <c r="E2307" s="13" t="str">
        <f>+HYPERLINK("http://trademark.i-assist.jp/data/china/image_1915th/81204652.pdf","81204652")</f>
        <v>81204652</v>
      </c>
      <c r="F2307" s="9" t="s">
        <v>6299</v>
      </c>
      <c r="G2307" s="12" t="s">
        <v>1532</v>
      </c>
      <c r="H2307" s="9" t="s">
        <v>6300</v>
      </c>
      <c r="I2307" s="10">
        <v>45565</v>
      </c>
    </row>
    <row r="2308" spans="1:9" x14ac:dyDescent="0.15">
      <c r="A2308" s="9">
        <v>2307</v>
      </c>
      <c r="B2308" s="9" t="s">
        <v>9</v>
      </c>
      <c r="C2308" s="9">
        <v>1915</v>
      </c>
      <c r="D2308" s="10">
        <v>45639</v>
      </c>
      <c r="E2308" s="13" t="str">
        <f>+HYPERLINK("http://trademark.i-assist.jp/data/china/image_1915th/81205421.pdf","81205421")</f>
        <v>81205421</v>
      </c>
      <c r="F2308" s="12" t="s">
        <v>6301</v>
      </c>
      <c r="G2308" s="12" t="s">
        <v>6302</v>
      </c>
      <c r="H2308" s="9" t="s">
        <v>6303</v>
      </c>
      <c r="I2308" s="10">
        <v>45565</v>
      </c>
    </row>
    <row r="2309" spans="1:9" x14ac:dyDescent="0.15">
      <c r="A2309" s="9">
        <v>2308</v>
      </c>
      <c r="B2309" s="9" t="s">
        <v>9</v>
      </c>
      <c r="C2309" s="9">
        <v>1915</v>
      </c>
      <c r="D2309" s="10">
        <v>45639</v>
      </c>
      <c r="E2309" s="13" t="str">
        <f>+HYPERLINK("http://trademark.i-assist.jp/data/china/image_1915th/81205985.pdf","81205985")</f>
        <v>81205985</v>
      </c>
      <c r="F2309" s="9" t="s">
        <v>6304</v>
      </c>
      <c r="G2309" s="9" t="s">
        <v>6305</v>
      </c>
      <c r="H2309" s="9" t="s">
        <v>6306</v>
      </c>
      <c r="I2309" s="10">
        <v>45565</v>
      </c>
    </row>
    <row r="2310" spans="1:9" x14ac:dyDescent="0.15">
      <c r="A2310" s="9">
        <v>2309</v>
      </c>
      <c r="B2310" s="9" t="s">
        <v>9</v>
      </c>
      <c r="C2310" s="9">
        <v>1915</v>
      </c>
      <c r="D2310" s="10">
        <v>45639</v>
      </c>
      <c r="E2310" s="13" t="str">
        <f>+HYPERLINK("http://trademark.i-assist.jp/data/china/image_1915th/81206199.pdf","81206199")</f>
        <v>81206199</v>
      </c>
      <c r="F2310" s="9" t="s">
        <v>6307</v>
      </c>
      <c r="G2310" s="9" t="s">
        <v>6308</v>
      </c>
      <c r="H2310" s="9" t="s">
        <v>6309</v>
      </c>
      <c r="I2310" s="10">
        <v>45565</v>
      </c>
    </row>
    <row r="2311" spans="1:9" x14ac:dyDescent="0.15">
      <c r="A2311" s="9">
        <v>2310</v>
      </c>
      <c r="B2311" s="9" t="s">
        <v>9</v>
      </c>
      <c r="C2311" s="9">
        <v>1915</v>
      </c>
      <c r="D2311" s="10">
        <v>45639</v>
      </c>
      <c r="E2311" s="13" t="str">
        <f>+HYPERLINK("http://trademark.i-assist.jp/data/china/image_1915th/81206453.pdf","81206453")</f>
        <v>81206453</v>
      </c>
      <c r="F2311" s="12" t="s">
        <v>6310</v>
      </c>
      <c r="G2311" s="9" t="s">
        <v>6279</v>
      </c>
      <c r="H2311" s="12" t="s">
        <v>6311</v>
      </c>
      <c r="I2311" s="10">
        <v>45565</v>
      </c>
    </row>
    <row r="2312" spans="1:9" x14ac:dyDescent="0.15">
      <c r="A2312" s="9">
        <v>2311</v>
      </c>
      <c r="B2312" s="9" t="s">
        <v>9</v>
      </c>
      <c r="C2312" s="9">
        <v>1915</v>
      </c>
      <c r="D2312" s="10">
        <v>45639</v>
      </c>
      <c r="E2312" s="13" t="str">
        <f>+HYPERLINK("http://trademark.i-assist.jp/data/china/image_1915th/81206873.pdf","81206873")</f>
        <v>81206873</v>
      </c>
      <c r="F2312" s="9" t="s">
        <v>6312</v>
      </c>
      <c r="G2312" s="9" t="s">
        <v>6313</v>
      </c>
      <c r="H2312" s="9" t="s">
        <v>6314</v>
      </c>
      <c r="I2312" s="10">
        <v>45565</v>
      </c>
    </row>
    <row r="2313" spans="1:9" x14ac:dyDescent="0.15">
      <c r="A2313" s="9">
        <v>2312</v>
      </c>
      <c r="B2313" s="9" t="s">
        <v>9</v>
      </c>
      <c r="C2313" s="9">
        <v>1915</v>
      </c>
      <c r="D2313" s="10">
        <v>45639</v>
      </c>
      <c r="E2313" s="13" t="str">
        <f>+HYPERLINK("http://trademark.i-assist.jp/data/china/image_1915th/81206960.pdf","81206960")</f>
        <v>81206960</v>
      </c>
      <c r="F2313" s="9" t="s">
        <v>6315</v>
      </c>
      <c r="G2313" s="9" t="s">
        <v>6316</v>
      </c>
      <c r="H2313" s="9" t="s">
        <v>6317</v>
      </c>
      <c r="I2313" s="10">
        <v>45565</v>
      </c>
    </row>
    <row r="2314" spans="1:9" x14ac:dyDescent="0.15">
      <c r="A2314" s="9">
        <v>2313</v>
      </c>
      <c r="B2314" s="9" t="s">
        <v>9</v>
      </c>
      <c r="C2314" s="9">
        <v>1915</v>
      </c>
      <c r="D2314" s="10">
        <v>45639</v>
      </c>
      <c r="E2314" s="13" t="str">
        <f>+HYPERLINK("http://trademark.i-assist.jp/data/china/image_1915th/81207325.pdf","81207325")</f>
        <v>81207325</v>
      </c>
      <c r="F2314" s="11" t="s">
        <v>6318</v>
      </c>
      <c r="G2314" s="9" t="s">
        <v>6319</v>
      </c>
      <c r="H2314" s="9" t="s">
        <v>6320</v>
      </c>
      <c r="I2314" s="10">
        <v>45565</v>
      </c>
    </row>
    <row r="2315" spans="1:9" x14ac:dyDescent="0.15">
      <c r="A2315" s="9">
        <v>2314</v>
      </c>
      <c r="B2315" s="9" t="s">
        <v>9</v>
      </c>
      <c r="C2315" s="9">
        <v>1915</v>
      </c>
      <c r="D2315" s="10">
        <v>45639</v>
      </c>
      <c r="E2315" s="13" t="str">
        <f>+HYPERLINK("http://trademark.i-assist.jp/data/china/image_1915th/81207988.pdf","81207988")</f>
        <v>81207988</v>
      </c>
      <c r="F2315" s="9" t="s">
        <v>6321</v>
      </c>
      <c r="G2315" s="9" t="s">
        <v>6322</v>
      </c>
      <c r="H2315" s="9" t="s">
        <v>6323</v>
      </c>
      <c r="I2315" s="10">
        <v>45565</v>
      </c>
    </row>
    <row r="2316" spans="1:9" x14ac:dyDescent="0.15">
      <c r="A2316" s="9">
        <v>2315</v>
      </c>
      <c r="B2316" s="9" t="s">
        <v>9</v>
      </c>
      <c r="C2316" s="9">
        <v>1915</v>
      </c>
      <c r="D2316" s="10">
        <v>45639</v>
      </c>
      <c r="E2316" s="13" t="str">
        <f>+HYPERLINK("http://trademark.i-assist.jp/data/china/image_1915th/81208268.pdf","81208268")</f>
        <v>81208268</v>
      </c>
      <c r="F2316" s="9" t="s">
        <v>6324</v>
      </c>
      <c r="G2316" s="12" t="s">
        <v>3292</v>
      </c>
      <c r="H2316" s="12" t="s">
        <v>6325</v>
      </c>
      <c r="I2316" s="10">
        <v>45565</v>
      </c>
    </row>
    <row r="2317" spans="1:9" x14ac:dyDescent="0.15">
      <c r="A2317" s="9">
        <v>2316</v>
      </c>
      <c r="B2317" s="9" t="s">
        <v>9</v>
      </c>
      <c r="C2317" s="9">
        <v>1915</v>
      </c>
      <c r="D2317" s="10">
        <v>45639</v>
      </c>
      <c r="E2317" s="13" t="str">
        <f>+HYPERLINK("http://trademark.i-assist.jp/data/china/image_1915th/81208784.pdf","81208784")</f>
        <v>81208784</v>
      </c>
      <c r="F2317" s="12" t="s">
        <v>15</v>
      </c>
      <c r="G2317" s="9" t="s">
        <v>6326</v>
      </c>
      <c r="H2317" s="12" t="s">
        <v>6327</v>
      </c>
      <c r="I2317" s="10">
        <v>45565</v>
      </c>
    </row>
    <row r="2318" spans="1:9" x14ac:dyDescent="0.15">
      <c r="A2318" s="9">
        <v>2317</v>
      </c>
      <c r="B2318" s="9" t="s">
        <v>9</v>
      </c>
      <c r="C2318" s="9">
        <v>1915</v>
      </c>
      <c r="D2318" s="10">
        <v>45639</v>
      </c>
      <c r="E2318" s="13" t="str">
        <f>+HYPERLINK("http://trademark.i-assist.jp/data/china/image_1915th/81208987.pdf","81208987")</f>
        <v>81208987</v>
      </c>
      <c r="F2318" s="12" t="s">
        <v>15</v>
      </c>
      <c r="G2318" s="9" t="s">
        <v>6328</v>
      </c>
      <c r="H2318" s="9" t="s">
        <v>6329</v>
      </c>
      <c r="I2318" s="10">
        <v>45565</v>
      </c>
    </row>
    <row r="2319" spans="1:9" x14ac:dyDescent="0.15">
      <c r="A2319" s="9">
        <v>2318</v>
      </c>
      <c r="B2319" s="9" t="s">
        <v>9</v>
      </c>
      <c r="C2319" s="9">
        <v>1915</v>
      </c>
      <c r="D2319" s="10">
        <v>45639</v>
      </c>
      <c r="E2319" s="13" t="str">
        <f>+HYPERLINK("http://trademark.i-assist.jp/data/china/image_1915th/81209119.pdf","81209119")</f>
        <v>81209119</v>
      </c>
      <c r="F2319" s="9" t="s">
        <v>6330</v>
      </c>
      <c r="G2319" s="9" t="s">
        <v>2882</v>
      </c>
      <c r="H2319" s="9" t="s">
        <v>6331</v>
      </c>
      <c r="I2319" s="10">
        <v>45565</v>
      </c>
    </row>
    <row r="2320" spans="1:9" x14ac:dyDescent="0.15">
      <c r="A2320" s="9">
        <v>2319</v>
      </c>
      <c r="B2320" s="9" t="s">
        <v>9</v>
      </c>
      <c r="C2320" s="9">
        <v>1915</v>
      </c>
      <c r="D2320" s="10">
        <v>45639</v>
      </c>
      <c r="E2320" s="13" t="str">
        <f>+HYPERLINK("http://trademark.i-assist.jp/data/china/image_1915th/81209327.pdf","81209327")</f>
        <v>81209327</v>
      </c>
      <c r="F2320" s="9" t="s">
        <v>6332</v>
      </c>
      <c r="G2320" s="9" t="s">
        <v>6333</v>
      </c>
      <c r="H2320" s="9" t="s">
        <v>6334</v>
      </c>
      <c r="I2320" s="10">
        <v>45565</v>
      </c>
    </row>
    <row r="2321" spans="1:9" x14ac:dyDescent="0.15">
      <c r="A2321" s="9">
        <v>2320</v>
      </c>
      <c r="B2321" s="9" t="s">
        <v>9</v>
      </c>
      <c r="C2321" s="9">
        <v>1915</v>
      </c>
      <c r="D2321" s="10">
        <v>45639</v>
      </c>
      <c r="E2321" s="13" t="str">
        <f>+HYPERLINK("http://trademark.i-assist.jp/data/china/image_1915th/81209464.pdf","81209464")</f>
        <v>81209464</v>
      </c>
      <c r="F2321" s="9" t="s">
        <v>6335</v>
      </c>
      <c r="G2321" s="9" t="s">
        <v>6336</v>
      </c>
      <c r="H2321" s="9" t="s">
        <v>6337</v>
      </c>
      <c r="I2321" s="10">
        <v>45565</v>
      </c>
    </row>
    <row r="2322" spans="1:9" x14ac:dyDescent="0.15">
      <c r="A2322" s="9">
        <v>2321</v>
      </c>
      <c r="B2322" s="9" t="s">
        <v>9</v>
      </c>
      <c r="C2322" s="9">
        <v>1915</v>
      </c>
      <c r="D2322" s="10">
        <v>45639</v>
      </c>
      <c r="E2322" s="13" t="str">
        <f>+HYPERLINK("http://trademark.i-assist.jp/data/china/image_1915th/81209789.pdf","81209789")</f>
        <v>81209789</v>
      </c>
      <c r="F2322" s="9" t="s">
        <v>6338</v>
      </c>
      <c r="G2322" s="12" t="s">
        <v>6288</v>
      </c>
      <c r="H2322" s="12" t="s">
        <v>6339</v>
      </c>
      <c r="I2322" s="10">
        <v>45565</v>
      </c>
    </row>
    <row r="2323" spans="1:9" x14ac:dyDescent="0.15">
      <c r="A2323" s="9">
        <v>2322</v>
      </c>
      <c r="B2323" s="9" t="s">
        <v>9</v>
      </c>
      <c r="C2323" s="9">
        <v>1915</v>
      </c>
      <c r="D2323" s="10">
        <v>45639</v>
      </c>
      <c r="E2323" s="13" t="str">
        <f>+HYPERLINK("http://trademark.i-assist.jp/data/china/image_1915th/81209995.pdf","81209995")</f>
        <v>81209995</v>
      </c>
      <c r="F2323" s="9" t="s">
        <v>6340</v>
      </c>
      <c r="G2323" s="9" t="s">
        <v>6341</v>
      </c>
      <c r="H2323" s="9" t="s">
        <v>6342</v>
      </c>
      <c r="I2323" s="10">
        <v>45565</v>
      </c>
    </row>
    <row r="2324" spans="1:9" x14ac:dyDescent="0.15">
      <c r="A2324" s="9">
        <v>2323</v>
      </c>
      <c r="B2324" s="9" t="s">
        <v>9</v>
      </c>
      <c r="C2324" s="9">
        <v>1915</v>
      </c>
      <c r="D2324" s="10">
        <v>45639</v>
      </c>
      <c r="E2324" s="13" t="str">
        <f>+HYPERLINK("http://trademark.i-assist.jp/data/china/image_1915th/81210370.pdf","81210370")</f>
        <v>81210370</v>
      </c>
      <c r="F2324" s="9" t="s">
        <v>6343</v>
      </c>
      <c r="G2324" s="9" t="s">
        <v>6336</v>
      </c>
      <c r="H2324" s="12" t="s">
        <v>6344</v>
      </c>
      <c r="I2324" s="10">
        <v>45565</v>
      </c>
    </row>
    <row r="2325" spans="1:9" x14ac:dyDescent="0.15">
      <c r="A2325" s="9">
        <v>2324</v>
      </c>
      <c r="B2325" s="9" t="s">
        <v>9</v>
      </c>
      <c r="C2325" s="9">
        <v>1915</v>
      </c>
      <c r="D2325" s="10">
        <v>45639</v>
      </c>
      <c r="E2325" s="13" t="str">
        <f>+HYPERLINK("http://trademark.i-assist.jp/data/china/image_1915th/81210381.pdf","81210381")</f>
        <v>81210381</v>
      </c>
      <c r="F2325" s="12" t="s">
        <v>15</v>
      </c>
      <c r="G2325" s="9" t="s">
        <v>6345</v>
      </c>
      <c r="H2325" s="9" t="s">
        <v>6346</v>
      </c>
      <c r="I2325" s="10">
        <v>45565</v>
      </c>
    </row>
    <row r="2326" spans="1:9" x14ac:dyDescent="0.15">
      <c r="A2326" s="9">
        <v>2325</v>
      </c>
      <c r="B2326" s="9" t="s">
        <v>9</v>
      </c>
      <c r="C2326" s="9">
        <v>1915</v>
      </c>
      <c r="D2326" s="10">
        <v>45639</v>
      </c>
      <c r="E2326" s="13" t="str">
        <f>+HYPERLINK("http://trademark.i-assist.jp/data/china/image_1915th/81210888.pdf","81210888")</f>
        <v>81210888</v>
      </c>
      <c r="F2326" s="9" t="s">
        <v>6347</v>
      </c>
      <c r="G2326" s="9" t="s">
        <v>6348</v>
      </c>
      <c r="H2326" s="9" t="s">
        <v>6349</v>
      </c>
      <c r="I2326" s="10">
        <v>45565</v>
      </c>
    </row>
    <row r="2327" spans="1:9" x14ac:dyDescent="0.15">
      <c r="A2327" s="9">
        <v>2326</v>
      </c>
      <c r="B2327" s="9" t="s">
        <v>9</v>
      </c>
      <c r="C2327" s="9">
        <v>1915</v>
      </c>
      <c r="D2327" s="10">
        <v>45639</v>
      </c>
      <c r="E2327" s="13" t="str">
        <f>+HYPERLINK("http://trademark.i-assist.jp/data/china/image_1915th/81210924.pdf","81210924")</f>
        <v>81210924</v>
      </c>
      <c r="F2327" s="9" t="s">
        <v>6350</v>
      </c>
      <c r="G2327" s="9" t="s">
        <v>6351</v>
      </c>
      <c r="H2327" s="9" t="s">
        <v>6352</v>
      </c>
      <c r="I2327" s="10">
        <v>45565</v>
      </c>
    </row>
    <row r="2328" spans="1:9" x14ac:dyDescent="0.15">
      <c r="A2328" s="9">
        <v>2327</v>
      </c>
      <c r="B2328" s="9" t="s">
        <v>9</v>
      </c>
      <c r="C2328" s="9">
        <v>1915</v>
      </c>
      <c r="D2328" s="10">
        <v>45639</v>
      </c>
      <c r="E2328" s="13" t="str">
        <f>+HYPERLINK("http://trademark.i-assist.jp/data/china/image_1915th/81211044.pdf","81211044")</f>
        <v>81211044</v>
      </c>
      <c r="F2328" s="9" t="s">
        <v>6353</v>
      </c>
      <c r="G2328" s="12" t="s">
        <v>1532</v>
      </c>
      <c r="H2328" s="9" t="s">
        <v>6354</v>
      </c>
      <c r="I2328" s="10">
        <v>45565</v>
      </c>
    </row>
    <row r="2329" spans="1:9" x14ac:dyDescent="0.15">
      <c r="A2329" s="9">
        <v>2328</v>
      </c>
      <c r="B2329" s="9" t="s">
        <v>9</v>
      </c>
      <c r="C2329" s="9">
        <v>1915</v>
      </c>
      <c r="D2329" s="10">
        <v>45639</v>
      </c>
      <c r="E2329" s="13" t="str">
        <f>+HYPERLINK("http://trademark.i-assist.jp/data/china/image_1915th/81212007.pdf","81212007")</f>
        <v>81212007</v>
      </c>
      <c r="F2329" s="9" t="s">
        <v>6355</v>
      </c>
      <c r="G2329" s="9" t="s">
        <v>6356</v>
      </c>
      <c r="H2329" s="9" t="s">
        <v>6357</v>
      </c>
      <c r="I2329" s="10">
        <v>45565</v>
      </c>
    </row>
    <row r="2330" spans="1:9" x14ac:dyDescent="0.15">
      <c r="A2330" s="9">
        <v>2329</v>
      </c>
      <c r="B2330" s="9" t="s">
        <v>9</v>
      </c>
      <c r="C2330" s="9">
        <v>1915</v>
      </c>
      <c r="D2330" s="10">
        <v>45639</v>
      </c>
      <c r="E2330" s="13" t="str">
        <f>+HYPERLINK("http://trademark.i-assist.jp/data/china/image_1915th/81212076.pdf","81212076")</f>
        <v>81212076</v>
      </c>
      <c r="F2330" s="9" t="s">
        <v>6358</v>
      </c>
      <c r="G2330" s="12" t="s">
        <v>6359</v>
      </c>
      <c r="H2330" s="9" t="s">
        <v>6360</v>
      </c>
      <c r="I2330" s="10">
        <v>45565</v>
      </c>
    </row>
    <row r="2331" spans="1:9" x14ac:dyDescent="0.15">
      <c r="A2331" s="9">
        <v>2330</v>
      </c>
      <c r="B2331" s="9" t="s">
        <v>9</v>
      </c>
      <c r="C2331" s="9">
        <v>1915</v>
      </c>
      <c r="D2331" s="10">
        <v>45639</v>
      </c>
      <c r="E2331" s="13" t="str">
        <f>+HYPERLINK("http://trademark.i-assist.jp/data/china/image_1915th/81212752.pdf","81212752")</f>
        <v>81212752</v>
      </c>
      <c r="F2331" s="9" t="s">
        <v>6361</v>
      </c>
      <c r="G2331" s="9" t="s">
        <v>6362</v>
      </c>
      <c r="H2331" s="9" t="s">
        <v>6363</v>
      </c>
      <c r="I2331" s="10">
        <v>45565</v>
      </c>
    </row>
    <row r="2332" spans="1:9" x14ac:dyDescent="0.15">
      <c r="A2332" s="9">
        <v>2331</v>
      </c>
      <c r="B2332" s="9" t="s">
        <v>9</v>
      </c>
      <c r="C2332" s="9">
        <v>1915</v>
      </c>
      <c r="D2332" s="10">
        <v>45639</v>
      </c>
      <c r="E2332" s="13" t="str">
        <f>+HYPERLINK("http://trademark.i-assist.jp/data/china/image_1915th/81212996.pdf","81212996")</f>
        <v>81212996</v>
      </c>
      <c r="F2332" s="9" t="s">
        <v>6364</v>
      </c>
      <c r="G2332" s="12" t="s">
        <v>885</v>
      </c>
      <c r="H2332" s="9" t="s">
        <v>6365</v>
      </c>
      <c r="I2332" s="10">
        <v>45565</v>
      </c>
    </row>
    <row r="2333" spans="1:9" x14ac:dyDescent="0.15">
      <c r="A2333" s="9">
        <v>2332</v>
      </c>
      <c r="B2333" s="9" t="s">
        <v>9</v>
      </c>
      <c r="C2333" s="9">
        <v>1915</v>
      </c>
      <c r="D2333" s="10">
        <v>45639</v>
      </c>
      <c r="E2333" s="13" t="str">
        <f>+HYPERLINK("http://trademark.i-assist.jp/data/china/image_1915th/81213577.pdf","81213577")</f>
        <v>81213577</v>
      </c>
      <c r="F2333" s="9" t="s">
        <v>6366</v>
      </c>
      <c r="G2333" s="9" t="s">
        <v>6367</v>
      </c>
      <c r="H2333" s="9" t="s">
        <v>6368</v>
      </c>
      <c r="I2333" s="10">
        <v>45565</v>
      </c>
    </row>
    <row r="2334" spans="1:9" x14ac:dyDescent="0.15">
      <c r="A2334" s="9">
        <v>2333</v>
      </c>
      <c r="B2334" s="9" t="s">
        <v>9</v>
      </c>
      <c r="C2334" s="9">
        <v>1915</v>
      </c>
      <c r="D2334" s="10">
        <v>45639</v>
      </c>
      <c r="E2334" s="13" t="str">
        <f>+HYPERLINK("http://trademark.i-assist.jp/data/china/image_1915th/81213610.pdf","81213610")</f>
        <v>81213610</v>
      </c>
      <c r="F2334" s="9" t="s">
        <v>6369</v>
      </c>
      <c r="G2334" s="12" t="s">
        <v>6370</v>
      </c>
      <c r="H2334" s="9" t="s">
        <v>6371</v>
      </c>
      <c r="I2334" s="10">
        <v>45565</v>
      </c>
    </row>
    <row r="2335" spans="1:9" x14ac:dyDescent="0.15">
      <c r="A2335" s="9">
        <v>2334</v>
      </c>
      <c r="B2335" s="9" t="s">
        <v>9</v>
      </c>
      <c r="C2335" s="9">
        <v>1915</v>
      </c>
      <c r="D2335" s="10">
        <v>45639</v>
      </c>
      <c r="E2335" s="13" t="str">
        <f>+HYPERLINK("http://trademark.i-assist.jp/data/china/image_1915th/81213890.pdf","81213890")</f>
        <v>81213890</v>
      </c>
      <c r="F2335" s="12" t="s">
        <v>6372</v>
      </c>
      <c r="G2335" s="9" t="s">
        <v>6373</v>
      </c>
      <c r="H2335" s="9" t="s">
        <v>6374</v>
      </c>
      <c r="I2335" s="10">
        <v>45565</v>
      </c>
    </row>
    <row r="2336" spans="1:9" x14ac:dyDescent="0.15">
      <c r="A2336" s="9">
        <v>2335</v>
      </c>
      <c r="B2336" s="9" t="s">
        <v>9</v>
      </c>
      <c r="C2336" s="9">
        <v>1915</v>
      </c>
      <c r="D2336" s="10">
        <v>45639</v>
      </c>
      <c r="E2336" s="13" t="str">
        <f>+HYPERLINK("http://trademark.i-assist.jp/data/china/image_1915th/81213925.pdf","81213925")</f>
        <v>81213925</v>
      </c>
      <c r="F2336" s="9" t="s">
        <v>6375</v>
      </c>
      <c r="G2336" s="9" t="s">
        <v>2627</v>
      </c>
      <c r="H2336" s="9" t="s">
        <v>6376</v>
      </c>
      <c r="I2336" s="10">
        <v>45565</v>
      </c>
    </row>
    <row r="2337" spans="1:9" x14ac:dyDescent="0.15">
      <c r="A2337" s="9">
        <v>2336</v>
      </c>
      <c r="B2337" s="9" t="s">
        <v>9</v>
      </c>
      <c r="C2337" s="9">
        <v>1915</v>
      </c>
      <c r="D2337" s="10">
        <v>45639</v>
      </c>
      <c r="E2337" s="13" t="str">
        <f>+HYPERLINK("http://trademark.i-assist.jp/data/china/image_1915th/81214024.pdf","81214024")</f>
        <v>81214024</v>
      </c>
      <c r="F2337" s="9" t="s">
        <v>6377</v>
      </c>
      <c r="G2337" s="12" t="s">
        <v>6378</v>
      </c>
      <c r="H2337" s="9" t="s">
        <v>6379</v>
      </c>
      <c r="I2337" s="10">
        <v>45565</v>
      </c>
    </row>
    <row r="2338" spans="1:9" x14ac:dyDescent="0.15">
      <c r="A2338" s="9">
        <v>2337</v>
      </c>
      <c r="B2338" s="9" t="s">
        <v>9</v>
      </c>
      <c r="C2338" s="9">
        <v>1915</v>
      </c>
      <c r="D2338" s="10">
        <v>45639</v>
      </c>
      <c r="E2338" s="13" t="str">
        <f>+HYPERLINK("http://trademark.i-assist.jp/data/china/image_1915th/81214591.pdf","81214591")</f>
        <v>81214591</v>
      </c>
      <c r="F2338" s="9" t="s">
        <v>6380</v>
      </c>
      <c r="G2338" s="12" t="s">
        <v>6381</v>
      </c>
      <c r="H2338" s="9" t="s">
        <v>6382</v>
      </c>
      <c r="I2338" s="10">
        <v>45565</v>
      </c>
    </row>
    <row r="2339" spans="1:9" x14ac:dyDescent="0.15">
      <c r="A2339" s="9">
        <v>2338</v>
      </c>
      <c r="B2339" s="9" t="s">
        <v>9</v>
      </c>
      <c r="C2339" s="9">
        <v>1915</v>
      </c>
      <c r="D2339" s="10">
        <v>45639</v>
      </c>
      <c r="E2339" s="13" t="str">
        <f>+HYPERLINK("http://trademark.i-assist.jp/data/china/image_1915th/81214701.pdf","81214701")</f>
        <v>81214701</v>
      </c>
      <c r="F2339" s="9" t="s">
        <v>6383</v>
      </c>
      <c r="G2339" s="9" t="s">
        <v>6384</v>
      </c>
      <c r="H2339" s="9" t="s">
        <v>6385</v>
      </c>
      <c r="I2339" s="10">
        <v>45565</v>
      </c>
    </row>
    <row r="2340" spans="1:9" x14ac:dyDescent="0.15">
      <c r="A2340" s="9">
        <v>2339</v>
      </c>
      <c r="B2340" s="9" t="s">
        <v>9</v>
      </c>
      <c r="C2340" s="9">
        <v>1915</v>
      </c>
      <c r="D2340" s="10">
        <v>45639</v>
      </c>
      <c r="E2340" s="13" t="str">
        <f>+HYPERLINK("http://trademark.i-assist.jp/data/china/image_1915th/81214768.pdf","81214768")</f>
        <v>81214768</v>
      </c>
      <c r="F2340" s="9" t="s">
        <v>6386</v>
      </c>
      <c r="G2340" s="9" t="s">
        <v>6387</v>
      </c>
      <c r="H2340" s="9" t="s">
        <v>6388</v>
      </c>
      <c r="I2340" s="10">
        <v>45565</v>
      </c>
    </row>
    <row r="2341" spans="1:9" x14ac:dyDescent="0.15">
      <c r="A2341" s="9">
        <v>2340</v>
      </c>
      <c r="B2341" s="9" t="s">
        <v>9</v>
      </c>
      <c r="C2341" s="9">
        <v>1915</v>
      </c>
      <c r="D2341" s="10">
        <v>45639</v>
      </c>
      <c r="E2341" s="13" t="str">
        <f>+HYPERLINK("http://trademark.i-assist.jp/data/china/image_1915th/81215763.pdf","81215763")</f>
        <v>81215763</v>
      </c>
      <c r="F2341" s="9" t="s">
        <v>6389</v>
      </c>
      <c r="G2341" s="9" t="s">
        <v>6390</v>
      </c>
      <c r="H2341" s="9" t="s">
        <v>6391</v>
      </c>
      <c r="I2341" s="10">
        <v>45565</v>
      </c>
    </row>
    <row r="2342" spans="1:9" x14ac:dyDescent="0.15">
      <c r="A2342" s="9">
        <v>2341</v>
      </c>
      <c r="B2342" s="9" t="s">
        <v>9</v>
      </c>
      <c r="C2342" s="9">
        <v>1915</v>
      </c>
      <c r="D2342" s="10">
        <v>45639</v>
      </c>
      <c r="E2342" s="13" t="str">
        <f>+HYPERLINK("http://trademark.i-assist.jp/data/china/image_1915th/81216111.pdf","81216111")</f>
        <v>81216111</v>
      </c>
      <c r="F2342" s="9" t="s">
        <v>6392</v>
      </c>
      <c r="G2342" s="9" t="s">
        <v>1818</v>
      </c>
      <c r="H2342" s="9" t="s">
        <v>6393</v>
      </c>
      <c r="I2342" s="10">
        <v>45565</v>
      </c>
    </row>
    <row r="2343" spans="1:9" x14ac:dyDescent="0.15">
      <c r="A2343" s="9">
        <v>2342</v>
      </c>
      <c r="B2343" s="9" t="s">
        <v>9</v>
      </c>
      <c r="C2343" s="9">
        <v>1915</v>
      </c>
      <c r="D2343" s="10">
        <v>45639</v>
      </c>
      <c r="E2343" s="13" t="str">
        <f>+HYPERLINK("http://trademark.i-assist.jp/data/china/image_1915th/81216194.pdf","81216194")</f>
        <v>81216194</v>
      </c>
      <c r="F2343" s="9" t="s">
        <v>6394</v>
      </c>
      <c r="G2343" s="9" t="s">
        <v>6367</v>
      </c>
      <c r="H2343" s="9" t="s">
        <v>6395</v>
      </c>
      <c r="I2343" s="10">
        <v>45565</v>
      </c>
    </row>
    <row r="2344" spans="1:9" x14ac:dyDescent="0.15">
      <c r="A2344" s="9">
        <v>2343</v>
      </c>
      <c r="B2344" s="9" t="s">
        <v>9</v>
      </c>
      <c r="C2344" s="9">
        <v>1915</v>
      </c>
      <c r="D2344" s="10">
        <v>45639</v>
      </c>
      <c r="E2344" s="13" t="str">
        <f>+HYPERLINK("http://trademark.i-assist.jp/data/china/image_1915th/81216284.pdf","81216284")</f>
        <v>81216284</v>
      </c>
      <c r="F2344" s="9" t="s">
        <v>6396</v>
      </c>
      <c r="G2344" s="9" t="s">
        <v>6397</v>
      </c>
      <c r="H2344" s="9" t="s">
        <v>6398</v>
      </c>
      <c r="I2344" s="10">
        <v>45565</v>
      </c>
    </row>
    <row r="2345" spans="1:9" x14ac:dyDescent="0.15">
      <c r="A2345" s="9">
        <v>2344</v>
      </c>
      <c r="B2345" s="9" t="s">
        <v>9</v>
      </c>
      <c r="C2345" s="9">
        <v>1915</v>
      </c>
      <c r="D2345" s="10">
        <v>45639</v>
      </c>
      <c r="E2345" s="13" t="str">
        <f>+HYPERLINK("http://trademark.i-assist.jp/data/china/image_1915th/81216645.pdf","81216645")</f>
        <v>81216645</v>
      </c>
      <c r="F2345" s="9" t="s">
        <v>6399</v>
      </c>
      <c r="G2345" s="12" t="s">
        <v>6359</v>
      </c>
      <c r="H2345" s="9" t="s">
        <v>6400</v>
      </c>
      <c r="I2345" s="10">
        <v>45565</v>
      </c>
    </row>
    <row r="2346" spans="1:9" x14ac:dyDescent="0.15">
      <c r="A2346" s="9">
        <v>2345</v>
      </c>
      <c r="B2346" s="9" t="s">
        <v>9</v>
      </c>
      <c r="C2346" s="9">
        <v>1915</v>
      </c>
      <c r="D2346" s="10">
        <v>45639</v>
      </c>
      <c r="E2346" s="13" t="str">
        <f>+HYPERLINK("http://trademark.i-assist.jp/data/china/image_1915th/81217166.pdf","81217166")</f>
        <v>81217166</v>
      </c>
      <c r="F2346" s="9" t="s">
        <v>6401</v>
      </c>
      <c r="G2346" s="12" t="s">
        <v>6294</v>
      </c>
      <c r="H2346" s="9" t="s">
        <v>6402</v>
      </c>
      <c r="I2346" s="10">
        <v>45565</v>
      </c>
    </row>
    <row r="2347" spans="1:9" x14ac:dyDescent="0.15">
      <c r="A2347" s="9">
        <v>2346</v>
      </c>
      <c r="B2347" s="9" t="s">
        <v>9</v>
      </c>
      <c r="C2347" s="9">
        <v>1915</v>
      </c>
      <c r="D2347" s="10">
        <v>45639</v>
      </c>
      <c r="E2347" s="13" t="str">
        <f>+HYPERLINK("http://trademark.i-assist.jp/data/china/image_1915th/81217594.pdf","81217594")</f>
        <v>81217594</v>
      </c>
      <c r="F2347" s="9" t="s">
        <v>6403</v>
      </c>
      <c r="G2347" s="12" t="s">
        <v>6404</v>
      </c>
      <c r="H2347" s="9" t="s">
        <v>6405</v>
      </c>
      <c r="I2347" s="10">
        <v>45565</v>
      </c>
    </row>
    <row r="2348" spans="1:9" x14ac:dyDescent="0.15">
      <c r="A2348" s="9">
        <v>2347</v>
      </c>
      <c r="B2348" s="9" t="s">
        <v>9</v>
      </c>
      <c r="C2348" s="9">
        <v>1915</v>
      </c>
      <c r="D2348" s="10">
        <v>45639</v>
      </c>
      <c r="E2348" s="13" t="str">
        <f>+HYPERLINK("http://trademark.i-assist.jp/data/china/image_1915th/81217779.pdf","81217779")</f>
        <v>81217779</v>
      </c>
      <c r="F2348" s="12" t="s">
        <v>6406</v>
      </c>
      <c r="G2348" s="9" t="s">
        <v>6407</v>
      </c>
      <c r="H2348" s="9" t="s">
        <v>6408</v>
      </c>
      <c r="I2348" s="10">
        <v>45565</v>
      </c>
    </row>
    <row r="2349" spans="1:9" x14ac:dyDescent="0.15">
      <c r="A2349" s="9">
        <v>2348</v>
      </c>
      <c r="B2349" s="9" t="s">
        <v>9</v>
      </c>
      <c r="C2349" s="9">
        <v>1915</v>
      </c>
      <c r="D2349" s="10">
        <v>45639</v>
      </c>
      <c r="E2349" s="13" t="str">
        <f>+HYPERLINK("http://trademark.i-assist.jp/data/china/image_1915th/81218130.pdf","81218130")</f>
        <v>81218130</v>
      </c>
      <c r="F2349" s="9" t="s">
        <v>6409</v>
      </c>
      <c r="G2349" s="12" t="s">
        <v>6288</v>
      </c>
      <c r="H2349" s="9" t="s">
        <v>6410</v>
      </c>
      <c r="I2349" s="10">
        <v>45565</v>
      </c>
    </row>
    <row r="2350" spans="1:9" x14ac:dyDescent="0.15">
      <c r="A2350" s="9">
        <v>2349</v>
      </c>
      <c r="B2350" s="9" t="s">
        <v>9</v>
      </c>
      <c r="C2350" s="9">
        <v>1915</v>
      </c>
      <c r="D2350" s="10">
        <v>45639</v>
      </c>
      <c r="E2350" s="13" t="str">
        <f>+HYPERLINK("http://trademark.i-assist.jp/data/china/image_1915th/81218314.pdf","81218314")</f>
        <v>81218314</v>
      </c>
      <c r="F2350" s="12" t="s">
        <v>6411</v>
      </c>
      <c r="G2350" s="12" t="s">
        <v>3292</v>
      </c>
      <c r="H2350" s="12" t="s">
        <v>6412</v>
      </c>
      <c r="I2350" s="10">
        <v>45565</v>
      </c>
    </row>
    <row r="2351" spans="1:9" x14ac:dyDescent="0.15">
      <c r="A2351" s="9">
        <v>2350</v>
      </c>
      <c r="B2351" s="9" t="s">
        <v>9</v>
      </c>
      <c r="C2351" s="9">
        <v>1915</v>
      </c>
      <c r="D2351" s="10">
        <v>45639</v>
      </c>
      <c r="E2351" s="13" t="str">
        <f>+HYPERLINK("http://trademark.i-assist.jp/data/china/image_1915th/81218803.pdf","81218803")</f>
        <v>81218803</v>
      </c>
      <c r="F2351" s="9" t="s">
        <v>6413</v>
      </c>
      <c r="G2351" s="9" t="s">
        <v>6319</v>
      </c>
      <c r="H2351" s="12" t="s">
        <v>6414</v>
      </c>
      <c r="I2351" s="10">
        <v>45565</v>
      </c>
    </row>
    <row r="2352" spans="1:9" x14ac:dyDescent="0.15">
      <c r="A2352" s="9">
        <v>2351</v>
      </c>
      <c r="B2352" s="9" t="s">
        <v>9</v>
      </c>
      <c r="C2352" s="9">
        <v>1915</v>
      </c>
      <c r="D2352" s="10">
        <v>45639</v>
      </c>
      <c r="E2352" s="13" t="str">
        <f>+HYPERLINK("http://trademark.i-assist.jp/data/china/image_1915th/81219325.pdf","81219325")</f>
        <v>81219325</v>
      </c>
      <c r="F2352" s="9" t="s">
        <v>6415</v>
      </c>
      <c r="G2352" s="12" t="s">
        <v>6288</v>
      </c>
      <c r="H2352" s="9" t="s">
        <v>6416</v>
      </c>
      <c r="I2352" s="10">
        <v>45565</v>
      </c>
    </row>
    <row r="2353" spans="1:9" x14ac:dyDescent="0.15">
      <c r="A2353" s="9">
        <v>2352</v>
      </c>
      <c r="B2353" s="9" t="s">
        <v>9</v>
      </c>
      <c r="C2353" s="9">
        <v>1915</v>
      </c>
      <c r="D2353" s="10">
        <v>45639</v>
      </c>
      <c r="E2353" s="13" t="str">
        <f>+HYPERLINK("http://trademark.i-assist.jp/data/china/image_1915th/81219676.pdf","81219676")</f>
        <v>81219676</v>
      </c>
      <c r="F2353" s="9" t="s">
        <v>6417</v>
      </c>
      <c r="G2353" s="12" t="s">
        <v>6418</v>
      </c>
      <c r="H2353" s="9" t="s">
        <v>6419</v>
      </c>
      <c r="I2353" s="10">
        <v>45565</v>
      </c>
    </row>
    <row r="2354" spans="1:9" x14ac:dyDescent="0.15">
      <c r="A2354" s="9">
        <v>2353</v>
      </c>
      <c r="B2354" s="9" t="s">
        <v>9</v>
      </c>
      <c r="C2354" s="9">
        <v>1915</v>
      </c>
      <c r="D2354" s="10">
        <v>45639</v>
      </c>
      <c r="E2354" s="13" t="str">
        <f>+HYPERLINK("http://trademark.i-assist.jp/data/china/image_1915th/81220017.pdf","81220017")</f>
        <v>81220017</v>
      </c>
      <c r="F2354" s="9" t="s">
        <v>6420</v>
      </c>
      <c r="G2354" s="12" t="s">
        <v>6288</v>
      </c>
      <c r="H2354" s="9" t="s">
        <v>6421</v>
      </c>
      <c r="I2354" s="10">
        <v>45565</v>
      </c>
    </row>
    <row r="2355" spans="1:9" x14ac:dyDescent="0.15">
      <c r="A2355" s="9">
        <v>2354</v>
      </c>
      <c r="B2355" s="9" t="s">
        <v>9</v>
      </c>
      <c r="C2355" s="9">
        <v>1915</v>
      </c>
      <c r="D2355" s="10">
        <v>45639</v>
      </c>
      <c r="E2355" s="13" t="str">
        <f>+HYPERLINK("http://trademark.i-assist.jp/data/china/image_1915th/81220193.pdf","81220193")</f>
        <v>81220193</v>
      </c>
      <c r="F2355" s="9" t="s">
        <v>6422</v>
      </c>
      <c r="G2355" s="12" t="s">
        <v>6423</v>
      </c>
      <c r="H2355" s="9" t="s">
        <v>6424</v>
      </c>
      <c r="I2355" s="10">
        <v>45565</v>
      </c>
    </row>
    <row r="2356" spans="1:9" x14ac:dyDescent="0.15">
      <c r="A2356" s="9">
        <v>2355</v>
      </c>
      <c r="B2356" s="9" t="s">
        <v>9</v>
      </c>
      <c r="C2356" s="9">
        <v>1915</v>
      </c>
      <c r="D2356" s="10">
        <v>45639</v>
      </c>
      <c r="E2356" s="13" t="str">
        <f>+HYPERLINK("http://trademark.i-assist.jp/data/china/image_1915th/81221070.pdf","81221070")</f>
        <v>81221070</v>
      </c>
      <c r="F2356" s="9" t="s">
        <v>6425</v>
      </c>
      <c r="G2356" s="9" t="s">
        <v>2627</v>
      </c>
      <c r="H2356" s="9" t="s">
        <v>6426</v>
      </c>
      <c r="I2356" s="10">
        <v>45565</v>
      </c>
    </row>
    <row r="2357" spans="1:9" x14ac:dyDescent="0.15">
      <c r="A2357" s="9">
        <v>2356</v>
      </c>
      <c r="B2357" s="9" t="s">
        <v>9</v>
      </c>
      <c r="C2357" s="9">
        <v>1915</v>
      </c>
      <c r="D2357" s="10">
        <v>45639</v>
      </c>
      <c r="E2357" s="13" t="str">
        <f>+HYPERLINK("http://trademark.i-assist.jp/data/china/image_1915th/81222011.pdf","81222011")</f>
        <v>81222011</v>
      </c>
      <c r="F2357" s="12" t="s">
        <v>6427</v>
      </c>
      <c r="G2357" s="9" t="s">
        <v>6428</v>
      </c>
      <c r="H2357" s="9" t="s">
        <v>6429</v>
      </c>
      <c r="I2357" s="10">
        <v>45565</v>
      </c>
    </row>
    <row r="2358" spans="1:9" x14ac:dyDescent="0.15">
      <c r="A2358" s="9">
        <v>2357</v>
      </c>
      <c r="B2358" s="9" t="s">
        <v>9</v>
      </c>
      <c r="C2358" s="9">
        <v>1915</v>
      </c>
      <c r="D2358" s="10">
        <v>45639</v>
      </c>
      <c r="E2358" s="13" t="str">
        <f>+HYPERLINK("http://trademark.i-assist.jp/data/china/image_1915th/81222036.pdf","81222036")</f>
        <v>81222036</v>
      </c>
      <c r="F2358" s="12" t="s">
        <v>15</v>
      </c>
      <c r="G2358" s="12" t="s">
        <v>6430</v>
      </c>
      <c r="H2358" s="9" t="s">
        <v>6431</v>
      </c>
      <c r="I2358" s="10">
        <v>45565</v>
      </c>
    </row>
    <row r="2359" spans="1:9" x14ac:dyDescent="0.15">
      <c r="A2359" s="9">
        <v>2358</v>
      </c>
      <c r="B2359" s="9" t="s">
        <v>9</v>
      </c>
      <c r="C2359" s="9">
        <v>1915</v>
      </c>
      <c r="D2359" s="10">
        <v>45639</v>
      </c>
      <c r="E2359" s="13" t="str">
        <f>+HYPERLINK("http://trademark.i-assist.jp/data/china/image_1915th/81222169.pdf","81222169")</f>
        <v>81222169</v>
      </c>
      <c r="F2359" s="9" t="s">
        <v>6432</v>
      </c>
      <c r="G2359" s="12" t="s">
        <v>6288</v>
      </c>
      <c r="H2359" s="9" t="s">
        <v>6433</v>
      </c>
      <c r="I2359" s="10">
        <v>45565</v>
      </c>
    </row>
    <row r="2360" spans="1:9" x14ac:dyDescent="0.15">
      <c r="A2360" s="9">
        <v>2359</v>
      </c>
      <c r="B2360" s="9" t="s">
        <v>9</v>
      </c>
      <c r="C2360" s="9">
        <v>1915</v>
      </c>
      <c r="D2360" s="10">
        <v>45639</v>
      </c>
      <c r="E2360" s="13" t="str">
        <f>+HYPERLINK("http://trademark.i-assist.jp/data/china/image_1915th/81222293.pdf","81222293")</f>
        <v>81222293</v>
      </c>
      <c r="F2360" s="9" t="s">
        <v>6434</v>
      </c>
      <c r="G2360" s="9" t="s">
        <v>6435</v>
      </c>
      <c r="H2360" s="9" t="s">
        <v>6436</v>
      </c>
      <c r="I2360" s="10">
        <v>45565</v>
      </c>
    </row>
    <row r="2361" spans="1:9" x14ac:dyDescent="0.15">
      <c r="A2361" s="9">
        <v>2360</v>
      </c>
      <c r="B2361" s="9" t="s">
        <v>9</v>
      </c>
      <c r="C2361" s="9">
        <v>1915</v>
      </c>
      <c r="D2361" s="10">
        <v>45639</v>
      </c>
      <c r="E2361" s="13" t="str">
        <f>+HYPERLINK("http://trademark.i-assist.jp/data/china/image_1915th/81222403.pdf","81222403")</f>
        <v>81222403</v>
      </c>
      <c r="F2361" s="9" t="s">
        <v>6437</v>
      </c>
      <c r="G2361" s="12" t="s">
        <v>6438</v>
      </c>
      <c r="H2361" s="12" t="s">
        <v>6439</v>
      </c>
      <c r="I2361" s="10">
        <v>45565</v>
      </c>
    </row>
    <row r="2362" spans="1:9" x14ac:dyDescent="0.15">
      <c r="A2362" s="9">
        <v>2361</v>
      </c>
      <c r="B2362" s="9" t="s">
        <v>9</v>
      </c>
      <c r="C2362" s="9">
        <v>1915</v>
      </c>
      <c r="D2362" s="10">
        <v>45639</v>
      </c>
      <c r="E2362" s="13" t="str">
        <f>+HYPERLINK("http://trademark.i-assist.jp/data/china/image_1915th/81223738.pdf","81223738")</f>
        <v>81223738</v>
      </c>
      <c r="F2362" s="9" t="s">
        <v>6440</v>
      </c>
      <c r="G2362" s="12" t="s">
        <v>6370</v>
      </c>
      <c r="H2362" s="9" t="s">
        <v>6441</v>
      </c>
      <c r="I2362" s="10">
        <v>45565</v>
      </c>
    </row>
    <row r="2363" spans="1:9" x14ac:dyDescent="0.15">
      <c r="A2363" s="9">
        <v>2362</v>
      </c>
      <c r="B2363" s="9" t="s">
        <v>9</v>
      </c>
      <c r="C2363" s="9">
        <v>1915</v>
      </c>
      <c r="D2363" s="10">
        <v>45639</v>
      </c>
      <c r="E2363" s="13" t="str">
        <f>+HYPERLINK("http://trademark.i-assist.jp/data/china/image_1915th/81223794.pdf","81223794")</f>
        <v>81223794</v>
      </c>
      <c r="F2363" s="9" t="s">
        <v>6442</v>
      </c>
      <c r="G2363" s="9" t="s">
        <v>6443</v>
      </c>
      <c r="H2363" s="9" t="s">
        <v>6444</v>
      </c>
      <c r="I2363" s="10">
        <v>45565</v>
      </c>
    </row>
    <row r="2364" spans="1:9" x14ac:dyDescent="0.15">
      <c r="A2364" s="9">
        <v>2363</v>
      </c>
      <c r="B2364" s="9" t="s">
        <v>9</v>
      </c>
      <c r="C2364" s="9">
        <v>1915</v>
      </c>
      <c r="D2364" s="10">
        <v>45639</v>
      </c>
      <c r="E2364" s="13" t="str">
        <f>+HYPERLINK("http://trademark.i-assist.jp/data/china/image_1915th/81224254.pdf","81224254")</f>
        <v>81224254</v>
      </c>
      <c r="F2364" s="9" t="s">
        <v>6445</v>
      </c>
      <c r="G2364" s="9" t="s">
        <v>6446</v>
      </c>
      <c r="H2364" s="9" t="s">
        <v>6447</v>
      </c>
      <c r="I2364" s="10">
        <v>45565</v>
      </c>
    </row>
    <row r="2365" spans="1:9" x14ac:dyDescent="0.15">
      <c r="A2365" s="9">
        <v>2364</v>
      </c>
      <c r="B2365" s="9" t="s">
        <v>9</v>
      </c>
      <c r="C2365" s="9">
        <v>1915</v>
      </c>
      <c r="D2365" s="10">
        <v>45639</v>
      </c>
      <c r="E2365" s="13" t="str">
        <f>+HYPERLINK("http://trademark.i-assist.jp/data/china/image_1915th/81224842.pdf","81224842")</f>
        <v>81224842</v>
      </c>
      <c r="F2365" s="9" t="s">
        <v>6448</v>
      </c>
      <c r="G2365" s="12" t="s">
        <v>6449</v>
      </c>
      <c r="H2365" s="9" t="s">
        <v>6450</v>
      </c>
      <c r="I2365" s="10">
        <v>45565</v>
      </c>
    </row>
    <row r="2366" spans="1:9" x14ac:dyDescent="0.15">
      <c r="A2366" s="9">
        <v>2365</v>
      </c>
      <c r="B2366" s="9" t="s">
        <v>9</v>
      </c>
      <c r="C2366" s="9">
        <v>1915</v>
      </c>
      <c r="D2366" s="10">
        <v>45639</v>
      </c>
      <c r="E2366" s="13" t="str">
        <f>+HYPERLINK("http://trademark.i-assist.jp/data/china/image_1915th/81225135.pdf","81225135")</f>
        <v>81225135</v>
      </c>
      <c r="F2366" s="9" t="s">
        <v>6451</v>
      </c>
      <c r="G2366" s="12" t="s">
        <v>6288</v>
      </c>
      <c r="H2366" s="9" t="s">
        <v>6452</v>
      </c>
      <c r="I2366" s="10">
        <v>45565</v>
      </c>
    </row>
    <row r="2367" spans="1:9" x14ac:dyDescent="0.15">
      <c r="A2367" s="9">
        <v>2366</v>
      </c>
      <c r="B2367" s="9" t="s">
        <v>9</v>
      </c>
      <c r="C2367" s="9">
        <v>1915</v>
      </c>
      <c r="D2367" s="10">
        <v>45639</v>
      </c>
      <c r="E2367" s="13" t="str">
        <f>+HYPERLINK("http://trademark.i-assist.jp/data/china/image_1915th/81225333.pdf","81225333")</f>
        <v>81225333</v>
      </c>
      <c r="F2367" s="12" t="s">
        <v>6453</v>
      </c>
      <c r="G2367" s="11" t="s">
        <v>6454</v>
      </c>
      <c r="H2367" s="9" t="s">
        <v>6455</v>
      </c>
      <c r="I2367" s="10">
        <v>45565</v>
      </c>
    </row>
    <row r="2368" spans="1:9" x14ac:dyDescent="0.15">
      <c r="A2368" s="9">
        <v>2367</v>
      </c>
      <c r="B2368" s="9" t="s">
        <v>9</v>
      </c>
      <c r="C2368" s="9">
        <v>1915</v>
      </c>
      <c r="D2368" s="10">
        <v>45639</v>
      </c>
      <c r="E2368" s="13" t="str">
        <f>+HYPERLINK("http://trademark.i-assist.jp/data/china/image_1915th/81225627.pdf","81225627")</f>
        <v>81225627</v>
      </c>
      <c r="F2368" s="12" t="s">
        <v>6456</v>
      </c>
      <c r="G2368" s="9" t="s">
        <v>6457</v>
      </c>
      <c r="H2368" s="9" t="s">
        <v>6458</v>
      </c>
      <c r="I2368" s="10">
        <v>45565</v>
      </c>
    </row>
    <row r="2369" spans="1:9" x14ac:dyDescent="0.15">
      <c r="A2369" s="9">
        <v>2368</v>
      </c>
      <c r="B2369" s="9" t="s">
        <v>9</v>
      </c>
      <c r="C2369" s="9">
        <v>1915</v>
      </c>
      <c r="D2369" s="10">
        <v>45639</v>
      </c>
      <c r="E2369" s="13" t="str">
        <f>+HYPERLINK("http://trademark.i-assist.jp/data/china/image_1915th/81225848.pdf","81225848")</f>
        <v>81225848</v>
      </c>
      <c r="F2369" s="12" t="s">
        <v>6459</v>
      </c>
      <c r="G2369" s="12" t="s">
        <v>6460</v>
      </c>
      <c r="H2369" s="9" t="s">
        <v>6461</v>
      </c>
      <c r="I2369" s="10">
        <v>45565</v>
      </c>
    </row>
    <row r="2370" spans="1:9" x14ac:dyDescent="0.15">
      <c r="A2370" s="9">
        <v>2369</v>
      </c>
      <c r="B2370" s="9" t="s">
        <v>9</v>
      </c>
      <c r="C2370" s="9">
        <v>1915</v>
      </c>
      <c r="D2370" s="10">
        <v>45639</v>
      </c>
      <c r="E2370" s="13" t="str">
        <f>+HYPERLINK("http://trademark.i-assist.jp/data/china/image_1915th/81225850.pdf","81225850")</f>
        <v>81225850</v>
      </c>
      <c r="F2370" s="12" t="s">
        <v>6462</v>
      </c>
      <c r="G2370" s="9" t="s">
        <v>4572</v>
      </c>
      <c r="H2370" s="9" t="s">
        <v>6463</v>
      </c>
      <c r="I2370" s="10">
        <v>45565</v>
      </c>
    </row>
    <row r="2371" spans="1:9" x14ac:dyDescent="0.15">
      <c r="A2371" s="9">
        <v>2370</v>
      </c>
      <c r="B2371" s="9" t="s">
        <v>9</v>
      </c>
      <c r="C2371" s="9">
        <v>1915</v>
      </c>
      <c r="D2371" s="10">
        <v>45639</v>
      </c>
      <c r="E2371" s="13" t="str">
        <f>+HYPERLINK("http://trademark.i-assist.jp/data/china/image_1915th/81225957.pdf","81225957")</f>
        <v>81225957</v>
      </c>
      <c r="F2371" s="9" t="s">
        <v>6464</v>
      </c>
      <c r="G2371" s="9" t="s">
        <v>6390</v>
      </c>
      <c r="H2371" s="9" t="s">
        <v>6465</v>
      </c>
      <c r="I2371" s="10">
        <v>45565</v>
      </c>
    </row>
    <row r="2372" spans="1:9" x14ac:dyDescent="0.15">
      <c r="A2372" s="9">
        <v>2371</v>
      </c>
      <c r="B2372" s="9" t="s">
        <v>9</v>
      </c>
      <c r="C2372" s="9">
        <v>1915</v>
      </c>
      <c r="D2372" s="10">
        <v>45639</v>
      </c>
      <c r="E2372" s="13" t="str">
        <f>+HYPERLINK("http://trademark.i-assist.jp/data/china/image_1915th/81225981.pdf","81225981")</f>
        <v>81225981</v>
      </c>
      <c r="F2372" s="9" t="s">
        <v>6466</v>
      </c>
      <c r="G2372" s="12" t="s">
        <v>6370</v>
      </c>
      <c r="H2372" s="9" t="s">
        <v>6467</v>
      </c>
      <c r="I2372" s="10">
        <v>45565</v>
      </c>
    </row>
    <row r="2373" spans="1:9" x14ac:dyDescent="0.15">
      <c r="A2373" s="9">
        <v>2372</v>
      </c>
      <c r="B2373" s="9" t="s">
        <v>9</v>
      </c>
      <c r="C2373" s="9">
        <v>1915</v>
      </c>
      <c r="D2373" s="10">
        <v>45639</v>
      </c>
      <c r="E2373" s="13" t="str">
        <f>+HYPERLINK("http://trademark.i-assist.jp/data/china/image_1915th/81226399.pdf","81226399")</f>
        <v>81226399</v>
      </c>
      <c r="F2373" s="9" t="s">
        <v>6468</v>
      </c>
      <c r="G2373" s="9" t="s">
        <v>2678</v>
      </c>
      <c r="H2373" s="9" t="s">
        <v>6469</v>
      </c>
      <c r="I2373" s="10">
        <v>45565</v>
      </c>
    </row>
    <row r="2374" spans="1:9" x14ac:dyDescent="0.15">
      <c r="A2374" s="9">
        <v>2373</v>
      </c>
      <c r="B2374" s="9" t="s">
        <v>9</v>
      </c>
      <c r="C2374" s="9">
        <v>1915</v>
      </c>
      <c r="D2374" s="10">
        <v>45639</v>
      </c>
      <c r="E2374" s="13" t="str">
        <f>+HYPERLINK("http://trademark.i-assist.jp/data/china/image_1915th/81226584.pdf","81226584")</f>
        <v>81226584</v>
      </c>
      <c r="F2374" s="9" t="s">
        <v>6470</v>
      </c>
      <c r="G2374" s="12" t="s">
        <v>6288</v>
      </c>
      <c r="H2374" s="9" t="s">
        <v>6471</v>
      </c>
      <c r="I2374" s="10">
        <v>45565</v>
      </c>
    </row>
    <row r="2375" spans="1:9" x14ac:dyDescent="0.15">
      <c r="A2375" s="9">
        <v>2374</v>
      </c>
      <c r="B2375" s="9" t="s">
        <v>9</v>
      </c>
      <c r="C2375" s="9">
        <v>1915</v>
      </c>
      <c r="D2375" s="10">
        <v>45639</v>
      </c>
      <c r="E2375" s="13" t="str">
        <f>+HYPERLINK("http://trademark.i-assist.jp/data/china/image_1915th/81226626.pdf","81226626")</f>
        <v>81226626</v>
      </c>
      <c r="F2375" s="9" t="s">
        <v>6472</v>
      </c>
      <c r="G2375" s="12" t="s">
        <v>6473</v>
      </c>
      <c r="H2375" s="9" t="s">
        <v>6474</v>
      </c>
      <c r="I2375" s="10">
        <v>45565</v>
      </c>
    </row>
    <row r="2376" spans="1:9" x14ac:dyDescent="0.15">
      <c r="A2376" s="9">
        <v>2375</v>
      </c>
      <c r="B2376" s="9" t="s">
        <v>9</v>
      </c>
      <c r="C2376" s="9">
        <v>1915</v>
      </c>
      <c r="D2376" s="10">
        <v>45639</v>
      </c>
      <c r="E2376" s="13" t="str">
        <f>+HYPERLINK("http://trademark.i-assist.jp/data/china/image_1915th/81227129.pdf","81227129")</f>
        <v>81227129</v>
      </c>
      <c r="F2376" s="9" t="s">
        <v>6475</v>
      </c>
      <c r="G2376" s="9" t="s">
        <v>6476</v>
      </c>
      <c r="H2376" s="9" t="s">
        <v>6477</v>
      </c>
      <c r="I2376" s="10">
        <v>45565</v>
      </c>
    </row>
    <row r="2377" spans="1:9" x14ac:dyDescent="0.15">
      <c r="A2377" s="9">
        <v>2376</v>
      </c>
      <c r="B2377" s="9" t="s">
        <v>9</v>
      </c>
      <c r="C2377" s="9">
        <v>1915</v>
      </c>
      <c r="D2377" s="10">
        <v>45639</v>
      </c>
      <c r="E2377" s="13" t="str">
        <f>+HYPERLINK("http://trademark.i-assist.jp/data/china/image_1915th/81227494.pdf","81227494")</f>
        <v>81227494</v>
      </c>
      <c r="F2377" s="9" t="s">
        <v>6478</v>
      </c>
      <c r="G2377" s="9" t="s">
        <v>6479</v>
      </c>
      <c r="H2377" s="9" t="s">
        <v>6480</v>
      </c>
      <c r="I2377" s="10">
        <v>45565</v>
      </c>
    </row>
    <row r="2378" spans="1:9" x14ac:dyDescent="0.15">
      <c r="A2378" s="9">
        <v>2377</v>
      </c>
      <c r="B2378" s="9" t="s">
        <v>9</v>
      </c>
      <c r="C2378" s="9">
        <v>1915</v>
      </c>
      <c r="D2378" s="10">
        <v>45639</v>
      </c>
      <c r="E2378" s="13" t="str">
        <f>+HYPERLINK("http://trademark.i-assist.jp/data/china/image_1915th/81227943.pdf","81227943")</f>
        <v>81227943</v>
      </c>
      <c r="F2378" s="9" t="s">
        <v>6481</v>
      </c>
      <c r="G2378" s="9" t="s">
        <v>6482</v>
      </c>
      <c r="H2378" s="12" t="s">
        <v>6483</v>
      </c>
      <c r="I2378" s="10">
        <v>45565</v>
      </c>
    </row>
    <row r="2379" spans="1:9" x14ac:dyDescent="0.15">
      <c r="A2379" s="9">
        <v>2378</v>
      </c>
      <c r="B2379" s="9" t="s">
        <v>9</v>
      </c>
      <c r="C2379" s="9">
        <v>1915</v>
      </c>
      <c r="D2379" s="10">
        <v>45639</v>
      </c>
      <c r="E2379" s="13" t="str">
        <f>+HYPERLINK("http://trademark.i-assist.jp/data/china/image_1915th/81228492.pdf","81228492")</f>
        <v>81228492</v>
      </c>
      <c r="F2379" s="12" t="s">
        <v>6484</v>
      </c>
      <c r="G2379" s="9" t="s">
        <v>6485</v>
      </c>
      <c r="H2379" s="9" t="s">
        <v>6486</v>
      </c>
      <c r="I2379" s="10">
        <v>45565</v>
      </c>
    </row>
    <row r="2380" spans="1:9" x14ac:dyDescent="0.15">
      <c r="A2380" s="9">
        <v>2379</v>
      </c>
      <c r="B2380" s="9" t="s">
        <v>9</v>
      </c>
      <c r="C2380" s="9">
        <v>1915</v>
      </c>
      <c r="D2380" s="10">
        <v>45639</v>
      </c>
      <c r="E2380" s="13" t="str">
        <f>+HYPERLINK("http://trademark.i-assist.jp/data/china/image_1915th/81229034.pdf","81229034")</f>
        <v>81229034</v>
      </c>
      <c r="F2380" s="9" t="s">
        <v>6487</v>
      </c>
      <c r="G2380" s="12" t="s">
        <v>64</v>
      </c>
      <c r="H2380" s="9" t="s">
        <v>6488</v>
      </c>
      <c r="I2380" s="10">
        <v>45565</v>
      </c>
    </row>
    <row r="2381" spans="1:9" x14ac:dyDescent="0.15">
      <c r="A2381" s="9">
        <v>2380</v>
      </c>
      <c r="B2381" s="9" t="s">
        <v>9</v>
      </c>
      <c r="C2381" s="9">
        <v>1915</v>
      </c>
      <c r="D2381" s="10">
        <v>45639</v>
      </c>
      <c r="E2381" s="13" t="str">
        <f>+HYPERLINK("http://trademark.i-assist.jp/data/china/image_1915th/81229602.pdf","81229602")</f>
        <v>81229602</v>
      </c>
      <c r="F2381" s="9" t="s">
        <v>6489</v>
      </c>
      <c r="G2381" s="9" t="s">
        <v>6490</v>
      </c>
      <c r="H2381" s="9" t="s">
        <v>6491</v>
      </c>
      <c r="I2381" s="10">
        <v>45565</v>
      </c>
    </row>
    <row r="2382" spans="1:9" x14ac:dyDescent="0.15">
      <c r="A2382" s="9">
        <v>2381</v>
      </c>
      <c r="B2382" s="9" t="s">
        <v>9</v>
      </c>
      <c r="C2382" s="9">
        <v>1915</v>
      </c>
      <c r="D2382" s="10">
        <v>45639</v>
      </c>
      <c r="E2382" s="13" t="str">
        <f>+HYPERLINK("http://trademark.i-assist.jp/data/china/image_1915th/81229985.pdf","81229985")</f>
        <v>81229985</v>
      </c>
      <c r="F2382" s="9" t="s">
        <v>6492</v>
      </c>
      <c r="G2382" s="12" t="s">
        <v>885</v>
      </c>
      <c r="H2382" s="9" t="s">
        <v>6493</v>
      </c>
      <c r="I2382" s="10">
        <v>45565</v>
      </c>
    </row>
    <row r="2383" spans="1:9" x14ac:dyDescent="0.15">
      <c r="A2383" s="9">
        <v>2382</v>
      </c>
      <c r="B2383" s="9" t="s">
        <v>9</v>
      </c>
      <c r="C2383" s="9">
        <v>1915</v>
      </c>
      <c r="D2383" s="10">
        <v>45639</v>
      </c>
      <c r="E2383" s="13" t="str">
        <f>+HYPERLINK("http://trademark.i-assist.jp/data/china/image_1915th/81230205.pdf","81230205")</f>
        <v>81230205</v>
      </c>
      <c r="F2383" s="9" t="s">
        <v>6494</v>
      </c>
      <c r="G2383" s="9" t="s">
        <v>6291</v>
      </c>
      <c r="H2383" s="9" t="s">
        <v>6495</v>
      </c>
      <c r="I2383" s="10">
        <v>45565</v>
      </c>
    </row>
    <row r="2384" spans="1:9" x14ac:dyDescent="0.15">
      <c r="A2384" s="9">
        <v>2383</v>
      </c>
      <c r="B2384" s="9" t="s">
        <v>9</v>
      </c>
      <c r="C2384" s="9">
        <v>1915</v>
      </c>
      <c r="D2384" s="10">
        <v>45639</v>
      </c>
      <c r="E2384" s="13" t="str">
        <f>+HYPERLINK("http://trademark.i-assist.jp/data/china/image_1915th/81230774.pdf","81230774")</f>
        <v>81230774</v>
      </c>
      <c r="F2384" s="9" t="s">
        <v>6496</v>
      </c>
      <c r="G2384" s="12" t="s">
        <v>6497</v>
      </c>
      <c r="H2384" s="9" t="s">
        <v>6498</v>
      </c>
      <c r="I2384" s="10">
        <v>45565</v>
      </c>
    </row>
    <row r="2385" spans="1:9" x14ac:dyDescent="0.15">
      <c r="A2385" s="9">
        <v>2384</v>
      </c>
      <c r="B2385" s="9" t="s">
        <v>9</v>
      </c>
      <c r="C2385" s="9">
        <v>1915</v>
      </c>
      <c r="D2385" s="10">
        <v>45639</v>
      </c>
      <c r="E2385" s="13" t="str">
        <f>+HYPERLINK("http://trademark.i-assist.jp/data/china/image_1915th/81230826.pdf","81230826")</f>
        <v>81230826</v>
      </c>
      <c r="F2385" s="9" t="s">
        <v>6499</v>
      </c>
      <c r="G2385" s="12" t="s">
        <v>6288</v>
      </c>
      <c r="H2385" s="9" t="s">
        <v>6500</v>
      </c>
      <c r="I2385" s="10">
        <v>45565</v>
      </c>
    </row>
    <row r="2386" spans="1:9" x14ac:dyDescent="0.15">
      <c r="A2386" s="9">
        <v>2385</v>
      </c>
      <c r="B2386" s="9" t="s">
        <v>9</v>
      </c>
      <c r="C2386" s="9">
        <v>1915</v>
      </c>
      <c r="D2386" s="10">
        <v>45639</v>
      </c>
      <c r="E2386" s="13" t="str">
        <f>+HYPERLINK("http://trademark.i-assist.jp/data/china/image_1915th/81231797.pdf","81231797")</f>
        <v>81231797</v>
      </c>
      <c r="F2386" s="9" t="s">
        <v>6501</v>
      </c>
      <c r="G2386" s="9" t="s">
        <v>6285</v>
      </c>
      <c r="H2386" s="9" t="s">
        <v>6502</v>
      </c>
      <c r="I2386" s="10">
        <v>45565</v>
      </c>
    </row>
    <row r="2387" spans="1:9" x14ac:dyDescent="0.15">
      <c r="A2387" s="9">
        <v>2386</v>
      </c>
      <c r="B2387" s="9" t="s">
        <v>9</v>
      </c>
      <c r="C2387" s="9">
        <v>1915</v>
      </c>
      <c r="D2387" s="10">
        <v>45639</v>
      </c>
      <c r="E2387" s="13" t="str">
        <f>+HYPERLINK("http://trademark.i-assist.jp/data/china/image_1915th/81232128.pdf","81232128")</f>
        <v>81232128</v>
      </c>
      <c r="F2387" s="9" t="s">
        <v>6503</v>
      </c>
      <c r="G2387" s="9" t="s">
        <v>6504</v>
      </c>
      <c r="H2387" s="9" t="s">
        <v>6505</v>
      </c>
      <c r="I2387" s="10">
        <v>45565</v>
      </c>
    </row>
    <row r="2388" spans="1:9" x14ac:dyDescent="0.15">
      <c r="A2388" s="9">
        <v>2387</v>
      </c>
      <c r="B2388" s="9" t="s">
        <v>9</v>
      </c>
      <c r="C2388" s="9">
        <v>1915</v>
      </c>
      <c r="D2388" s="10">
        <v>45639</v>
      </c>
      <c r="E2388" s="13" t="str">
        <f>+HYPERLINK("http://trademark.i-assist.jp/data/china/image_1915th/81232359.pdf","81232359")</f>
        <v>81232359</v>
      </c>
      <c r="F2388" s="9" t="s">
        <v>6506</v>
      </c>
      <c r="G2388" s="9" t="s">
        <v>4604</v>
      </c>
      <c r="H2388" s="9" t="s">
        <v>6507</v>
      </c>
      <c r="I2388" s="10">
        <v>45565</v>
      </c>
    </row>
    <row r="2389" spans="1:9" x14ac:dyDescent="0.15">
      <c r="A2389" s="9">
        <v>2388</v>
      </c>
      <c r="B2389" s="9" t="s">
        <v>9</v>
      </c>
      <c r="C2389" s="9">
        <v>1915</v>
      </c>
      <c r="D2389" s="10">
        <v>45639</v>
      </c>
      <c r="E2389" s="13" t="str">
        <f>+HYPERLINK("http://trademark.i-assist.jp/data/china/image_1915th/81232435.pdf","81232435")</f>
        <v>81232435</v>
      </c>
      <c r="F2389" s="9" t="s">
        <v>6508</v>
      </c>
      <c r="G2389" s="9" t="s">
        <v>6509</v>
      </c>
      <c r="H2389" s="9" t="s">
        <v>6510</v>
      </c>
      <c r="I2389" s="10">
        <v>45565</v>
      </c>
    </row>
    <row r="2390" spans="1:9" x14ac:dyDescent="0.15">
      <c r="A2390" s="9">
        <v>2389</v>
      </c>
      <c r="B2390" s="9" t="s">
        <v>9</v>
      </c>
      <c r="C2390" s="9">
        <v>1915</v>
      </c>
      <c r="D2390" s="10">
        <v>45639</v>
      </c>
      <c r="E2390" s="13" t="str">
        <f>+HYPERLINK("http://trademark.i-assist.jp/data/china/image_1915th/81232673.pdf","81232673")</f>
        <v>81232673</v>
      </c>
      <c r="F2390" s="12" t="s">
        <v>6511</v>
      </c>
      <c r="G2390" s="9" t="s">
        <v>2678</v>
      </c>
      <c r="H2390" s="9" t="s">
        <v>6512</v>
      </c>
      <c r="I2390" s="10">
        <v>45565</v>
      </c>
    </row>
    <row r="2391" spans="1:9" x14ac:dyDescent="0.15">
      <c r="A2391" s="9">
        <v>2390</v>
      </c>
      <c r="B2391" s="9" t="s">
        <v>9</v>
      </c>
      <c r="C2391" s="9">
        <v>1915</v>
      </c>
      <c r="D2391" s="10">
        <v>45639</v>
      </c>
      <c r="E2391" s="13" t="str">
        <f>+HYPERLINK("http://trademark.i-assist.jp/data/china/image_1915th/81233131.pdf","81233131")</f>
        <v>81233131</v>
      </c>
      <c r="F2391" s="9" t="s">
        <v>6513</v>
      </c>
      <c r="G2391" s="9" t="s">
        <v>6435</v>
      </c>
      <c r="H2391" s="9" t="s">
        <v>6514</v>
      </c>
      <c r="I2391" s="10">
        <v>45565</v>
      </c>
    </row>
    <row r="2392" spans="1:9" x14ac:dyDescent="0.15">
      <c r="A2392" s="9">
        <v>2391</v>
      </c>
      <c r="B2392" s="9" t="s">
        <v>9</v>
      </c>
      <c r="C2392" s="9">
        <v>1915</v>
      </c>
      <c r="D2392" s="10">
        <v>45639</v>
      </c>
      <c r="E2392" s="13" t="str">
        <f>+HYPERLINK("http://trademark.i-assist.jp/data/china/image_1915th/81233328.pdf","81233328")</f>
        <v>81233328</v>
      </c>
      <c r="F2392" s="9" t="s">
        <v>6515</v>
      </c>
      <c r="G2392" s="12" t="s">
        <v>6288</v>
      </c>
      <c r="H2392" s="9" t="s">
        <v>6516</v>
      </c>
      <c r="I2392" s="10">
        <v>45565</v>
      </c>
    </row>
    <row r="2393" spans="1:9" x14ac:dyDescent="0.15">
      <c r="A2393" s="9">
        <v>2392</v>
      </c>
      <c r="B2393" s="9" t="s">
        <v>9</v>
      </c>
      <c r="C2393" s="9">
        <v>1915</v>
      </c>
      <c r="D2393" s="10">
        <v>45639</v>
      </c>
      <c r="E2393" s="13" t="str">
        <f>+HYPERLINK("http://trademark.i-assist.jp/data/china/image_1915th/81233582.pdf","81233582")</f>
        <v>81233582</v>
      </c>
      <c r="F2393" s="9" t="s">
        <v>6517</v>
      </c>
      <c r="G2393" s="9" t="s">
        <v>6518</v>
      </c>
      <c r="H2393" s="9" t="s">
        <v>6519</v>
      </c>
      <c r="I2393" s="10">
        <v>45565</v>
      </c>
    </row>
    <row r="2394" spans="1:9" x14ac:dyDescent="0.15">
      <c r="A2394" s="9">
        <v>2393</v>
      </c>
      <c r="B2394" s="9" t="s">
        <v>9</v>
      </c>
      <c r="C2394" s="9">
        <v>1915</v>
      </c>
      <c r="D2394" s="10">
        <v>45639</v>
      </c>
      <c r="E2394" s="13" t="str">
        <f>+HYPERLINK("http://trademark.i-assist.jp/data/china/image_1915th/81233720.pdf","81233720")</f>
        <v>81233720</v>
      </c>
      <c r="F2394" s="9" t="s">
        <v>6520</v>
      </c>
      <c r="G2394" s="9" t="s">
        <v>6521</v>
      </c>
      <c r="H2394" s="9" t="s">
        <v>6522</v>
      </c>
      <c r="I2394" s="10">
        <v>45565</v>
      </c>
    </row>
    <row r="2395" spans="1:9" x14ac:dyDescent="0.15">
      <c r="A2395" s="9">
        <v>2394</v>
      </c>
      <c r="B2395" s="9" t="s">
        <v>9</v>
      </c>
      <c r="C2395" s="9">
        <v>1915</v>
      </c>
      <c r="D2395" s="10">
        <v>45639</v>
      </c>
      <c r="E2395" s="13" t="str">
        <f>+HYPERLINK("http://trademark.i-assist.jp/data/china/image_1915th/81233752.pdf","81233752")</f>
        <v>81233752</v>
      </c>
      <c r="F2395" s="12" t="s">
        <v>15</v>
      </c>
      <c r="G2395" s="9" t="s">
        <v>6523</v>
      </c>
      <c r="H2395" s="9" t="s">
        <v>6524</v>
      </c>
      <c r="I2395" s="10">
        <v>45565</v>
      </c>
    </row>
    <row r="2396" spans="1:9" x14ac:dyDescent="0.15">
      <c r="A2396" s="9">
        <v>2395</v>
      </c>
      <c r="B2396" s="9" t="s">
        <v>9</v>
      </c>
      <c r="C2396" s="9">
        <v>1915</v>
      </c>
      <c r="D2396" s="10">
        <v>45639</v>
      </c>
      <c r="E2396" s="13" t="str">
        <f>+HYPERLINK("http://trademark.i-assist.jp/data/china/image_1915th/81233927.pdf","81233927")</f>
        <v>81233927</v>
      </c>
      <c r="F2396" s="12" t="s">
        <v>15</v>
      </c>
      <c r="G2396" s="9" t="s">
        <v>6525</v>
      </c>
      <c r="H2396" s="9" t="s">
        <v>6526</v>
      </c>
      <c r="I2396" s="10">
        <v>45573</v>
      </c>
    </row>
    <row r="2397" spans="1:9" x14ac:dyDescent="0.15">
      <c r="A2397" s="9">
        <v>2396</v>
      </c>
      <c r="B2397" s="9" t="s">
        <v>9</v>
      </c>
      <c r="C2397" s="9">
        <v>1915</v>
      </c>
      <c r="D2397" s="10">
        <v>45639</v>
      </c>
      <c r="E2397" s="13" t="str">
        <f>+HYPERLINK("http://trademark.i-assist.jp/data/china/image_1915th/81234594.pdf","81234594")</f>
        <v>81234594</v>
      </c>
      <c r="F2397" s="9" t="s">
        <v>6527</v>
      </c>
      <c r="G2397" s="9" t="s">
        <v>6528</v>
      </c>
      <c r="H2397" s="9" t="s">
        <v>6529</v>
      </c>
      <c r="I2397" s="10">
        <v>45573</v>
      </c>
    </row>
    <row r="2398" spans="1:9" x14ac:dyDescent="0.15">
      <c r="A2398" s="9">
        <v>2397</v>
      </c>
      <c r="B2398" s="9" t="s">
        <v>9</v>
      </c>
      <c r="C2398" s="9">
        <v>1915</v>
      </c>
      <c r="D2398" s="10">
        <v>45639</v>
      </c>
      <c r="E2398" s="13" t="str">
        <f>+HYPERLINK("http://trademark.i-assist.jp/data/china/image_1915th/81234952.pdf","81234952")</f>
        <v>81234952</v>
      </c>
      <c r="F2398" s="12" t="s">
        <v>6530</v>
      </c>
      <c r="G2398" s="9" t="s">
        <v>6531</v>
      </c>
      <c r="H2398" s="12" t="s">
        <v>6532</v>
      </c>
      <c r="I2398" s="10">
        <v>45573</v>
      </c>
    </row>
    <row r="2399" spans="1:9" x14ac:dyDescent="0.15">
      <c r="A2399" s="9">
        <v>2398</v>
      </c>
      <c r="B2399" s="9" t="s">
        <v>9</v>
      </c>
      <c r="C2399" s="9">
        <v>1915</v>
      </c>
      <c r="D2399" s="10">
        <v>45639</v>
      </c>
      <c r="E2399" s="13" t="str">
        <f>+HYPERLINK("http://trademark.i-assist.jp/data/china/image_1915th/81235320.pdf","81235320")</f>
        <v>81235320</v>
      </c>
      <c r="F2399" s="9" t="s">
        <v>6533</v>
      </c>
      <c r="G2399" s="9" t="s">
        <v>6534</v>
      </c>
      <c r="H2399" s="9" t="s">
        <v>6535</v>
      </c>
      <c r="I2399" s="10">
        <v>45573</v>
      </c>
    </row>
    <row r="2400" spans="1:9" x14ac:dyDescent="0.15">
      <c r="A2400" s="9">
        <v>2399</v>
      </c>
      <c r="B2400" s="9" t="s">
        <v>9</v>
      </c>
      <c r="C2400" s="9">
        <v>1915</v>
      </c>
      <c r="D2400" s="10">
        <v>45639</v>
      </c>
      <c r="E2400" s="13" t="str">
        <f>+HYPERLINK("http://trademark.i-assist.jp/data/china/image_1915th/81236257.pdf","81236257")</f>
        <v>81236257</v>
      </c>
      <c r="F2400" s="9" t="s">
        <v>6536</v>
      </c>
      <c r="G2400" s="9" t="s">
        <v>6537</v>
      </c>
      <c r="H2400" s="9" t="s">
        <v>6538</v>
      </c>
      <c r="I2400" s="10">
        <v>45573</v>
      </c>
    </row>
    <row r="2401" spans="1:9" x14ac:dyDescent="0.15">
      <c r="A2401" s="9">
        <v>2400</v>
      </c>
      <c r="B2401" s="9" t="s">
        <v>9</v>
      </c>
      <c r="C2401" s="9">
        <v>1915</v>
      </c>
      <c r="D2401" s="10">
        <v>45639</v>
      </c>
      <c r="E2401" s="13" t="str">
        <f>+HYPERLINK("http://trademark.i-assist.jp/data/china/image_1915th/81237013.pdf","81237013")</f>
        <v>81237013</v>
      </c>
      <c r="F2401" s="12" t="s">
        <v>6539</v>
      </c>
      <c r="G2401" s="12" t="s">
        <v>6540</v>
      </c>
      <c r="H2401" s="9" t="s">
        <v>6541</v>
      </c>
      <c r="I2401" s="10">
        <v>45573</v>
      </c>
    </row>
    <row r="2402" spans="1:9" x14ac:dyDescent="0.15">
      <c r="A2402" s="9">
        <v>2401</v>
      </c>
      <c r="B2402" s="9" t="s">
        <v>9</v>
      </c>
      <c r="C2402" s="9">
        <v>1915</v>
      </c>
      <c r="D2402" s="10">
        <v>45639</v>
      </c>
      <c r="E2402" s="13" t="str">
        <f>+HYPERLINK("http://trademark.i-assist.jp/data/china/image_1915th/81237838.pdf","81237838")</f>
        <v>81237838</v>
      </c>
      <c r="F2402" s="9" t="s">
        <v>6542</v>
      </c>
      <c r="G2402" s="9" t="s">
        <v>6543</v>
      </c>
      <c r="H2402" s="9" t="s">
        <v>6544</v>
      </c>
      <c r="I2402" s="10">
        <v>45573</v>
      </c>
    </row>
    <row r="2403" spans="1:9" x14ac:dyDescent="0.15">
      <c r="A2403" s="9">
        <v>2402</v>
      </c>
      <c r="B2403" s="9" t="s">
        <v>9</v>
      </c>
      <c r="C2403" s="9">
        <v>1915</v>
      </c>
      <c r="D2403" s="10">
        <v>45639</v>
      </c>
      <c r="E2403" s="13" t="str">
        <f>+HYPERLINK("http://trademark.i-assist.jp/data/china/image_1915th/81238039.pdf","81238039")</f>
        <v>81238039</v>
      </c>
      <c r="F2403" s="9" t="s">
        <v>6545</v>
      </c>
      <c r="G2403" s="9" t="s">
        <v>6546</v>
      </c>
      <c r="H2403" s="9" t="s">
        <v>6547</v>
      </c>
      <c r="I2403" s="10">
        <v>45573</v>
      </c>
    </row>
    <row r="2404" spans="1:9" x14ac:dyDescent="0.15">
      <c r="A2404" s="9">
        <v>2403</v>
      </c>
      <c r="B2404" s="9" t="s">
        <v>9</v>
      </c>
      <c r="C2404" s="9">
        <v>1915</v>
      </c>
      <c r="D2404" s="10">
        <v>45639</v>
      </c>
      <c r="E2404" s="13" t="str">
        <f>+HYPERLINK("http://trademark.i-assist.jp/data/china/image_1915th/81238302.pdf","81238302")</f>
        <v>81238302</v>
      </c>
      <c r="F2404" s="9" t="s">
        <v>6548</v>
      </c>
      <c r="G2404" s="12" t="s">
        <v>6549</v>
      </c>
      <c r="H2404" s="9" t="s">
        <v>6550</v>
      </c>
      <c r="I2404" s="10">
        <v>45573</v>
      </c>
    </row>
    <row r="2405" spans="1:9" x14ac:dyDescent="0.15">
      <c r="A2405" s="9">
        <v>2404</v>
      </c>
      <c r="B2405" s="9" t="s">
        <v>9</v>
      </c>
      <c r="C2405" s="9">
        <v>1915</v>
      </c>
      <c r="D2405" s="10">
        <v>45639</v>
      </c>
      <c r="E2405" s="13" t="str">
        <f>+HYPERLINK("http://trademark.i-assist.jp/data/china/image_1915th/81238874.pdf","81238874")</f>
        <v>81238874</v>
      </c>
      <c r="F2405" s="12" t="s">
        <v>6551</v>
      </c>
      <c r="G2405" s="9" t="s">
        <v>6552</v>
      </c>
      <c r="H2405" s="9" t="s">
        <v>6553</v>
      </c>
      <c r="I2405" s="10">
        <v>45573</v>
      </c>
    </row>
    <row r="2406" spans="1:9" x14ac:dyDescent="0.15">
      <c r="A2406" s="9">
        <v>2405</v>
      </c>
      <c r="B2406" s="9" t="s">
        <v>9</v>
      </c>
      <c r="C2406" s="9">
        <v>1915</v>
      </c>
      <c r="D2406" s="10">
        <v>45639</v>
      </c>
      <c r="E2406" s="13" t="str">
        <f>+HYPERLINK("http://trademark.i-assist.jp/data/china/image_1915th/81240515.pdf","81240515")</f>
        <v>81240515</v>
      </c>
      <c r="F2406" s="9" t="s">
        <v>6554</v>
      </c>
      <c r="G2406" s="9" t="s">
        <v>4765</v>
      </c>
      <c r="H2406" s="9" t="s">
        <v>6555</v>
      </c>
      <c r="I2406" s="10">
        <v>45573</v>
      </c>
    </row>
    <row r="2407" spans="1:9" x14ac:dyDescent="0.15">
      <c r="A2407" s="9">
        <v>2406</v>
      </c>
      <c r="B2407" s="9" t="s">
        <v>9</v>
      </c>
      <c r="C2407" s="9">
        <v>1915</v>
      </c>
      <c r="D2407" s="10">
        <v>45639</v>
      </c>
      <c r="E2407" s="13" t="str">
        <f>+HYPERLINK("http://trademark.i-assist.jp/data/china/image_1915th/81240578.pdf","81240578")</f>
        <v>81240578</v>
      </c>
      <c r="F2407" s="9" t="s">
        <v>6556</v>
      </c>
      <c r="G2407" s="9" t="s">
        <v>6557</v>
      </c>
      <c r="H2407" s="9" t="s">
        <v>6558</v>
      </c>
      <c r="I2407" s="10">
        <v>45573</v>
      </c>
    </row>
    <row r="2408" spans="1:9" x14ac:dyDescent="0.15">
      <c r="A2408" s="9">
        <v>2407</v>
      </c>
      <c r="B2408" s="9" t="s">
        <v>9</v>
      </c>
      <c r="C2408" s="9">
        <v>1915</v>
      </c>
      <c r="D2408" s="10">
        <v>45639</v>
      </c>
      <c r="E2408" s="13" t="str">
        <f>+HYPERLINK("http://trademark.i-assist.jp/data/china/image_1915th/81240630.pdf","81240630")</f>
        <v>81240630</v>
      </c>
      <c r="F2408" s="12" t="s">
        <v>6530</v>
      </c>
      <c r="G2408" s="9" t="s">
        <v>6531</v>
      </c>
      <c r="H2408" s="9" t="s">
        <v>6559</v>
      </c>
      <c r="I2408" s="10">
        <v>45573</v>
      </c>
    </row>
    <row r="2409" spans="1:9" x14ac:dyDescent="0.15">
      <c r="A2409" s="9">
        <v>2408</v>
      </c>
      <c r="B2409" s="9" t="s">
        <v>9</v>
      </c>
      <c r="C2409" s="9">
        <v>1915</v>
      </c>
      <c r="D2409" s="10">
        <v>45639</v>
      </c>
      <c r="E2409" s="13" t="str">
        <f>+HYPERLINK("http://trademark.i-assist.jp/data/china/image_1915th/81241145.pdf","81241145")</f>
        <v>81241145</v>
      </c>
      <c r="F2409" s="9" t="s">
        <v>6560</v>
      </c>
      <c r="G2409" s="12" t="s">
        <v>6561</v>
      </c>
      <c r="H2409" s="9" t="s">
        <v>6562</v>
      </c>
      <c r="I2409" s="10">
        <v>45573</v>
      </c>
    </row>
    <row r="2410" spans="1:9" x14ac:dyDescent="0.15">
      <c r="A2410" s="9">
        <v>2409</v>
      </c>
      <c r="B2410" s="9" t="s">
        <v>9</v>
      </c>
      <c r="C2410" s="9">
        <v>1915</v>
      </c>
      <c r="D2410" s="10">
        <v>45639</v>
      </c>
      <c r="E2410" s="13" t="str">
        <f>+HYPERLINK("http://trademark.i-assist.jp/data/china/image_1915th/81242485.pdf","81242485")</f>
        <v>81242485</v>
      </c>
      <c r="F2410" s="12" t="s">
        <v>6563</v>
      </c>
      <c r="G2410" s="9" t="s">
        <v>6564</v>
      </c>
      <c r="H2410" s="12" t="s">
        <v>6565</v>
      </c>
      <c r="I2410" s="10">
        <v>45573</v>
      </c>
    </row>
    <row r="2411" spans="1:9" x14ac:dyDescent="0.15">
      <c r="A2411" s="9">
        <v>2410</v>
      </c>
      <c r="B2411" s="9" t="s">
        <v>9</v>
      </c>
      <c r="C2411" s="9">
        <v>1915</v>
      </c>
      <c r="D2411" s="10">
        <v>45639</v>
      </c>
      <c r="E2411" s="13" t="str">
        <f>+HYPERLINK("http://trademark.i-assist.jp/data/china/image_1915th/81243777.pdf","81243777")</f>
        <v>81243777</v>
      </c>
      <c r="F2411" s="9" t="s">
        <v>6566</v>
      </c>
      <c r="G2411" s="9" t="s">
        <v>6567</v>
      </c>
      <c r="H2411" s="12" t="s">
        <v>6568</v>
      </c>
      <c r="I2411" s="10">
        <v>45573</v>
      </c>
    </row>
    <row r="2412" spans="1:9" x14ac:dyDescent="0.15">
      <c r="A2412" s="9">
        <v>2411</v>
      </c>
      <c r="B2412" s="9" t="s">
        <v>9</v>
      </c>
      <c r="C2412" s="9">
        <v>1915</v>
      </c>
      <c r="D2412" s="10">
        <v>45639</v>
      </c>
      <c r="E2412" s="13" t="str">
        <f>+HYPERLINK("http://trademark.i-assist.jp/data/china/image_1915th/81244756.pdf","81244756")</f>
        <v>81244756</v>
      </c>
      <c r="F2412" s="9" t="s">
        <v>6569</v>
      </c>
      <c r="G2412" s="9" t="s">
        <v>6570</v>
      </c>
      <c r="H2412" s="9" t="s">
        <v>6571</v>
      </c>
      <c r="I2412" s="10">
        <v>45573</v>
      </c>
    </row>
    <row r="2413" spans="1:9" x14ac:dyDescent="0.15">
      <c r="A2413" s="9">
        <v>2412</v>
      </c>
      <c r="B2413" s="9" t="s">
        <v>9</v>
      </c>
      <c r="C2413" s="9">
        <v>1915</v>
      </c>
      <c r="D2413" s="10">
        <v>45639</v>
      </c>
      <c r="E2413" s="13" t="str">
        <f>+HYPERLINK("http://trademark.i-assist.jp/data/china/image_1915th/81245914.pdf","81245914")</f>
        <v>81245914</v>
      </c>
      <c r="F2413" s="9" t="s">
        <v>6572</v>
      </c>
      <c r="G2413" s="9" t="s">
        <v>6573</v>
      </c>
      <c r="H2413" s="9" t="s">
        <v>6574</v>
      </c>
      <c r="I2413" s="10">
        <v>45573</v>
      </c>
    </row>
    <row r="2414" spans="1:9" x14ac:dyDescent="0.15">
      <c r="A2414" s="9">
        <v>2413</v>
      </c>
      <c r="B2414" s="9" t="s">
        <v>9</v>
      </c>
      <c r="C2414" s="9">
        <v>1915</v>
      </c>
      <c r="D2414" s="10">
        <v>45639</v>
      </c>
      <c r="E2414" s="13" t="str">
        <f>+HYPERLINK("http://trademark.i-assist.jp/data/china/image_1915th/81247219.pdf","81247219")</f>
        <v>81247219</v>
      </c>
      <c r="F2414" s="9" t="s">
        <v>6575</v>
      </c>
      <c r="G2414" s="9" t="s">
        <v>6576</v>
      </c>
      <c r="H2414" s="9" t="s">
        <v>6577</v>
      </c>
      <c r="I2414" s="10">
        <v>45573</v>
      </c>
    </row>
    <row r="2415" spans="1:9" x14ac:dyDescent="0.15">
      <c r="A2415" s="9">
        <v>2414</v>
      </c>
      <c r="B2415" s="9" t="s">
        <v>9</v>
      </c>
      <c r="C2415" s="9">
        <v>1915</v>
      </c>
      <c r="D2415" s="10">
        <v>45639</v>
      </c>
      <c r="E2415" s="13" t="str">
        <f>+HYPERLINK("http://trademark.i-assist.jp/data/china/image_1915th/81250106.pdf","81250106")</f>
        <v>81250106</v>
      </c>
      <c r="F2415" s="9" t="s">
        <v>6578</v>
      </c>
      <c r="G2415" s="12" t="s">
        <v>6579</v>
      </c>
      <c r="H2415" s="9" t="s">
        <v>6580</v>
      </c>
      <c r="I2415" s="10">
        <v>45573</v>
      </c>
    </row>
    <row r="2416" spans="1:9" x14ac:dyDescent="0.15">
      <c r="A2416" s="9">
        <v>2415</v>
      </c>
      <c r="B2416" s="9" t="s">
        <v>9</v>
      </c>
      <c r="C2416" s="9">
        <v>1915</v>
      </c>
      <c r="D2416" s="10">
        <v>45639</v>
      </c>
      <c r="E2416" s="13" t="str">
        <f>+HYPERLINK("http://trademark.i-assist.jp/data/china/image_1915th/81250801.pdf","81250801")</f>
        <v>81250801</v>
      </c>
      <c r="F2416" s="12" t="s">
        <v>6581</v>
      </c>
      <c r="G2416" s="9" t="s">
        <v>6582</v>
      </c>
      <c r="H2416" s="9" t="s">
        <v>6583</v>
      </c>
      <c r="I2416" s="10">
        <v>45573</v>
      </c>
    </row>
    <row r="2417" spans="1:9" x14ac:dyDescent="0.15">
      <c r="A2417" s="9">
        <v>2416</v>
      </c>
      <c r="B2417" s="9" t="s">
        <v>9</v>
      </c>
      <c r="C2417" s="9">
        <v>1915</v>
      </c>
      <c r="D2417" s="10">
        <v>45639</v>
      </c>
      <c r="E2417" s="13" t="str">
        <f>+HYPERLINK("http://trademark.i-assist.jp/data/china/image_1915th/81250961.pdf","81250961")</f>
        <v>81250961</v>
      </c>
      <c r="F2417" s="9" t="s">
        <v>6584</v>
      </c>
      <c r="G2417" s="9" t="s">
        <v>6585</v>
      </c>
      <c r="H2417" s="9" t="s">
        <v>6586</v>
      </c>
      <c r="I2417" s="10">
        <v>45573</v>
      </c>
    </row>
    <row r="2418" spans="1:9" x14ac:dyDescent="0.15">
      <c r="A2418" s="9">
        <v>2417</v>
      </c>
      <c r="B2418" s="9" t="s">
        <v>9</v>
      </c>
      <c r="C2418" s="9">
        <v>1915</v>
      </c>
      <c r="D2418" s="10">
        <v>45639</v>
      </c>
      <c r="E2418" s="13" t="str">
        <f>+HYPERLINK("http://trademark.i-assist.jp/data/china/image_1915th/81251029.pdf","81251029")</f>
        <v>81251029</v>
      </c>
      <c r="F2418" s="9" t="s">
        <v>6560</v>
      </c>
      <c r="G2418" s="12" t="s">
        <v>6561</v>
      </c>
      <c r="H2418" s="9" t="s">
        <v>6587</v>
      </c>
      <c r="I2418" s="10">
        <v>45573</v>
      </c>
    </row>
    <row r="2419" spans="1:9" x14ac:dyDescent="0.15">
      <c r="A2419" s="9">
        <v>2418</v>
      </c>
      <c r="B2419" s="9" t="s">
        <v>9</v>
      </c>
      <c r="C2419" s="9">
        <v>1915</v>
      </c>
      <c r="D2419" s="10">
        <v>45639</v>
      </c>
      <c r="E2419" s="13" t="str">
        <f>+HYPERLINK("http://trademark.i-assist.jp/data/china/image_1915th/81251255.pdf","81251255")</f>
        <v>81251255</v>
      </c>
      <c r="F2419" s="12" t="s">
        <v>6588</v>
      </c>
      <c r="G2419" s="9" t="s">
        <v>6589</v>
      </c>
      <c r="H2419" s="9" t="s">
        <v>6590</v>
      </c>
      <c r="I2419" s="10">
        <v>45573</v>
      </c>
    </row>
    <row r="2420" spans="1:9" x14ac:dyDescent="0.15">
      <c r="A2420" s="9">
        <v>2419</v>
      </c>
      <c r="B2420" s="9" t="s">
        <v>9</v>
      </c>
      <c r="C2420" s="9">
        <v>1915</v>
      </c>
      <c r="D2420" s="10">
        <v>45639</v>
      </c>
      <c r="E2420" s="13" t="str">
        <f>+HYPERLINK("http://trademark.i-assist.jp/data/china/image_1915th/81563070.pdf","81563070")</f>
        <v>81563070</v>
      </c>
      <c r="F2420" s="12" t="s">
        <v>6591</v>
      </c>
      <c r="G2420" s="12" t="s">
        <v>6592</v>
      </c>
      <c r="H2420" s="9" t="s">
        <v>6593</v>
      </c>
      <c r="I2420" s="10">
        <v>45589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1915th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2025-03-21T04:37:31Z</dcterms:modified>
</cp:coreProperties>
</file>