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20250410_不足公告期の納品物\"/>
    </mc:Choice>
  </mc:AlternateContent>
  <xr:revisionPtr revIDLastSave="0" documentId="13_ncr:1_{DE10927C-A8AC-439C-A95B-405AE5EE6F0E}" xr6:coauthVersionLast="47" xr6:coauthVersionMax="47" xr10:uidLastSave="{00000000-0000-0000-0000-000000000000}"/>
  <bookViews>
    <workbookView xWindow="4380" yWindow="975" windowWidth="26220" windowHeight="13230" xr2:uid="{00000000-000D-0000-FFFF-FFFF00000000}"/>
  </bookViews>
  <sheets>
    <sheet name="1913th" sheetId="2" r:id="rId1"/>
  </sheets>
  <definedNames>
    <definedName name="_xlnm._FilterDatabase" localSheetId="0" hidden="1">'1913th'!$A$1:$I$1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</calcChain>
</file>

<file path=xl/sharedStrings.xml><?xml version="1.0" encoding="utf-8"?>
<sst xmlns="http://schemas.openxmlformats.org/spreadsheetml/2006/main" count="10334" uniqueCount="4911">
  <si>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</si>
  <si>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</si>
  <si>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</si>
  <si>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</si>
  <si>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</si>
  <si>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</si>
  <si>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</si>
  <si>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</si>
  <si>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</si>
  <si>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</si>
  <si>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1913</t>
  </si>
  <si>
    <t>康养思邈</t>
  </si>
  <si>
    <t>沙地深根</t>
  </si>
  <si>
    <t>情景 酒 樽30</t>
  </si>
  <si>
    <t>宁波方太厨具有限公司</t>
  </si>
  <si>
    <t>山西杏花汾瓷酒厂股份有限公司</t>
  </si>
  <si>
    <t>花清名匠</t>
  </si>
  <si>
    <t>蓓香(广州)科技有限公司</t>
  </si>
  <si>
    <t>OGBF</t>
  </si>
  <si>
    <t>留余百姓</t>
  </si>
  <si>
    <t>鹿千寿</t>
  </si>
  <si>
    <t>BPMAILANG</t>
  </si>
  <si>
    <t>DONG DA MEN</t>
  </si>
  <si>
    <t>DOMUS STAROFSUOL</t>
  </si>
  <si>
    <t>湖北省黄石市御真香食品有限公司</t>
  </si>
  <si>
    <t>七宝金台</t>
  </si>
  <si>
    <t>OVERSEAVER</t>
  </si>
  <si>
    <t>泰富有限公司</t>
  </si>
  <si>
    <t>BARDENS GALERIE</t>
  </si>
  <si>
    <t>疆沙莎</t>
  </si>
  <si>
    <t>工萃</t>
  </si>
  <si>
    <t>西庄春</t>
  </si>
  <si>
    <t>嵃</t>
  </si>
  <si>
    <t>LINDROCK</t>
  </si>
  <si>
    <t>芝迎康</t>
  </si>
  <si>
    <t>林倩伶</t>
  </si>
  <si>
    <t>官谷藏</t>
  </si>
  <si>
    <t>李浩</t>
  </si>
  <si>
    <t>甄朝晋丰</t>
  </si>
  <si>
    <t>潮好味</t>
  </si>
  <si>
    <t>云拓</t>
  </si>
  <si>
    <t>BURNLION</t>
  </si>
  <si>
    <t>舒巍</t>
  </si>
  <si>
    <t>辛金沙</t>
  </si>
  <si>
    <t>森岭念</t>
  </si>
  <si>
    <t>YINGTOU TECHNOLOGY</t>
  </si>
  <si>
    <t>黄冬梅</t>
  </si>
  <si>
    <t>甘从矩</t>
  </si>
  <si>
    <t>天樽客</t>
  </si>
  <si>
    <t>曾文海</t>
  </si>
  <si>
    <t>琢春</t>
  </si>
  <si>
    <t>合肥人行多数字科技有限公司</t>
  </si>
  <si>
    <t>孝行当下</t>
  </si>
  <si>
    <t>李建平</t>
  </si>
  <si>
    <t>永春元和堂</t>
  </si>
  <si>
    <t>高涛</t>
  </si>
  <si>
    <t>无双至上</t>
  </si>
  <si>
    <t>姜道城</t>
  </si>
  <si>
    <t>斛焰</t>
  </si>
  <si>
    <t>金刀葵</t>
  </si>
  <si>
    <t>蔡尚忠</t>
  </si>
  <si>
    <t>谷香道和</t>
  </si>
  <si>
    <t>苟先禄</t>
  </si>
  <si>
    <t>播伶翁</t>
  </si>
  <si>
    <t>JANUE BC</t>
  </si>
  <si>
    <t>嘉瑞得</t>
  </si>
  <si>
    <t>觥筹金爵</t>
  </si>
  <si>
    <t>BB</t>
  </si>
  <si>
    <t>胡雪燕</t>
  </si>
  <si>
    <t>和勇</t>
  </si>
  <si>
    <t>藏福清花</t>
  </si>
  <si>
    <t>丘志达</t>
  </si>
  <si>
    <t>宴客都</t>
  </si>
  <si>
    <t>徐霞冰</t>
  </si>
  <si>
    <t>酩小仙</t>
  </si>
  <si>
    <t>天呈雄</t>
  </si>
  <si>
    <t>唐甜</t>
  </si>
  <si>
    <t>科力蒂卡</t>
  </si>
  <si>
    <t>芙琴坊</t>
  </si>
  <si>
    <t>上海黄金搭档生物科技有限公司</t>
  </si>
  <si>
    <t>黄金酒庄</t>
  </si>
  <si>
    <t>Y30</t>
  </si>
  <si>
    <t>唐斌</t>
  </si>
  <si>
    <t>虎君</t>
  </si>
  <si>
    <t>朱宇</t>
  </si>
  <si>
    <t>洋河福</t>
  </si>
  <si>
    <t>有幸</t>
  </si>
  <si>
    <t>比主</t>
  </si>
  <si>
    <t>六九小院</t>
  </si>
  <si>
    <t>川孜好物</t>
  </si>
  <si>
    <t>王启勇</t>
  </si>
  <si>
    <t>荷雍</t>
  </si>
  <si>
    <t>中国双喜(控股)股份有限公司</t>
  </si>
  <si>
    <t>烟咖</t>
  </si>
  <si>
    <t>金玲</t>
  </si>
  <si>
    <t>踢食官</t>
  </si>
  <si>
    <t>蕞苗</t>
  </si>
  <si>
    <t>疆煜</t>
  </si>
  <si>
    <t>琊寿</t>
  </si>
  <si>
    <t>文武呈祥</t>
  </si>
  <si>
    <t>支小宝</t>
  </si>
  <si>
    <t>内蒙古阿拉善盟蓉善堂科技有限公司</t>
  </si>
  <si>
    <t>越野越</t>
  </si>
  <si>
    <t>乘喜</t>
  </si>
  <si>
    <t>黄竹影</t>
  </si>
  <si>
    <t>薄霜</t>
  </si>
  <si>
    <t>WILD ACRES</t>
  </si>
  <si>
    <t>皇庸醉</t>
  </si>
  <si>
    <t>豫点将</t>
  </si>
  <si>
    <t>青衣嘉礼</t>
  </si>
  <si>
    <t>黄小春</t>
  </si>
  <si>
    <t>香染衣</t>
  </si>
  <si>
    <t>砂田醇</t>
  </si>
  <si>
    <t>BAIHEKANG</t>
  </si>
  <si>
    <t>TREASURE YR TIME</t>
  </si>
  <si>
    <t>黄佳浩</t>
  </si>
  <si>
    <t>曹大明匠香酒匠</t>
  </si>
  <si>
    <t>哆小哥</t>
  </si>
  <si>
    <t>席丹</t>
  </si>
  <si>
    <t>福建省潘氏食品有限公司</t>
  </si>
  <si>
    <t>淘金山</t>
  </si>
  <si>
    <t>益翻天</t>
  </si>
  <si>
    <t>美赫</t>
  </si>
  <si>
    <t>肖国平(***)</t>
  </si>
  <si>
    <t>澄珍液</t>
  </si>
  <si>
    <t>望洋清</t>
  </si>
  <si>
    <t>邱天祥</t>
  </si>
  <si>
    <t>王琴</t>
  </si>
  <si>
    <t>掌天瓶</t>
  </si>
  <si>
    <t>姚祥</t>
  </si>
  <si>
    <t>修楚</t>
  </si>
  <si>
    <t>葛之安</t>
  </si>
  <si>
    <t>蔡明魁</t>
  </si>
  <si>
    <t>青什坊</t>
  </si>
  <si>
    <t>雅喆</t>
  </si>
  <si>
    <t>WPJJ</t>
  </si>
  <si>
    <t>怡怡甜野</t>
  </si>
  <si>
    <t>香未了</t>
  </si>
  <si>
    <t>富津</t>
  </si>
  <si>
    <t>富恩春天</t>
  </si>
  <si>
    <t>广州悠味享食品有限公司</t>
  </si>
  <si>
    <t>南庭悦</t>
  </si>
  <si>
    <t>御九善</t>
  </si>
  <si>
    <t>昌南瓷典</t>
  </si>
  <si>
    <t>茶百道 CHAPANDA</t>
  </si>
  <si>
    <t>周奇松</t>
  </si>
  <si>
    <t>YOOXIAOCOOL</t>
  </si>
  <si>
    <t>德崇福</t>
  </si>
  <si>
    <t>MOSS ROXX</t>
  </si>
  <si>
    <t>塘崖泉</t>
  </si>
  <si>
    <t>年品原 J50</t>
  </si>
  <si>
    <t>HOPEN 宏斌</t>
  </si>
  <si>
    <t>洪崖先生</t>
  </si>
  <si>
    <t>李萌</t>
  </si>
  <si>
    <t>曹松来</t>
  </si>
  <si>
    <t>台云南云</t>
  </si>
  <si>
    <t>SC</t>
  </si>
  <si>
    <t>渝家印象</t>
  </si>
  <si>
    <t>清甫窖池</t>
  </si>
  <si>
    <t>CAVAULNE</t>
  </si>
  <si>
    <t>太平吉方</t>
  </si>
  <si>
    <t>凌井沟</t>
  </si>
  <si>
    <t>鼎真言</t>
  </si>
  <si>
    <t>米健</t>
  </si>
  <si>
    <t>烟色小重九</t>
  </si>
  <si>
    <t>江上叙</t>
  </si>
  <si>
    <t>管文吉</t>
  </si>
  <si>
    <t>众匠台</t>
  </si>
  <si>
    <t>浙江种草咖啡有限公司</t>
  </si>
  <si>
    <t>深圳市胡杰金科技有限公司</t>
  </si>
  <si>
    <t>映岳</t>
  </si>
  <si>
    <t>守珍品</t>
  </si>
  <si>
    <t>汪亮</t>
  </si>
  <si>
    <t>青梅舞</t>
  </si>
  <si>
    <t>黄媛媛</t>
  </si>
  <si>
    <t>酉稇</t>
  </si>
  <si>
    <t>恒湘醇</t>
  </si>
  <si>
    <t>昀公坊</t>
  </si>
  <si>
    <t>桑健将</t>
  </si>
  <si>
    <t>接天</t>
  </si>
  <si>
    <t>叙印</t>
  </si>
  <si>
    <t>健品源河北生物科技有限公司</t>
  </si>
  <si>
    <t>御鹿峰</t>
  </si>
  <si>
    <t>苗萃瑞康</t>
  </si>
  <si>
    <t>唐小琴</t>
  </si>
  <si>
    <t>王守道</t>
  </si>
  <si>
    <t>云中小叙</t>
  </si>
  <si>
    <t>山西心言生物科技有限公司</t>
  </si>
  <si>
    <t>豹林山耳</t>
  </si>
  <si>
    <t>延琨</t>
  </si>
  <si>
    <t>小酌清山坊</t>
  </si>
  <si>
    <t>杭州莱仙生物科技股份有限公司</t>
  </si>
  <si>
    <t>CHANGEGONGZHU</t>
  </si>
  <si>
    <t>景阳秋雨</t>
  </si>
  <si>
    <t>伊城名</t>
  </si>
  <si>
    <t>蚩尤神</t>
  </si>
  <si>
    <t>家潭</t>
  </si>
  <si>
    <t>AUTHENUNIQUE</t>
  </si>
  <si>
    <t>宋云峰</t>
  </si>
  <si>
    <t>OMBODY</t>
  </si>
  <si>
    <t>梁学文</t>
  </si>
  <si>
    <t>最妃</t>
  </si>
  <si>
    <t>胡敏</t>
  </si>
  <si>
    <t>姜公旦</t>
  </si>
  <si>
    <t>卓境</t>
  </si>
  <si>
    <t>李先立</t>
  </si>
  <si>
    <t>李芮子</t>
  </si>
  <si>
    <t>糊涂天工</t>
  </si>
  <si>
    <t>鹿大元</t>
  </si>
  <si>
    <t>方企</t>
  </si>
  <si>
    <t>虞新元</t>
  </si>
  <si>
    <t>虞府我店</t>
  </si>
  <si>
    <t>芙井</t>
  </si>
  <si>
    <t>美兄</t>
  </si>
  <si>
    <t>同森科技(广西)有限公司</t>
  </si>
  <si>
    <t>金延</t>
  </si>
  <si>
    <t>森畾</t>
  </si>
  <si>
    <t>刘磊</t>
  </si>
  <si>
    <t>何川</t>
  </si>
  <si>
    <t>李志磊</t>
  </si>
  <si>
    <t>知相遇</t>
  </si>
  <si>
    <t>展得景</t>
  </si>
  <si>
    <t>高雄</t>
  </si>
  <si>
    <t>杜芳欣</t>
  </si>
  <si>
    <t>肖敏</t>
  </si>
  <si>
    <t>JMVP</t>
  </si>
  <si>
    <t>代建涛</t>
  </si>
  <si>
    <t>BZBW</t>
  </si>
  <si>
    <t>昀朴</t>
  </si>
  <si>
    <t>雅清心</t>
  </si>
  <si>
    <t>方老伯</t>
  </si>
  <si>
    <t>花冠花仙子</t>
  </si>
  <si>
    <t>姜城</t>
  </si>
  <si>
    <t>京喜久</t>
  </si>
  <si>
    <t>沁山河</t>
  </si>
  <si>
    <t>于子惠</t>
  </si>
  <si>
    <t>千素凰</t>
  </si>
  <si>
    <t>波特卡 SAWURBOTKA</t>
  </si>
  <si>
    <t>醉仙仰</t>
  </si>
  <si>
    <t>沐月荷</t>
  </si>
  <si>
    <t>望乾坤</t>
  </si>
  <si>
    <t>古圣荷</t>
  </si>
  <si>
    <t>刘恒</t>
  </si>
  <si>
    <t>赤策</t>
  </si>
  <si>
    <t>星羚</t>
  </si>
  <si>
    <t>得天功</t>
  </si>
  <si>
    <t>沁庄公</t>
  </si>
  <si>
    <t>CHUAN SHI YAO LIN</t>
  </si>
  <si>
    <t>周来卿</t>
  </si>
  <si>
    <t>月夕花晨</t>
  </si>
  <si>
    <t>景芝芝香酒肆</t>
  </si>
  <si>
    <t>医健林</t>
  </si>
  <si>
    <t>ZMVP</t>
  </si>
  <si>
    <t>朔山河</t>
  </si>
  <si>
    <t>印百川</t>
  </si>
  <si>
    <t>柏厨 BORCCI</t>
  </si>
  <si>
    <t>BORCCIHOME</t>
  </si>
  <si>
    <t>真年真古</t>
  </si>
  <si>
    <t>路自冲</t>
  </si>
  <si>
    <t>喜籍</t>
  </si>
  <si>
    <t>山西杏花村汾酒厂股份有限公司</t>
  </si>
  <si>
    <t>杏花村崇</t>
  </si>
  <si>
    <t>杏得我心</t>
  </si>
  <si>
    <t>世著</t>
  </si>
  <si>
    <t>隆窖河</t>
  </si>
  <si>
    <t>CRYSTAIVIBE</t>
  </si>
  <si>
    <t>于紫微</t>
  </si>
  <si>
    <t>稻缸</t>
  </si>
  <si>
    <t>北京 中山公园 BEIJING ZHONGSHAN PARK</t>
  </si>
  <si>
    <t>王一帆</t>
  </si>
  <si>
    <t>自甄</t>
  </si>
  <si>
    <t>芒合久</t>
  </si>
  <si>
    <t>化商1号酒</t>
  </si>
  <si>
    <t>洋河私藏酒</t>
  </si>
  <si>
    <t>厨邦</t>
  </si>
  <si>
    <t>李涛</t>
  </si>
  <si>
    <t>德翰</t>
  </si>
  <si>
    <t>皇寨</t>
  </si>
  <si>
    <t>老厂四珍酒</t>
  </si>
  <si>
    <t>STIR</t>
  </si>
  <si>
    <t>虎峰岭 酒</t>
  </si>
  <si>
    <t>再会杏花村</t>
  </si>
  <si>
    <t>匠如山</t>
  </si>
  <si>
    <t>朝夕蜜蜂家</t>
  </si>
  <si>
    <t>北有海</t>
  </si>
  <si>
    <t>袁克</t>
  </si>
  <si>
    <t>酒海沐歌</t>
  </si>
  <si>
    <t>酌策</t>
  </si>
  <si>
    <t>圣世英雄</t>
  </si>
  <si>
    <t>廖串妹</t>
  </si>
  <si>
    <t>㐼</t>
  </si>
  <si>
    <t>田德富</t>
  </si>
  <si>
    <t>䞐筑</t>
  </si>
  <si>
    <t>朝日酒造株式会社</t>
  </si>
  <si>
    <t>久保田 百寿</t>
  </si>
  <si>
    <t>梅始原鹿</t>
  </si>
  <si>
    <t>微元露</t>
  </si>
  <si>
    <t>澖雅</t>
  </si>
  <si>
    <t>秦君侯</t>
  </si>
  <si>
    <t>乾煜坤</t>
  </si>
  <si>
    <t>章雪雪</t>
  </si>
  <si>
    <t>天方健 TIN FONG KIN</t>
  </si>
  <si>
    <t>佳有品</t>
  </si>
  <si>
    <t>余明亮</t>
  </si>
  <si>
    <t>隽心</t>
  </si>
  <si>
    <t>RENTUMYMRATIH</t>
  </si>
  <si>
    <t>之万戈</t>
  </si>
  <si>
    <t>众冠元</t>
  </si>
  <si>
    <t>努文木仁</t>
  </si>
  <si>
    <t>刘利果</t>
  </si>
  <si>
    <t>原址黑</t>
  </si>
  <si>
    <t>后火</t>
  </si>
  <si>
    <t>楂堆</t>
  </si>
  <si>
    <t>THE FLYING HORSEMAN</t>
  </si>
  <si>
    <t>西岸良</t>
  </si>
  <si>
    <t>李畔畔</t>
  </si>
  <si>
    <t>郭孟杰</t>
  </si>
  <si>
    <t>楼廿</t>
  </si>
  <si>
    <t>曹祥友</t>
  </si>
  <si>
    <t>秦无忌</t>
  </si>
  <si>
    <t>伊名天</t>
  </si>
  <si>
    <t>小酌望清山</t>
  </si>
  <si>
    <t>夏雯婷</t>
  </si>
  <si>
    <t>什九川</t>
  </si>
  <si>
    <t>容瀚</t>
  </si>
  <si>
    <t>盛挺泉</t>
  </si>
  <si>
    <t>酉正志</t>
  </si>
  <si>
    <t>德惠市正通酒厂</t>
  </si>
  <si>
    <t>耿迎春</t>
  </si>
  <si>
    <t>圣主金重九</t>
  </si>
  <si>
    <t>酒笙逸</t>
  </si>
  <si>
    <t>金碧宝月</t>
  </si>
  <si>
    <t>北正街</t>
  </si>
  <si>
    <t>麦法特</t>
  </si>
  <si>
    <t>吴宏浩</t>
  </si>
  <si>
    <t>从乾</t>
  </si>
  <si>
    <t>OMVP</t>
  </si>
  <si>
    <t>HETAOLI</t>
  </si>
  <si>
    <t>昆炁</t>
  </si>
  <si>
    <t>河南九福管理有限公司</t>
  </si>
  <si>
    <t>十城香青酩</t>
  </si>
  <si>
    <t>吉香夫人</t>
  </si>
  <si>
    <t>樊建港</t>
  </si>
  <si>
    <t>DEDI</t>
  </si>
  <si>
    <t>五邑坊</t>
  </si>
  <si>
    <t>名公悟空</t>
  </si>
  <si>
    <t>MARK SHACK</t>
  </si>
  <si>
    <t>禧大福</t>
  </si>
  <si>
    <t>露V粮</t>
  </si>
  <si>
    <t>蒂忠禾</t>
  </si>
  <si>
    <t>古蜀州</t>
  </si>
  <si>
    <t>疆萃</t>
  </si>
  <si>
    <t>李家宝</t>
  </si>
  <si>
    <t>觥筹星耀</t>
  </si>
  <si>
    <t>虔黔</t>
  </si>
  <si>
    <t>美人恩</t>
  </si>
  <si>
    <t>刘涛</t>
  </si>
  <si>
    <t>梁云志</t>
  </si>
  <si>
    <t>觥筹金尊</t>
  </si>
  <si>
    <t>金萸</t>
  </si>
  <si>
    <t>山水功夫熊猫</t>
  </si>
  <si>
    <t>北大荒老粮票</t>
  </si>
  <si>
    <t>双喜(浙江)食品有限公司</t>
  </si>
  <si>
    <t>知</t>
  </si>
  <si>
    <t>夕夏</t>
  </si>
  <si>
    <t>SISICAT</t>
  </si>
  <si>
    <t>董七叔</t>
  </si>
  <si>
    <t>稻解</t>
  </si>
  <si>
    <t>王坤</t>
  </si>
  <si>
    <t>衡沐阳</t>
  </si>
  <si>
    <t>九酩侯</t>
  </si>
  <si>
    <t>苗寿道</t>
  </si>
  <si>
    <t>典呈</t>
  </si>
  <si>
    <t>文冠小神童</t>
  </si>
  <si>
    <t>新谷酒造株式会社</t>
  </si>
  <si>
    <t>WAKAMUSUME</t>
  </si>
  <si>
    <t>殿熙</t>
  </si>
  <si>
    <t>熙曌</t>
  </si>
  <si>
    <t>云露天</t>
  </si>
  <si>
    <t>黄清</t>
  </si>
  <si>
    <t>SVN</t>
  </si>
  <si>
    <t>鑫福运</t>
  </si>
  <si>
    <t>古色荷</t>
  </si>
  <si>
    <t>倍那</t>
  </si>
  <si>
    <t>四福潭</t>
  </si>
  <si>
    <t>杜坦</t>
  </si>
  <si>
    <t>碧辞</t>
  </si>
  <si>
    <t>吴雪平</t>
  </si>
  <si>
    <t>方七公</t>
  </si>
  <si>
    <t>叶阳天</t>
  </si>
  <si>
    <t>胡力</t>
  </si>
  <si>
    <t>叶竹增</t>
  </si>
  <si>
    <t>天壤老</t>
  </si>
  <si>
    <t>快客达</t>
  </si>
  <si>
    <t>HUANGTAITAI</t>
  </si>
  <si>
    <t>中大星</t>
  </si>
  <si>
    <t>森系食</t>
  </si>
  <si>
    <t>胡星竹</t>
  </si>
  <si>
    <t>BIHKO</t>
  </si>
  <si>
    <t>AODL</t>
  </si>
  <si>
    <t>NICHE DE TORRE ORIA</t>
  </si>
  <si>
    <t>王楚林</t>
  </si>
  <si>
    <t>天韵御品</t>
  </si>
  <si>
    <t>又会杏花村</t>
  </si>
  <si>
    <t>力文</t>
  </si>
  <si>
    <t>善多多</t>
  </si>
  <si>
    <t>份</t>
  </si>
  <si>
    <t>杏花村盛世典藏</t>
  </si>
  <si>
    <t>孔家榨屋</t>
  </si>
  <si>
    <t>杏定</t>
  </si>
  <si>
    <t>姜梦迪</t>
  </si>
  <si>
    <t>西域辞</t>
  </si>
  <si>
    <t>酒 GUNIANGYE</t>
  </si>
  <si>
    <t>仙可俏 FAIRY ANGEL</t>
  </si>
  <si>
    <t>BELLINI CIPRIANI</t>
  </si>
  <si>
    <t>荷誉</t>
  </si>
  <si>
    <t>气运天承</t>
  </si>
  <si>
    <t>吴坤德</t>
  </si>
  <si>
    <t>音波水舞</t>
  </si>
  <si>
    <t>客味大叔</t>
  </si>
  <si>
    <t>SOUND TEACHER</t>
  </si>
  <si>
    <t>禹池老白干大青花</t>
  </si>
  <si>
    <t>中花云花金重九</t>
  </si>
  <si>
    <t>FJER</t>
  </si>
  <si>
    <t>芸椹</t>
  </si>
  <si>
    <t>唐朝圣粮</t>
  </si>
  <si>
    <t>毅熹醴</t>
  </si>
  <si>
    <t>肆月初</t>
  </si>
  <si>
    <t>逐松</t>
  </si>
  <si>
    <t>酒奉川</t>
  </si>
  <si>
    <t>春昀</t>
  </si>
  <si>
    <t>茂道</t>
  </si>
  <si>
    <t>唐杰</t>
  </si>
  <si>
    <t>花茂迎春酒</t>
  </si>
  <si>
    <t>宏雅川竹青</t>
  </si>
  <si>
    <t>艾特猫</t>
  </si>
  <si>
    <t>日落山海</t>
  </si>
  <si>
    <t>盛正国</t>
  </si>
  <si>
    <t>甘弋</t>
  </si>
  <si>
    <t>晋佬关</t>
  </si>
  <si>
    <t>SERENITY BLEND</t>
  </si>
  <si>
    <t>万霓</t>
  </si>
  <si>
    <t>秋汁怡</t>
  </si>
  <si>
    <t>ELAIGE STAR</t>
  </si>
  <si>
    <t>佛山市徒客云科技有限公司</t>
  </si>
  <si>
    <t>徒客</t>
  </si>
  <si>
    <t>美香盛</t>
  </si>
  <si>
    <t>王蓉</t>
  </si>
  <si>
    <t>入五行</t>
  </si>
  <si>
    <t>陶孟方</t>
  </si>
  <si>
    <t>河南工学院</t>
  </si>
  <si>
    <t>河南工学院 HENAN INSTITUTE OF TECHNOLOGY 1975</t>
  </si>
  <si>
    <t>ALLINY</t>
  </si>
  <si>
    <t>云潭</t>
  </si>
  <si>
    <t>鑫运草</t>
  </si>
  <si>
    <t>合生山海云谷</t>
  </si>
  <si>
    <t>六居址</t>
  </si>
  <si>
    <t>松盟嵩珍</t>
  </si>
  <si>
    <t>深圳市途有好伴数字科技有限公司</t>
  </si>
  <si>
    <t>互佑海拔</t>
  </si>
  <si>
    <t>彭国宗</t>
  </si>
  <si>
    <t>敬初</t>
  </si>
  <si>
    <t>水花音秋</t>
  </si>
  <si>
    <t>泬阳</t>
  </si>
  <si>
    <t>瓴花</t>
  </si>
  <si>
    <t>南京光裕者智能科技有限公司</t>
  </si>
  <si>
    <t>沽鹿景</t>
  </si>
  <si>
    <t>真年古</t>
  </si>
  <si>
    <t>致</t>
  </si>
  <si>
    <t>皇品天韵</t>
  </si>
  <si>
    <t>田思宇</t>
  </si>
  <si>
    <t>修口</t>
  </si>
  <si>
    <t>上海九由健康管理有限公司</t>
  </si>
  <si>
    <t>AIMAS SFI</t>
  </si>
  <si>
    <t>天擎柱</t>
  </si>
  <si>
    <t>中福稻</t>
  </si>
  <si>
    <t>青花武</t>
  </si>
  <si>
    <t>夏启王</t>
  </si>
  <si>
    <t>烟夫人</t>
  </si>
  <si>
    <t>徐小容</t>
  </si>
  <si>
    <t>桗</t>
  </si>
  <si>
    <t>JIABAIXIN</t>
  </si>
  <si>
    <t>福菊秋露</t>
  </si>
  <si>
    <t>郭立朋</t>
  </si>
  <si>
    <t>百粮云水瓶</t>
  </si>
  <si>
    <t>懂秋毫</t>
  </si>
  <si>
    <t>李彦</t>
  </si>
  <si>
    <t>湖畔辞</t>
  </si>
  <si>
    <t>古墨荷</t>
  </si>
  <si>
    <t>PMVP</t>
  </si>
  <si>
    <t>潘崇波</t>
  </si>
  <si>
    <t>少康非凡巨匠</t>
  </si>
  <si>
    <t>韶知客</t>
  </si>
  <si>
    <t>菩楽美</t>
  </si>
  <si>
    <t>方浩</t>
  </si>
  <si>
    <t>梁福燕</t>
  </si>
  <si>
    <t>仁匠合</t>
  </si>
  <si>
    <t>董娟</t>
  </si>
  <si>
    <t>杏昇竹</t>
  </si>
  <si>
    <t>古曲思花府</t>
  </si>
  <si>
    <t>九月令</t>
  </si>
  <si>
    <t>秦素珍</t>
  </si>
  <si>
    <t>宗秀</t>
  </si>
  <si>
    <t>刘卓育</t>
  </si>
  <si>
    <t>蟾道</t>
  </si>
  <si>
    <t>月影流香</t>
  </si>
  <si>
    <t>黄日俊</t>
  </si>
  <si>
    <t>翟文斌</t>
  </si>
  <si>
    <t>蜀册</t>
  </si>
  <si>
    <t>深圳旌佳科技有限公司</t>
  </si>
  <si>
    <t>都幸</t>
  </si>
  <si>
    <t>招曲</t>
  </si>
  <si>
    <t>醉九省</t>
  </si>
  <si>
    <t>/</t>
  </si>
  <si>
    <t>MIRAVIDA INSPIRED BY FLOWERS</t>
  </si>
  <si>
    <t>雅西来客</t>
  </si>
  <si>
    <t>北院7号</t>
  </si>
  <si>
    <t>桂林市小虹酥食品管理有限公司</t>
  </si>
  <si>
    <t>小虹酥</t>
  </si>
  <si>
    <t>GENESIS POETRY</t>
  </si>
  <si>
    <t>承品台</t>
  </si>
  <si>
    <t>州小帽台</t>
  </si>
  <si>
    <t>黄河宏运 酒</t>
  </si>
  <si>
    <t>宁夏泰富能源有限公司</t>
  </si>
  <si>
    <t>米歌小柚然</t>
  </si>
  <si>
    <t>米歌小荔志</t>
  </si>
  <si>
    <t>大禧承</t>
  </si>
  <si>
    <t>酒行万里</t>
  </si>
  <si>
    <t>垣臻</t>
  </si>
  <si>
    <t>霍莉平</t>
  </si>
  <si>
    <t>刘喜博</t>
  </si>
  <si>
    <t>体冠</t>
  </si>
  <si>
    <t>禹脉</t>
  </si>
  <si>
    <t>安泰溪源坊</t>
  </si>
  <si>
    <t>匡王小重九</t>
  </si>
  <si>
    <t>万中舸</t>
  </si>
  <si>
    <t>甽</t>
  </si>
  <si>
    <t>仙俸台</t>
  </si>
  <si>
    <t>白云谷</t>
  </si>
  <si>
    <t>李俊</t>
  </si>
  <si>
    <t>五台峰</t>
  </si>
  <si>
    <t>金戈</t>
  </si>
  <si>
    <t>众著</t>
  </si>
  <si>
    <t>德生渡</t>
  </si>
  <si>
    <t>王玉国</t>
  </si>
  <si>
    <t>盖世傲立</t>
  </si>
  <si>
    <t>楼卅</t>
  </si>
  <si>
    <t>王意</t>
  </si>
  <si>
    <t>分醴</t>
  </si>
  <si>
    <t>天命荣耀悟空</t>
  </si>
  <si>
    <t>杞臣</t>
  </si>
  <si>
    <t>超巨</t>
  </si>
  <si>
    <t>汾酒花宴</t>
  </si>
  <si>
    <t>汾酒竹叶青 酒</t>
  </si>
  <si>
    <t>金樽宸</t>
  </si>
  <si>
    <t>复圣儒商</t>
  </si>
  <si>
    <t>囍秀才</t>
  </si>
  <si>
    <t>HONGSHIFANG</t>
  </si>
  <si>
    <t>煮酒知己</t>
  </si>
  <si>
    <t>衍五十</t>
  </si>
  <si>
    <t>李世才(***)</t>
  </si>
  <si>
    <t>杜甫客至</t>
  </si>
  <si>
    <t>峻霖</t>
  </si>
  <si>
    <t>秋木溪</t>
  </si>
  <si>
    <t>范博宇</t>
  </si>
  <si>
    <t>YMVP</t>
  </si>
  <si>
    <t>白会芹</t>
  </si>
  <si>
    <t>裕中福</t>
  </si>
  <si>
    <t>醉里梦回</t>
  </si>
  <si>
    <t>共尊五岳</t>
  </si>
  <si>
    <t>矞采</t>
  </si>
  <si>
    <t>黄金珠</t>
  </si>
  <si>
    <t>久九芝王</t>
  </si>
  <si>
    <t>BERDY</t>
  </si>
  <si>
    <t>恒懿坊</t>
  </si>
  <si>
    <t>属相</t>
  </si>
  <si>
    <t>M THEMERCHANTS</t>
  </si>
  <si>
    <t>高明海葡萄酒公司</t>
  </si>
  <si>
    <t>COMENGE</t>
  </si>
  <si>
    <t>杏运之星</t>
  </si>
  <si>
    <t>滕亮</t>
  </si>
  <si>
    <t>双帝</t>
  </si>
  <si>
    <t>柏厨家居 BORCCI HOME</t>
  </si>
  <si>
    <t>三溪金樽</t>
  </si>
  <si>
    <t>王理勇</t>
  </si>
  <si>
    <t>祝友台</t>
  </si>
  <si>
    <t>古酒侠</t>
  </si>
  <si>
    <t>乘御</t>
  </si>
  <si>
    <t>鹿呦山白鹿</t>
  </si>
  <si>
    <t>沈永全</t>
  </si>
  <si>
    <t>爪上爪</t>
  </si>
  <si>
    <t>快活林</t>
  </si>
  <si>
    <t>HSF</t>
  </si>
  <si>
    <t>臻益善</t>
  </si>
  <si>
    <t>成科北</t>
  </si>
  <si>
    <t>QIAOZHIOLDSEDAN</t>
  </si>
  <si>
    <t>醉白清荷</t>
  </si>
  <si>
    <t>富精</t>
  </si>
  <si>
    <t>粤首宝粤宴</t>
  </si>
  <si>
    <t>LSCB CHATEAU VERT</t>
  </si>
  <si>
    <t>李宇阳</t>
  </si>
  <si>
    <t>BLIB</t>
  </si>
  <si>
    <t>酌窖台</t>
  </si>
  <si>
    <t>楴</t>
  </si>
  <si>
    <t>彭元樟</t>
  </si>
  <si>
    <t>易延</t>
  </si>
  <si>
    <t>酌慢青</t>
  </si>
  <si>
    <t>桂叶匠心</t>
  </si>
  <si>
    <t>潘礼金</t>
  </si>
  <si>
    <t>枝何意</t>
  </si>
  <si>
    <t>喜日子</t>
  </si>
  <si>
    <t>李焱</t>
  </si>
  <si>
    <t>恒小河</t>
  </si>
  <si>
    <t>紫气凌霄</t>
  </si>
  <si>
    <t>醉星城</t>
  </si>
  <si>
    <t>KANBETH</t>
  </si>
  <si>
    <t>山宇·邂逅</t>
  </si>
  <si>
    <t>照旺秋月</t>
  </si>
  <si>
    <t>李菊梅</t>
  </si>
  <si>
    <t>沂丞相</t>
  </si>
  <si>
    <t>王条健</t>
  </si>
  <si>
    <t>HE</t>
  </si>
  <si>
    <t>吉林省富御参茸有限公司</t>
  </si>
  <si>
    <t>吉鹿康源</t>
  </si>
  <si>
    <t>雨打芭蕉</t>
  </si>
  <si>
    <t>四川郎酒股份有限公司</t>
  </si>
  <si>
    <t>青云伍拾</t>
  </si>
  <si>
    <t>HOLYHOMELY</t>
  </si>
  <si>
    <t>SCIFTO</t>
  </si>
  <si>
    <t>衢州市仙弈柯山文旅有限公司</t>
  </si>
  <si>
    <t>俄莱格</t>
  </si>
  <si>
    <t>上海迦曜科技有限公司</t>
  </si>
  <si>
    <t>广晗堂</t>
  </si>
  <si>
    <t>晋杜</t>
  </si>
  <si>
    <t>稻香榷</t>
  </si>
  <si>
    <t>程波</t>
  </si>
  <si>
    <t>循前</t>
  </si>
  <si>
    <t>佘山七宝</t>
  </si>
  <si>
    <t>粮好食代</t>
  </si>
  <si>
    <t>蓉祖</t>
  </si>
  <si>
    <t>黄心茹</t>
  </si>
  <si>
    <t>疆心域</t>
  </si>
  <si>
    <t>GUO A JIANG JIU</t>
  </si>
  <si>
    <t>芳昕</t>
  </si>
  <si>
    <t>TRICUR</t>
  </si>
  <si>
    <t>北京修竹科技有限公司</t>
  </si>
  <si>
    <t>修竹</t>
  </si>
  <si>
    <t>励史</t>
  </si>
  <si>
    <t>葡天富桂</t>
  </si>
  <si>
    <t>今牌坊</t>
  </si>
  <si>
    <t>内蒙古牧哲食品有限公司</t>
  </si>
  <si>
    <t>蒙家大哥</t>
  </si>
  <si>
    <t>民族匠心品牌管理(北京)有限公司</t>
  </si>
  <si>
    <t>恩一原</t>
  </si>
  <si>
    <t>黔恩台</t>
  </si>
  <si>
    <t>四季民福</t>
  </si>
  <si>
    <t>超仙米酒</t>
  </si>
  <si>
    <t>洛阳希望生物科技有限公司</t>
  </si>
  <si>
    <t>柔好运</t>
  </si>
  <si>
    <t>景阳瑞雪</t>
  </si>
  <si>
    <t>伊都</t>
  </si>
  <si>
    <t>半生梦境</t>
  </si>
  <si>
    <t>高策</t>
  </si>
  <si>
    <t>官谷雅</t>
  </si>
  <si>
    <t>WESTLOUIS</t>
  </si>
  <si>
    <t>苗妹娃</t>
  </si>
  <si>
    <t>亭晋弈</t>
  </si>
  <si>
    <t>林德洛克</t>
  </si>
  <si>
    <t>德鑫全</t>
  </si>
  <si>
    <t>金奥宁</t>
  </si>
  <si>
    <t>DRUNKEN APE</t>
  </si>
  <si>
    <t>四川星崛科技有限公司</t>
  </si>
  <si>
    <t>戈菲夫</t>
  </si>
  <si>
    <t>MUZDEK</t>
  </si>
  <si>
    <t>浙江昀霸工具有限公司</t>
  </si>
  <si>
    <t>昀霸</t>
  </si>
  <si>
    <t>千竹之源</t>
  </si>
  <si>
    <t>陶炳亮</t>
  </si>
  <si>
    <t>徽里</t>
  </si>
  <si>
    <t>祉康</t>
  </si>
  <si>
    <t>持盈保泰</t>
  </si>
  <si>
    <t>敬境</t>
  </si>
  <si>
    <t>温人心</t>
  </si>
  <si>
    <t>宣香婷</t>
  </si>
  <si>
    <t>荀大嫂</t>
  </si>
  <si>
    <t>AURORIELIS</t>
  </si>
  <si>
    <t>向光玖</t>
  </si>
  <si>
    <t>河南仁仁品牌管理有限公司</t>
  </si>
  <si>
    <t>四川健必佳生物科技有限公司</t>
  </si>
  <si>
    <t>健必佳</t>
  </si>
  <si>
    <t>雷品</t>
  </si>
  <si>
    <t>群厨聚</t>
  </si>
  <si>
    <t>潘保端</t>
  </si>
  <si>
    <t>泥林谷香</t>
  </si>
  <si>
    <t>山野渝府</t>
  </si>
  <si>
    <t>蒙茶敬酒</t>
  </si>
  <si>
    <t>余味成花</t>
  </si>
  <si>
    <t>夫王空</t>
  </si>
  <si>
    <t>麦穗柒佰</t>
  </si>
  <si>
    <t>修文阳明文化管理有限公司</t>
  </si>
  <si>
    <t>MIIEO°HOME</t>
  </si>
  <si>
    <t>AWAKEN SEEDS</t>
  </si>
  <si>
    <t>温彦国</t>
  </si>
  <si>
    <t>若安食方</t>
  </si>
  <si>
    <t>鼐尊</t>
  </si>
  <si>
    <t>王涛</t>
  </si>
  <si>
    <t>添岳</t>
  </si>
  <si>
    <t>汾酒</t>
  </si>
  <si>
    <t>章韵</t>
  </si>
  <si>
    <t>MACCAHDPA</t>
  </si>
  <si>
    <t>咖力提斯</t>
  </si>
  <si>
    <t>万治宇</t>
  </si>
  <si>
    <t>汾酒魂</t>
  </si>
  <si>
    <t>黔帖</t>
  </si>
  <si>
    <t>酉丞</t>
  </si>
  <si>
    <t>段霖</t>
  </si>
  <si>
    <t>花乙己</t>
  </si>
  <si>
    <t>翠密</t>
  </si>
  <si>
    <t>荀野</t>
  </si>
  <si>
    <t>深圳市古草方健康科技有限公司</t>
  </si>
  <si>
    <t>古草芳</t>
  </si>
  <si>
    <t>福杰福点</t>
  </si>
  <si>
    <t>宜格</t>
  </si>
  <si>
    <t>金戟戈</t>
  </si>
  <si>
    <t>倬</t>
  </si>
  <si>
    <t>米歌小橙心</t>
  </si>
  <si>
    <t>洞卅</t>
  </si>
  <si>
    <t>醺湃</t>
  </si>
  <si>
    <t>富士美人</t>
  </si>
  <si>
    <t>二十四功夫 TWENTY FOUR KUNG FU</t>
  </si>
  <si>
    <t>杏花村德</t>
  </si>
  <si>
    <t>奉擎</t>
  </si>
  <si>
    <t>半江渡</t>
  </si>
  <si>
    <t>映月荷</t>
  </si>
  <si>
    <t>古瓷荷</t>
  </si>
  <si>
    <t>千羊鑫源</t>
  </si>
  <si>
    <t>圪逞</t>
  </si>
  <si>
    <t>茆塘八珍坊</t>
  </si>
  <si>
    <t>娥嫚姑娘</t>
  </si>
  <si>
    <t>留余魁</t>
  </si>
  <si>
    <t>碧望舒</t>
  </si>
  <si>
    <t>福建省有零有食科技有限公司</t>
  </si>
  <si>
    <t>有个果源</t>
  </si>
  <si>
    <t>江山佳</t>
  </si>
  <si>
    <t>孟春雷</t>
  </si>
  <si>
    <t>井穗香</t>
  </si>
  <si>
    <t>祁桂明</t>
  </si>
  <si>
    <t>雄途</t>
  </si>
  <si>
    <t>李敏</t>
  </si>
  <si>
    <t>王浩楠</t>
  </si>
  <si>
    <t>薏笑</t>
  </si>
  <si>
    <t>幸福五指</t>
  </si>
  <si>
    <t>沈园园</t>
  </si>
  <si>
    <t>囍主角</t>
  </si>
  <si>
    <t>少康非凡工匠</t>
  </si>
  <si>
    <t>余江</t>
  </si>
  <si>
    <t>李小酣</t>
  </si>
  <si>
    <t>君希</t>
  </si>
  <si>
    <t>王静</t>
  </si>
  <si>
    <t>LILIAS ACTIVE</t>
  </si>
  <si>
    <t>悍仕</t>
  </si>
  <si>
    <t>秦治林</t>
  </si>
  <si>
    <t>雨臻</t>
  </si>
  <si>
    <t>今叭</t>
  </si>
  <si>
    <t>泰多福</t>
  </si>
  <si>
    <t>汾</t>
  </si>
  <si>
    <t>余楚玲</t>
  </si>
  <si>
    <t>上海翰猿科技有限公司</t>
  </si>
  <si>
    <t>ELECTRO X 粒刻</t>
  </si>
  <si>
    <t>奝京台</t>
  </si>
  <si>
    <t>洋河定制</t>
  </si>
  <si>
    <t>滇西玉谷</t>
  </si>
  <si>
    <t>冉健</t>
  </si>
  <si>
    <t>浙乾</t>
  </si>
  <si>
    <t>刘曙光</t>
  </si>
  <si>
    <t>勾夏</t>
  </si>
  <si>
    <t>大蒲人家</t>
  </si>
  <si>
    <t>刘病已</t>
  </si>
  <si>
    <t>醇湘令</t>
  </si>
  <si>
    <t>蒙园昇</t>
  </si>
  <si>
    <t>印象宋元</t>
  </si>
  <si>
    <t>星禾瑞露酒</t>
  </si>
  <si>
    <t>念集</t>
  </si>
  <si>
    <t>宜人吉</t>
  </si>
  <si>
    <t>昀百福</t>
  </si>
  <si>
    <t>日枯白</t>
  </si>
  <si>
    <t>卜英豪</t>
  </si>
  <si>
    <t>昀源</t>
  </si>
  <si>
    <t>吴露萍</t>
  </si>
  <si>
    <t>阿占抱</t>
  </si>
  <si>
    <t>蒋黎君</t>
  </si>
  <si>
    <t>RIT</t>
  </si>
  <si>
    <t>取天功</t>
  </si>
  <si>
    <t>JY 万媛</t>
  </si>
  <si>
    <t>半月棠</t>
  </si>
  <si>
    <t>千草亳酒</t>
  </si>
  <si>
    <t>久久壹将</t>
  </si>
  <si>
    <t>道前</t>
  </si>
  <si>
    <t>妙偶良辰</t>
  </si>
  <si>
    <t>且言</t>
  </si>
  <si>
    <t>瑞致酒行</t>
  </si>
  <si>
    <t>崇牌</t>
  </si>
  <si>
    <t>刘昌琴</t>
  </si>
  <si>
    <t>林城王子酒</t>
  </si>
  <si>
    <t>隆和</t>
  </si>
  <si>
    <t>泰伯王子酒</t>
  </si>
  <si>
    <t>杏花村</t>
  </si>
  <si>
    <t>王磊</t>
  </si>
  <si>
    <t>郇河</t>
  </si>
  <si>
    <t>福建恩久恒心品牌管理有限公司</t>
  </si>
  <si>
    <t>王新建</t>
  </si>
  <si>
    <t>五重天</t>
  </si>
  <si>
    <t>OROVEL</t>
  </si>
  <si>
    <t>OODEEY</t>
  </si>
  <si>
    <t>鹿呦山呦呦酒</t>
  </si>
  <si>
    <t>刘仁宇</t>
  </si>
  <si>
    <t>VOOKONG</t>
  </si>
  <si>
    <t>古曲梦花府</t>
  </si>
  <si>
    <t>沙湖</t>
  </si>
  <si>
    <t>杭州昱白生物科技有限公司</t>
  </si>
  <si>
    <t>VETWISH</t>
  </si>
  <si>
    <t>卭</t>
  </si>
  <si>
    <t>旺叶情</t>
  </si>
  <si>
    <t>斜阳里</t>
  </si>
  <si>
    <t>鹿养舒</t>
  </si>
  <si>
    <t>男虎</t>
  </si>
  <si>
    <t>岳家大院</t>
  </si>
  <si>
    <t>君仙品</t>
  </si>
  <si>
    <t>一湖半</t>
  </si>
  <si>
    <t>朱万国</t>
  </si>
  <si>
    <t>沈粮洞</t>
  </si>
  <si>
    <t>郎冬冬</t>
  </si>
  <si>
    <t>VTOP</t>
  </si>
  <si>
    <t>宝霞液</t>
  </si>
  <si>
    <t>踢罐</t>
  </si>
  <si>
    <t>名客品</t>
  </si>
  <si>
    <t>肖彦姣</t>
  </si>
  <si>
    <t>姜良侠</t>
  </si>
  <si>
    <t>蔡建章</t>
  </si>
  <si>
    <t>毓味坊</t>
  </si>
  <si>
    <t>事敬</t>
  </si>
  <si>
    <t>明之文之万家共享</t>
  </si>
  <si>
    <t>QCLL 青春力量</t>
  </si>
  <si>
    <t>沈靖淳</t>
  </si>
  <si>
    <t>慈明谷</t>
  </si>
  <si>
    <t>海天梦七彩</t>
  </si>
  <si>
    <t>方世玉</t>
  </si>
  <si>
    <t>莱比昂堡</t>
  </si>
  <si>
    <t>京菁</t>
  </si>
  <si>
    <t>董孟磊</t>
  </si>
  <si>
    <t>合舜泉</t>
  </si>
  <si>
    <t>葛海添</t>
  </si>
  <si>
    <t>BXX</t>
  </si>
  <si>
    <t>西安旭昇精密制造有限公司</t>
  </si>
  <si>
    <t>朱小家</t>
  </si>
  <si>
    <t>青花汾酒·花宴</t>
  </si>
  <si>
    <t>藏父</t>
  </si>
  <si>
    <t>杭州洛克菲勒食品有限公司</t>
  </si>
  <si>
    <t>亳州花粮生物科技有限公司</t>
  </si>
  <si>
    <t>冠世花粮 DA MU DAN</t>
  </si>
  <si>
    <t>MYGONGJUE</t>
  </si>
  <si>
    <t>深圳市德莱威模具有限公司</t>
  </si>
  <si>
    <t>牡般</t>
  </si>
  <si>
    <t>君克尊</t>
  </si>
  <si>
    <t>二火</t>
  </si>
  <si>
    <t>吉鋆</t>
  </si>
  <si>
    <t>淮旨</t>
  </si>
  <si>
    <t>黄漫娟</t>
  </si>
  <si>
    <t>衡敏世家</t>
  </si>
  <si>
    <t>李振</t>
  </si>
  <si>
    <t>秦九侯</t>
  </si>
  <si>
    <t>姜永生</t>
  </si>
  <si>
    <t>今余几</t>
  </si>
  <si>
    <t>COZYWORLD</t>
  </si>
  <si>
    <t>深圳市巷有泉文化有限公司</t>
  </si>
  <si>
    <t>巷有泉</t>
  </si>
  <si>
    <t>MARDISS</t>
  </si>
  <si>
    <t>稻翔</t>
  </si>
  <si>
    <t>ETOILE VAGUE</t>
  </si>
  <si>
    <t>丁明芳</t>
  </si>
  <si>
    <t>RITORNARE</t>
  </si>
  <si>
    <t>GRISOIR</t>
  </si>
  <si>
    <t>澧可</t>
  </si>
  <si>
    <t>莎吾烈泰</t>
  </si>
  <si>
    <t>媚江春</t>
  </si>
  <si>
    <t>林坤生</t>
  </si>
  <si>
    <t>尚天下</t>
  </si>
  <si>
    <t>君尚雅</t>
  </si>
  <si>
    <t>味喜吉</t>
  </si>
  <si>
    <t>御鑫豪</t>
  </si>
  <si>
    <t>天星万康</t>
  </si>
  <si>
    <t>福气兄弟</t>
  </si>
  <si>
    <t>SELLAV</t>
  </si>
  <si>
    <t>心向天涯</t>
  </si>
  <si>
    <t>田城田品</t>
  </si>
  <si>
    <t>醉卧花下眠</t>
  </si>
  <si>
    <t>黑村夫</t>
  </si>
  <si>
    <t>余荣彬</t>
  </si>
  <si>
    <t>布西旗</t>
  </si>
  <si>
    <t>刘文英</t>
  </si>
  <si>
    <t>CASTILLO LEO</t>
  </si>
  <si>
    <t>先通</t>
  </si>
  <si>
    <t>五魁留余</t>
  </si>
  <si>
    <t>刀姐</t>
  </si>
  <si>
    <t>BABAHENIM</t>
  </si>
  <si>
    <t>田雨新</t>
  </si>
  <si>
    <t>河南答禧健康管理有限公司</t>
  </si>
  <si>
    <t>王婷</t>
  </si>
  <si>
    <t>MALDIS</t>
  </si>
  <si>
    <t>王志野</t>
  </si>
  <si>
    <t>火山客</t>
  </si>
  <si>
    <t>陶雅</t>
  </si>
  <si>
    <t>MADE ON MARS</t>
  </si>
  <si>
    <t>古邸</t>
  </si>
  <si>
    <t>滇老伯</t>
  </si>
  <si>
    <t>百思博</t>
  </si>
  <si>
    <t>傲立独秀</t>
  </si>
  <si>
    <t>米小黑</t>
  </si>
  <si>
    <t>蜀媚斟</t>
  </si>
  <si>
    <t>常州草木知生物科技有限公司</t>
  </si>
  <si>
    <t>延陵草木知</t>
  </si>
  <si>
    <t>信走江湖</t>
  </si>
  <si>
    <t>昀森</t>
  </si>
  <si>
    <t>佘素敏</t>
  </si>
  <si>
    <t>世邸</t>
  </si>
  <si>
    <t>何挺醉</t>
  </si>
  <si>
    <t>曹津雨</t>
  </si>
  <si>
    <t>帝三皇</t>
  </si>
  <si>
    <t>明无愁</t>
  </si>
  <si>
    <t>廖玉山</t>
  </si>
  <si>
    <t>太古代</t>
  </si>
  <si>
    <t>黑磨砂</t>
  </si>
  <si>
    <t>山西山仁恒包装印刷有限公司</t>
  </si>
  <si>
    <t>山仁恒</t>
  </si>
  <si>
    <t>意投</t>
  </si>
  <si>
    <t>刘宁</t>
  </si>
  <si>
    <t>玖洲斟宝</t>
  </si>
  <si>
    <t>佳小湘</t>
  </si>
  <si>
    <t>相遇恩</t>
  </si>
  <si>
    <t>入芳</t>
  </si>
  <si>
    <t>冰豹有限公司</t>
  </si>
  <si>
    <t>五小芳</t>
  </si>
  <si>
    <t>南京醉聚仙科技有限公司</t>
  </si>
  <si>
    <t>酒甄哆</t>
  </si>
  <si>
    <t>侯金志</t>
  </si>
  <si>
    <t>今舍</t>
  </si>
  <si>
    <t>山醯味道</t>
  </si>
  <si>
    <t>同沙台</t>
  </si>
  <si>
    <t>周倩</t>
  </si>
  <si>
    <t>倒晋</t>
  </si>
  <si>
    <t>刘玉霞</t>
  </si>
  <si>
    <t>江山海量</t>
  </si>
  <si>
    <t>探十里</t>
  </si>
  <si>
    <t>荷名天</t>
  </si>
  <si>
    <t>吟太妃</t>
  </si>
  <si>
    <t>椒白</t>
  </si>
  <si>
    <t>朱小英</t>
  </si>
  <si>
    <t>祁永丰</t>
  </si>
  <si>
    <t>月亮沟</t>
  </si>
  <si>
    <t>戴俊</t>
  </si>
  <si>
    <t>随园戴叔</t>
  </si>
  <si>
    <t>艾然益家</t>
  </si>
  <si>
    <t>曾宇</t>
  </si>
  <si>
    <t>娄永祥</t>
  </si>
  <si>
    <t>夏商花</t>
  </si>
  <si>
    <t>御元舒</t>
  </si>
  <si>
    <t>鹿呦山天宁福笔</t>
  </si>
  <si>
    <t>殿承</t>
  </si>
  <si>
    <t>水南小子</t>
  </si>
  <si>
    <t>屯香留味</t>
  </si>
  <si>
    <t>SUPRFOD</t>
  </si>
  <si>
    <t>柏厨家居</t>
  </si>
  <si>
    <t>孝典</t>
  </si>
  <si>
    <t>男天7号</t>
  </si>
  <si>
    <t>宣虎</t>
  </si>
  <si>
    <t>晨牧</t>
  </si>
  <si>
    <t>盈翠山庄</t>
  </si>
  <si>
    <t>巾丰壹号</t>
  </si>
  <si>
    <t>金宁梦</t>
  </si>
  <si>
    <t>DOMINIO DO BIBEI LALAMA</t>
  </si>
  <si>
    <t>柔茹然家</t>
  </si>
  <si>
    <t>三江烙印</t>
  </si>
  <si>
    <t>周永奎</t>
  </si>
  <si>
    <t>阳囤</t>
  </si>
  <si>
    <t>君克鼎</t>
  </si>
  <si>
    <t>NANGKITA</t>
  </si>
  <si>
    <t>真珠白</t>
  </si>
  <si>
    <t>于洪波</t>
  </si>
  <si>
    <t>于大波酒行</t>
  </si>
  <si>
    <t>曾舒荣</t>
  </si>
  <si>
    <t>吃游礼</t>
  </si>
  <si>
    <t>上海巨乾建筑工程有限公司</t>
  </si>
  <si>
    <t>唐山道万物科技有限公司</t>
  </si>
  <si>
    <t>山精地灵</t>
  </si>
  <si>
    <t>泉炁</t>
  </si>
  <si>
    <t>和尊世第</t>
  </si>
  <si>
    <t>晋卉堂</t>
  </si>
  <si>
    <t>林叶</t>
  </si>
  <si>
    <t>秦游礼</t>
  </si>
  <si>
    <t>王理想</t>
  </si>
  <si>
    <t>JHJH</t>
  </si>
  <si>
    <t>魁留余</t>
  </si>
  <si>
    <t>甜美微笑</t>
  </si>
  <si>
    <t>安徽中微微元生物科技有限公司</t>
  </si>
  <si>
    <t>越寒关</t>
  </si>
  <si>
    <t>LARVEER</t>
  </si>
  <si>
    <t>沁庄</t>
  </si>
  <si>
    <t>雷鞭</t>
  </si>
  <si>
    <t>朱佳豪</t>
  </si>
  <si>
    <t>刘勇</t>
  </si>
  <si>
    <t>仈</t>
  </si>
  <si>
    <t>源霜</t>
  </si>
  <si>
    <t>于俊杰</t>
  </si>
  <si>
    <t>圣斐梵</t>
  </si>
  <si>
    <t>盈养元</t>
  </si>
  <si>
    <t>WEKOOL</t>
  </si>
  <si>
    <t>百湖大街小巷</t>
  </si>
  <si>
    <t>粉色大象</t>
  </si>
  <si>
    <t>敬德昌</t>
  </si>
  <si>
    <t>李云梅</t>
  </si>
  <si>
    <t>吉志明</t>
  </si>
  <si>
    <t>唐天承</t>
  </si>
  <si>
    <t>七芷</t>
  </si>
  <si>
    <t>浙江味德丰食品科技有限公司</t>
  </si>
  <si>
    <t>味德丰</t>
  </si>
  <si>
    <t>李璐</t>
  </si>
  <si>
    <t>徐淼淼</t>
  </si>
  <si>
    <t>云水美域</t>
  </si>
  <si>
    <t>斟然</t>
  </si>
  <si>
    <t>徐德淳</t>
  </si>
  <si>
    <t>昱如意</t>
  </si>
  <si>
    <t>澧珂</t>
  </si>
  <si>
    <t>李宁宁</t>
  </si>
  <si>
    <t>潭香逸</t>
  </si>
  <si>
    <t>悠品山姆</t>
  </si>
  <si>
    <t>垚不二</t>
  </si>
  <si>
    <t>霍者</t>
  </si>
  <si>
    <t>王志广</t>
  </si>
  <si>
    <t>稼耘逸品</t>
  </si>
  <si>
    <t>穗宸</t>
  </si>
  <si>
    <t>韵憩</t>
  </si>
  <si>
    <t>王昭平</t>
  </si>
  <si>
    <t>黑大圣</t>
  </si>
  <si>
    <t>LTZ</t>
  </si>
  <si>
    <t>成都梵莫雷健康科技有限公司</t>
  </si>
  <si>
    <t>常君康</t>
  </si>
  <si>
    <t>王梅</t>
  </si>
  <si>
    <t>黄山丹基食品科技有限公司</t>
  </si>
  <si>
    <t>布射河</t>
  </si>
  <si>
    <t>米歌小桃气</t>
  </si>
  <si>
    <t>邵商同行</t>
  </si>
  <si>
    <t>刘敏</t>
  </si>
  <si>
    <t>禄芸窖</t>
  </si>
  <si>
    <t>庸礼</t>
  </si>
  <si>
    <t>喜渊</t>
  </si>
  <si>
    <t>蓉祖王子</t>
  </si>
  <si>
    <t>史光柱</t>
  </si>
  <si>
    <t>漫述</t>
  </si>
  <si>
    <t>鼎臻花梨城</t>
  </si>
  <si>
    <t>鹿才子秋香</t>
  </si>
  <si>
    <t>昱酒川</t>
  </si>
  <si>
    <t>叶世芳</t>
  </si>
  <si>
    <t>挧</t>
  </si>
  <si>
    <t>知交老友</t>
  </si>
  <si>
    <t>克莱黄家</t>
  </si>
  <si>
    <t>VINIFY COSMOS</t>
  </si>
  <si>
    <t>梅花三弄</t>
  </si>
  <si>
    <t>ORALSHARK</t>
  </si>
  <si>
    <t>裕王帝</t>
  </si>
  <si>
    <t>虞橡</t>
  </si>
  <si>
    <t>秦定国</t>
  </si>
  <si>
    <t>上海山合澎湃食品有限公司</t>
  </si>
  <si>
    <t>玉壹号</t>
  </si>
  <si>
    <t>吴府福</t>
  </si>
  <si>
    <t>沓宴</t>
  </si>
  <si>
    <t>王煜炉</t>
  </si>
  <si>
    <t>泉侠</t>
  </si>
  <si>
    <t>RANBU</t>
  </si>
  <si>
    <t>克拉海洋 CARADOM</t>
  </si>
  <si>
    <t>峰之极</t>
  </si>
  <si>
    <t>路与鹿</t>
  </si>
  <si>
    <t>御芳村</t>
  </si>
  <si>
    <t>FJXH</t>
  </si>
  <si>
    <t>汁余果</t>
  </si>
  <si>
    <t>蔡磊</t>
  </si>
  <si>
    <t>丄佮</t>
  </si>
  <si>
    <t>摘香</t>
  </si>
  <si>
    <t>WNWN</t>
  </si>
  <si>
    <t>柴米集采</t>
  </si>
  <si>
    <t>景阳卧雪</t>
  </si>
  <si>
    <t>伊之城</t>
  </si>
  <si>
    <t>浪花鼓</t>
  </si>
  <si>
    <t>画菠</t>
  </si>
  <si>
    <t>QUAK.</t>
  </si>
  <si>
    <t>得者酒</t>
  </si>
  <si>
    <t>尚叮猫</t>
  </si>
  <si>
    <t>京台羑酒</t>
  </si>
  <si>
    <t>BW BLISSFUL VISIONS WINERY</t>
  </si>
  <si>
    <t>路双天</t>
  </si>
  <si>
    <t>山西省汾阳市杜牧酒庄有限公司</t>
  </si>
  <si>
    <t>寿父</t>
  </si>
  <si>
    <t>FGLAOFUYE</t>
  </si>
  <si>
    <t>美美太湖</t>
  </si>
  <si>
    <t>大地如画</t>
  </si>
  <si>
    <t>粮小哈</t>
  </si>
  <si>
    <t>淳西施</t>
  </si>
  <si>
    <t>唐代煦</t>
  </si>
  <si>
    <t>岳养山</t>
  </si>
  <si>
    <t>郭俊</t>
  </si>
  <si>
    <t>恭厂</t>
  </si>
  <si>
    <t>知山海</t>
  </si>
  <si>
    <t>原始台</t>
  </si>
  <si>
    <t>夜迷离</t>
  </si>
  <si>
    <t>双甄百草</t>
  </si>
  <si>
    <t>心得清</t>
  </si>
  <si>
    <t>雅州何氏</t>
  </si>
  <si>
    <t>溥彦科技园</t>
  </si>
  <si>
    <t>ESTRELLITA MISTERIOSA</t>
  </si>
  <si>
    <t>李萌萌</t>
  </si>
  <si>
    <t>洋河家族定制</t>
  </si>
  <si>
    <t>上海曼香生物科技有限公司</t>
  </si>
  <si>
    <t>OT MEABNHKA KAYECTBEHHAR NPOAYKUHR</t>
  </si>
  <si>
    <t>自有</t>
  </si>
  <si>
    <t>王宗信</t>
  </si>
  <si>
    <t>福建海岸建筑工程有限公司</t>
  </si>
  <si>
    <t>七檀</t>
  </si>
  <si>
    <t>扶道</t>
  </si>
  <si>
    <t>蔡思美</t>
  </si>
  <si>
    <t>广福宏光</t>
  </si>
  <si>
    <t>瑶田小甑 酒</t>
  </si>
  <si>
    <t>礐石</t>
  </si>
  <si>
    <t>德利源亨利</t>
  </si>
  <si>
    <t>河南延麦食品有限公司</t>
  </si>
  <si>
    <t>延麦佳</t>
  </si>
  <si>
    <t>景泰青</t>
  </si>
  <si>
    <t>小阳淀</t>
  </si>
  <si>
    <t>度月潭</t>
  </si>
  <si>
    <t>梁学建</t>
  </si>
  <si>
    <t>梅昀</t>
  </si>
  <si>
    <t>仙溪保</t>
  </si>
  <si>
    <t>禧天运</t>
  </si>
  <si>
    <t>ZAOHEGJ</t>
  </si>
  <si>
    <t>弘凌</t>
  </si>
  <si>
    <t>福杰福滴</t>
  </si>
  <si>
    <t>百草初研</t>
  </si>
  <si>
    <t>暻</t>
  </si>
  <si>
    <t>洞廿</t>
  </si>
  <si>
    <t>洞梁谷</t>
  </si>
  <si>
    <t>乾迹</t>
  </si>
  <si>
    <t>GLEN AUBURN</t>
  </si>
  <si>
    <t>百鹿臣</t>
  </si>
  <si>
    <t>蜀香池</t>
  </si>
  <si>
    <t>秦如意</t>
  </si>
  <si>
    <t>溟泱</t>
  </si>
  <si>
    <t>真金仁品</t>
  </si>
  <si>
    <t>谷海翔</t>
  </si>
  <si>
    <t>BUFANG</t>
  </si>
  <si>
    <t>赤册</t>
  </si>
  <si>
    <t>熙昀</t>
  </si>
  <si>
    <t>位运清</t>
  </si>
  <si>
    <t>津喜外星人</t>
  </si>
  <si>
    <t>徐海山</t>
  </si>
  <si>
    <t>果有知</t>
  </si>
  <si>
    <t>阿卓</t>
  </si>
  <si>
    <t>英庄</t>
  </si>
  <si>
    <t>范睿</t>
  </si>
  <si>
    <t>岩品世家</t>
  </si>
  <si>
    <t>中糖圣帝</t>
  </si>
  <si>
    <t>任广林</t>
  </si>
  <si>
    <t>挂叉</t>
  </si>
  <si>
    <t>津巧坊</t>
  </si>
  <si>
    <t>高大雷</t>
  </si>
  <si>
    <t>真哈园</t>
  </si>
  <si>
    <t>弘建通(杭州)科技有限公司</t>
  </si>
  <si>
    <t>弘建通</t>
  </si>
  <si>
    <t>和可娘</t>
  </si>
  <si>
    <t>中稛</t>
  </si>
  <si>
    <t>擎客</t>
  </si>
  <si>
    <t>帝九令</t>
  </si>
  <si>
    <t>一支奈</t>
  </si>
  <si>
    <t>王太亮</t>
  </si>
  <si>
    <t>王太粮</t>
  </si>
  <si>
    <t>浙江金菱制冷工程有限公司</t>
  </si>
  <si>
    <t>宇辰鼎丰</t>
  </si>
  <si>
    <t>王小敏</t>
  </si>
  <si>
    <t>YEME</t>
  </si>
  <si>
    <t>吴文会</t>
  </si>
  <si>
    <t>寘</t>
  </si>
  <si>
    <t>嘉莱有限公司</t>
  </si>
  <si>
    <t>GX</t>
  </si>
  <si>
    <t>吴正</t>
  </si>
  <si>
    <t>君克藏</t>
  </si>
  <si>
    <t>湘金潭</t>
  </si>
  <si>
    <t>BAOCTA</t>
  </si>
  <si>
    <t>彧道 酒 YUDAO LIQUOR</t>
  </si>
  <si>
    <t>法迦隆</t>
  </si>
  <si>
    <t>金城</t>
  </si>
  <si>
    <t>黎合和</t>
  </si>
  <si>
    <t>糊惺惺</t>
  </si>
  <si>
    <t>米奇</t>
  </si>
  <si>
    <t>悟空出海</t>
  </si>
  <si>
    <t>鄯</t>
  </si>
  <si>
    <t>小筱</t>
  </si>
  <si>
    <t>卉碰碰(亳州)品牌管理有限公司</t>
  </si>
  <si>
    <t>卉碰碰</t>
  </si>
  <si>
    <t>黄徐</t>
  </si>
  <si>
    <t>昀淳</t>
  </si>
  <si>
    <t>伏秋</t>
  </si>
  <si>
    <t>浙宴蔚</t>
  </si>
  <si>
    <t>JXXH ONLINE</t>
  </si>
  <si>
    <t>天空之愿</t>
  </si>
  <si>
    <t>BENFOR</t>
  </si>
  <si>
    <t>瓦大喜</t>
  </si>
  <si>
    <t>威喜吉</t>
  </si>
  <si>
    <t>鹿呦山南鹿</t>
  </si>
  <si>
    <t>KWK</t>
  </si>
  <si>
    <t>瑧稀荷</t>
  </si>
  <si>
    <t>福运草</t>
  </si>
  <si>
    <t>黄呈斗</t>
  </si>
  <si>
    <t>JTOP</t>
  </si>
  <si>
    <t>布莱得</t>
  </si>
  <si>
    <t>周新虎</t>
  </si>
  <si>
    <t>渝砍下</t>
  </si>
  <si>
    <t>杏九五</t>
  </si>
  <si>
    <t>酉堂正</t>
  </si>
  <si>
    <t>皖水皖酒</t>
  </si>
  <si>
    <t>泥里禾</t>
  </si>
  <si>
    <t>解浪</t>
  </si>
  <si>
    <t>最品云天清酒</t>
  </si>
  <si>
    <t>XIAOMI SU7</t>
  </si>
  <si>
    <t>曾小妹</t>
  </si>
  <si>
    <t>深圳低空客科技有限公司</t>
  </si>
  <si>
    <t>低空客</t>
  </si>
  <si>
    <t>稞益富得</t>
  </si>
  <si>
    <t>JIAO LING</t>
  </si>
  <si>
    <t>醉世逍遥水</t>
  </si>
  <si>
    <t>苹行天下</t>
  </si>
  <si>
    <t>大美蜀道</t>
  </si>
  <si>
    <t>何法波</t>
  </si>
  <si>
    <t>巴僳</t>
  </si>
  <si>
    <t>范磊朝</t>
  </si>
  <si>
    <t>君吟花</t>
  </si>
  <si>
    <t>王利祥</t>
  </si>
  <si>
    <t>醉火心</t>
  </si>
  <si>
    <t>芝士郎</t>
  </si>
  <si>
    <t>鼎运草</t>
  </si>
  <si>
    <t>吴俊健</t>
  </si>
  <si>
    <t>德利源亨泰</t>
  </si>
  <si>
    <t>墨坊雅韵</t>
  </si>
  <si>
    <t>定承康</t>
  </si>
  <si>
    <t>佛山市一起玩儿科技有限公司</t>
  </si>
  <si>
    <t>有穗</t>
  </si>
  <si>
    <t>朱明国</t>
  </si>
  <si>
    <t>碧活</t>
  </si>
  <si>
    <t>七彩俑</t>
  </si>
  <si>
    <t>VENTOURIEN</t>
  </si>
  <si>
    <t>玄生万物</t>
  </si>
  <si>
    <t>昆明南丘班克智旅科技有限公司</t>
  </si>
  <si>
    <t>茵果醺悟空</t>
  </si>
  <si>
    <t>秦享百味</t>
  </si>
  <si>
    <t>森甜小娘子</t>
  </si>
  <si>
    <t>IYVY</t>
  </si>
  <si>
    <t>吴圻柱</t>
  </si>
  <si>
    <t>晋壳</t>
  </si>
  <si>
    <t>川牌邛藏</t>
  </si>
  <si>
    <t>崧</t>
  </si>
  <si>
    <t>九合鹿</t>
  </si>
  <si>
    <t>FILA MUNI 菲拉慕尼</t>
  </si>
  <si>
    <t>大酉</t>
  </si>
  <si>
    <t>朝彤</t>
  </si>
  <si>
    <t>沂蒙薯醉</t>
  </si>
  <si>
    <t>薏福</t>
  </si>
  <si>
    <t>福吉誉</t>
  </si>
  <si>
    <t xml:space="preserve"> 白酒; 葡萄酒</t>
  </si>
  <si>
    <t xml:space="preserve"> 果酒; 米酒</t>
  </si>
  <si>
    <t xml:space="preserve"> 威士忌</t>
  </si>
  <si>
    <t xml:space="preserve"> 米酒</t>
  </si>
  <si>
    <t xml:space="preserve"> 果酒(含酒精); 白酒; 葡萄酒</t>
  </si>
  <si>
    <t xml:space="preserve"> 白酒</t>
  </si>
  <si>
    <t xml:space="preserve"> 开胃酒; 果酒; 汽酒; 清酒; 甜酒; 白酒; 米酒; 葡萄酒; 食用酒精; 黄酒</t>
  </si>
  <si>
    <t xml:space="preserve"> 葡萄酒</t>
  </si>
  <si>
    <t xml:space="preserve"> 利口酒; 果酒(含酒精); 清酒; 烈酒; 白酒; 米酒; 苹果酒; 葡萄酒; 食用酒精; 黄酒</t>
  </si>
  <si>
    <t xml:space="preserve"> 含酒精的气泡水; 果酒(含酒精); 白酒; 米酒; 葡萄酒; 黄酒</t>
  </si>
  <si>
    <t xml:space="preserve"> 白干酒(中国白酒)</t>
  </si>
  <si>
    <t xml:space="preserve"> 白酒; 米酒; 葡萄酒; 黄酒</t>
  </si>
  <si>
    <t xml:space="preserve"> 威士忌; 开胃酒; 朗姆酒; 果酒; 水果汽酒; 清酒; 白酒; 米酒; 青稞酒; 黄酒</t>
  </si>
  <si>
    <t xml:space="preserve"> 利口酒; 威士忌; 开胃酒; 果酒(含酒精); 白酒; 米酒; 葡萄酒; 蜂蜜酒; 餐后酒(利口酒和烈酒); 黄酒</t>
  </si>
  <si>
    <t xml:space="preserve"> 伏特加酒; 利口酒; 威士忌; 开胃酒; 朗姆酒; 果酒(含酒精); 烈酒; 白葡萄酒; 白酒; 高粱酒</t>
  </si>
  <si>
    <t xml:space="preserve"> 伏特加酒; 利口酒; 干型苹果酒; 朗姆酒; 果酒(含酒精); 混合威士忌酒; 白干酒(中国白酒); 米酒; 薄荷酒; 蜂蜜酒</t>
  </si>
  <si>
    <t xml:space="preserve"> 果酒(含酒精); 白酒; 米酒; 蜂蜜酒; 食用酒精; 黄酒</t>
  </si>
  <si>
    <t xml:space="preserve"> 开胃酒; 果酒; 汽酒; 烈酒; 甜酒; 白酒; 米酒; 葡萄酒; 高粱酒; 黄酒</t>
  </si>
  <si>
    <t xml:space="preserve"> 果酒(含酒精); 梅酒; 清酒; 烈酒; 甜酒; 白酒; 米酒; 草莓酒; 酸酒(低等葡萄酒); 高粱酒</t>
  </si>
  <si>
    <t xml:space="preserve"> 清酒(日本米酒)</t>
  </si>
  <si>
    <r>
      <t>浙江香</t>
    </r>
    <r>
      <rPr>
        <sz val="11"/>
        <rFont val="ＭＳ Ｐゴシック"/>
        <family val="3"/>
        <charset val="134"/>
        <scheme val="minor"/>
      </rPr>
      <t>侬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</si>
  <si>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</si>
  <si>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新疆沙地葡萄酒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</si>
  <si>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利口酒;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甜果酒;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</si>
  <si>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州情景最藏酒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</si>
  <si>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</si>
  <si>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rPr>
        <sz val="11"/>
        <rFont val="ＭＳ Ｐゴシック"/>
        <family val="3"/>
        <charset val="134"/>
        <scheme val="minor"/>
      </rPr>
      <t>岁</t>
    </r>
    <r>
      <rPr>
        <sz val="11"/>
        <rFont val="ＭＳ Ｐゴシック"/>
        <family val="3"/>
        <charset val="128"/>
        <scheme val="minor"/>
      </rPr>
      <t>真 30</t>
    </r>
  </si>
  <si>
    <r>
      <t>清</t>
    </r>
    <r>
      <rPr>
        <sz val="11"/>
        <rFont val="ＭＳ Ｐゴシック"/>
        <family val="3"/>
        <charset val="134"/>
        <scheme val="minor"/>
      </rPr>
      <t>风</t>
    </r>
    <r>
      <rPr>
        <sz val="11"/>
        <rFont val="ＭＳ Ｐゴシック"/>
        <family val="3"/>
        <charset val="128"/>
        <scheme val="minor"/>
      </rPr>
      <t>百曲</t>
    </r>
  </si>
  <si>
    <r>
      <t>重</t>
    </r>
    <r>
      <rPr>
        <sz val="11"/>
        <rFont val="ＭＳ Ｐゴシック"/>
        <family val="3"/>
        <charset val="134"/>
        <scheme val="minor"/>
      </rPr>
      <t>庆乡链电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</si>
  <si>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开胃酒; 果酒(含酒精); 清酒(日本米酒); 烈酒;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</si>
  <si>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FOTILE STYLE 方</t>
    </r>
    <r>
      <rPr>
        <sz val="11"/>
        <rFont val="ＭＳ Ｐゴシック"/>
        <family val="3"/>
        <charset val="134"/>
        <scheme val="minor"/>
      </rPr>
      <t>诗</t>
    </r>
    <r>
      <rPr>
        <sz val="11"/>
        <rFont val="ＭＳ Ｐゴシック"/>
        <family val="3"/>
        <charset val="128"/>
        <scheme val="minor"/>
      </rPr>
      <t>得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</si>
  <si>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黄酒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</si>
  <si>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露酒; 高粱酒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</si>
  <si>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</si>
  <si>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志棠</t>
    </r>
    <r>
      <rPr>
        <sz val="11"/>
        <rFont val="ＭＳ Ｐゴシック"/>
        <family val="3"/>
        <charset val="134"/>
        <scheme val="minor"/>
      </rPr>
      <t>贡</t>
    </r>
  </si>
  <si>
    <r>
      <t>杭州岱南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</si>
  <si>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利口酒; 果酒; 清酒;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食用酒精; 黄酒</t>
    </r>
  </si>
  <si>
    <r>
      <t>屈子</t>
    </r>
    <r>
      <rPr>
        <sz val="11"/>
        <rFont val="ＭＳ Ｐゴシック"/>
        <family val="3"/>
        <charset val="134"/>
        <scheme val="minor"/>
      </rPr>
      <t>赋</t>
    </r>
    <r>
      <rPr>
        <sz val="11"/>
        <rFont val="ＭＳ Ｐゴシック"/>
        <family val="3"/>
        <charset val="128"/>
        <scheme val="minor"/>
      </rPr>
      <t>楚</t>
    </r>
  </si>
  <si>
    <r>
      <t>云和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百寿泉酒</t>
    </r>
    <r>
      <rPr>
        <sz val="11"/>
        <rFont val="ＭＳ Ｐゴシック"/>
        <family val="3"/>
        <charset val="134"/>
        <scheme val="minor"/>
      </rPr>
      <t>业酿</t>
    </r>
    <r>
      <rPr>
        <sz val="11"/>
        <rFont val="ＭＳ Ｐゴシック"/>
        <family val="3"/>
        <charset val="128"/>
        <scheme val="minor"/>
      </rPr>
      <t>造厂</t>
    </r>
  </si>
  <si>
    <r>
      <t xml:space="preserve"> 开胃酒;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葡萄酒;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</si>
  <si>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州向日魁酒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</si>
  <si>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果酒(含酒精);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青稞酒; 食用酒精; 高粱酒</t>
    </r>
  </si>
  <si>
    <r>
      <t>瑞</t>
    </r>
    <r>
      <rPr>
        <sz val="11"/>
        <rFont val="ＭＳ Ｐゴシック"/>
        <family val="3"/>
        <charset val="134"/>
        <scheme val="minor"/>
      </rPr>
      <t>锦</t>
    </r>
    <r>
      <rPr>
        <sz val="11"/>
        <rFont val="ＭＳ Ｐゴシック"/>
        <family val="3"/>
        <charset val="128"/>
        <scheme val="minor"/>
      </rPr>
      <t>九溪</t>
    </r>
  </si>
  <si>
    <r>
      <rPr>
        <sz val="11"/>
        <rFont val="ＭＳ Ｐゴシック"/>
        <family val="3"/>
        <charset val="134"/>
        <scheme val="minor"/>
      </rPr>
      <t>冯</t>
    </r>
    <r>
      <rPr>
        <sz val="11"/>
        <rFont val="ＭＳ Ｐゴシック"/>
        <family val="3"/>
        <charset val="128"/>
        <scheme val="minor"/>
      </rPr>
      <t>恒升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</si>
  <si>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</si>
  <si>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江法</t>
    </r>
    <r>
      <rPr>
        <sz val="11"/>
        <rFont val="ＭＳ Ｐゴシック"/>
        <family val="3"/>
        <charset val="134"/>
        <scheme val="minor"/>
      </rPr>
      <t>兴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</si>
  <si>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</si>
  <si>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蓝</t>
    </r>
    <r>
      <rPr>
        <sz val="11"/>
        <rFont val="ＭＳ Ｐゴシック"/>
        <family val="3"/>
        <charset val="128"/>
        <scheme val="minor"/>
      </rPr>
      <t>水坊</t>
    </r>
  </si>
  <si>
    <r>
      <t>吉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浩</t>
    </r>
  </si>
  <si>
    <r>
      <t xml:space="preserve"> 利口酒; 开胃酒;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苹果酒;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</si>
  <si>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叹</t>
    </r>
    <r>
      <rPr>
        <sz val="11"/>
        <rFont val="ＭＳ Ｐゴシック"/>
        <family val="3"/>
        <charset val="128"/>
        <scheme val="minor"/>
      </rPr>
      <t>米</t>
    </r>
  </si>
  <si>
    <r>
      <t>湛江市岭先酒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</si>
  <si>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米酒;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</t>
    </r>
  </si>
  <si>
    <r>
      <t>何敏</t>
    </r>
    <r>
      <rPr>
        <sz val="11"/>
        <rFont val="ＭＳ Ｐゴシック"/>
        <family val="3"/>
        <charset val="134"/>
        <scheme val="minor"/>
      </rPr>
      <t>仪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</si>
  <si>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汽酒;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黄酒</t>
    </r>
  </si>
  <si>
    <r>
      <t>上海曼奇尼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</si>
  <si>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</si>
  <si>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茂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壹品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</si>
  <si>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市威台酒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</si>
  <si>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高粱酒</t>
    </r>
  </si>
  <si>
    <r>
      <t>巡酒网</t>
    </r>
    <r>
      <rPr>
        <sz val="11"/>
        <rFont val="ＭＳ Ｐゴシック"/>
        <family val="3"/>
        <charset val="134"/>
        <scheme val="minor"/>
      </rPr>
      <t>络</t>
    </r>
    <r>
      <rPr>
        <sz val="11"/>
        <rFont val="ＭＳ Ｐゴシック"/>
        <family val="3"/>
        <charset val="128"/>
        <scheme val="minor"/>
      </rPr>
      <t>(上海)有限公司</t>
    </r>
  </si>
  <si>
    <r>
      <t xml:space="preserve"> 伏特加酒; 威士忌; 开胃酒;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</si>
  <si>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图</t>
    </r>
    <r>
      <rPr>
        <sz val="11"/>
        <rFont val="ＭＳ Ｐゴシック"/>
        <family val="3"/>
        <charset val="128"/>
        <scheme val="minor"/>
      </rPr>
      <t>形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</si>
  <si>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</si>
  <si>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洋河定制文</t>
    </r>
    <r>
      <rPr>
        <sz val="11"/>
        <rFont val="ＭＳ Ｐゴシック"/>
        <family val="3"/>
        <charset val="134"/>
        <scheme val="minor"/>
      </rPr>
      <t>创</t>
    </r>
  </si>
  <si>
    <r>
      <t>江</t>
    </r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洋河酒厂股份有限公司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</si>
  <si>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</t>
    </r>
  </si>
  <si>
    <r>
      <t>朗</t>
    </r>
    <r>
      <rPr>
        <sz val="11"/>
        <rFont val="ＭＳ Ｐゴシック"/>
        <family val="3"/>
        <charset val="134"/>
        <scheme val="minor"/>
      </rPr>
      <t>热</t>
    </r>
    <r>
      <rPr>
        <sz val="11"/>
        <rFont val="ＭＳ Ｐゴシック"/>
        <family val="3"/>
        <charset val="128"/>
        <scheme val="minor"/>
      </rPr>
      <t>酒庄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</si>
  <si>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方礼</t>
    </r>
    <r>
      <rPr>
        <sz val="11"/>
        <rFont val="ＭＳ Ｐゴシック"/>
        <family val="3"/>
        <charset val="134"/>
        <scheme val="minor"/>
      </rPr>
      <t>赞贵宾</t>
    </r>
  </si>
  <si>
    <r>
      <t>邵悦</t>
    </r>
    <r>
      <rPr>
        <sz val="11"/>
        <rFont val="ＭＳ Ｐゴシック"/>
        <family val="3"/>
        <charset val="134"/>
        <scheme val="minor"/>
      </rPr>
      <t>诚</t>
    </r>
  </si>
  <si>
    <r>
      <t xml:space="preserve">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</si>
  <si>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金寨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洪磊食品</t>
    </r>
    <r>
      <rPr>
        <sz val="11"/>
        <rFont val="ＭＳ Ｐゴシック"/>
        <family val="3"/>
        <charset val="134"/>
        <scheme val="minor"/>
      </rPr>
      <t>经营</t>
    </r>
    <r>
      <rPr>
        <sz val="11"/>
        <rFont val="ＭＳ Ｐゴシック"/>
        <family val="3"/>
        <charset val="128"/>
        <scheme val="minor"/>
      </rPr>
      <t>部</t>
    </r>
  </si>
  <si>
    <r>
      <t xml:space="preserve">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薄荷酒;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</si>
  <si>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轶</t>
    </r>
    <r>
      <rPr>
        <sz val="11"/>
        <rFont val="ＭＳ Ｐゴシック"/>
        <family val="3"/>
        <charset val="128"/>
        <scheme val="minor"/>
      </rPr>
      <t>想科技(北京)有限公司</t>
    </r>
  </si>
  <si>
    <r>
      <t xml:space="preserve"> 利口酒;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</si>
  <si>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渔</t>
    </r>
    <r>
      <rPr>
        <sz val="11"/>
        <rFont val="ＭＳ Ｐゴシック"/>
        <family val="3"/>
        <charset val="128"/>
        <scheme val="minor"/>
      </rPr>
      <t>舟夜</t>
    </r>
    <r>
      <rPr>
        <sz val="11"/>
        <rFont val="ＭＳ Ｐゴシック"/>
        <family val="3"/>
        <charset val="134"/>
        <scheme val="minor"/>
      </rPr>
      <t>饮</t>
    </r>
  </si>
  <si>
    <r>
      <t>江</t>
    </r>
    <r>
      <rPr>
        <sz val="11"/>
        <rFont val="ＭＳ Ｐゴシック"/>
        <family val="3"/>
        <charset val="134"/>
        <scheme val="minor"/>
      </rPr>
      <t>苏汤</t>
    </r>
    <r>
      <rPr>
        <sz val="11"/>
        <rFont val="ＭＳ Ｐゴシック"/>
        <family val="3"/>
        <charset val="128"/>
        <scheme val="minor"/>
      </rPr>
      <t>沟两相和酒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</si>
  <si>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</si>
  <si>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洛花</t>
    </r>
    <r>
      <rPr>
        <sz val="11"/>
        <rFont val="ＭＳ Ｐゴシック"/>
        <family val="3"/>
        <charset val="134"/>
        <scheme val="minor"/>
      </rPr>
      <t>传</t>
    </r>
  </si>
  <si>
    <r>
      <rPr>
        <sz val="11"/>
        <rFont val="ＭＳ Ｐゴシック"/>
        <family val="3"/>
        <charset val="134"/>
        <scheme val="minor"/>
      </rPr>
      <t>陈业</t>
    </r>
    <r>
      <rPr>
        <sz val="11"/>
        <rFont val="ＭＳ Ｐゴシック"/>
        <family val="3"/>
        <charset val="128"/>
        <scheme val="minor"/>
      </rPr>
      <t>忠</t>
    </r>
  </si>
  <si>
    <r>
      <t>台州市澳</t>
    </r>
    <r>
      <rPr>
        <sz val="11"/>
        <rFont val="ＭＳ Ｐゴシック"/>
        <family val="3"/>
        <charset val="134"/>
        <scheme val="minor"/>
      </rPr>
      <t>桥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</si>
  <si>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谢贵</t>
    </r>
    <r>
      <rPr>
        <sz val="11"/>
        <rFont val="ＭＳ Ｐゴシック"/>
        <family val="3"/>
        <charset val="128"/>
        <scheme val="minor"/>
      </rPr>
      <t>人</t>
    </r>
  </si>
  <si>
    <r>
      <t>杭州随喜健康科技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</si>
  <si>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汽酒; 烈酒;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的白酒;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高粱酒; 黄酒</t>
    </r>
  </si>
  <si>
    <r>
      <rPr>
        <sz val="11"/>
        <rFont val="ＭＳ Ｐゴシック"/>
        <family val="3"/>
        <charset val="134"/>
        <scheme val="minor"/>
      </rPr>
      <t>荆龙</t>
    </r>
    <r>
      <rPr>
        <sz val="11"/>
        <rFont val="ＭＳ Ｐゴシック"/>
        <family val="3"/>
        <charset val="128"/>
        <scheme val="minor"/>
      </rPr>
      <t>盛</t>
    </r>
  </si>
  <si>
    <r>
      <t>刘盛</t>
    </r>
    <r>
      <rPr>
        <sz val="11"/>
        <rFont val="ＭＳ Ｐゴシック"/>
        <family val="3"/>
        <charset val="134"/>
        <scheme val="minor"/>
      </rPr>
      <t>龙</t>
    </r>
  </si>
  <si>
    <r>
      <t xml:space="preserve">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高粱酒; 黄酒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</si>
  <si>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</si>
  <si>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金粉</t>
    </r>
    <r>
      <rPr>
        <sz val="11"/>
        <rFont val="ＭＳ Ｐゴシック"/>
        <family val="3"/>
        <charset val="134"/>
        <scheme val="minor"/>
      </rPr>
      <t>专</t>
    </r>
  </si>
  <si>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弟忠</t>
    </r>
  </si>
  <si>
    <r>
      <t xml:space="preserve"> 伏特加酒; 威士忌;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薄荷酒;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</si>
  <si>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新疆三礼科技集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</si>
  <si>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的白酒; 白干酒(中国白酒); 白酒; 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制好的葡萄酒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</si>
  <si>
    <r>
      <t>族</t>
    </r>
    <r>
      <rPr>
        <sz val="11"/>
        <rFont val="ＭＳ Ｐゴシック"/>
        <family val="3"/>
        <charset val="134"/>
        <scheme val="minor"/>
      </rPr>
      <t>风</t>
    </r>
    <r>
      <rPr>
        <sz val="11"/>
        <rFont val="ＭＳ Ｐゴシック"/>
        <family val="3"/>
        <charset val="128"/>
        <scheme val="minor"/>
      </rPr>
      <t>采</t>
    </r>
  </si>
  <si>
    <r>
      <rPr>
        <sz val="11"/>
        <rFont val="ＭＳ Ｐゴシック"/>
        <family val="3"/>
        <charset val="134"/>
        <scheme val="minor"/>
      </rPr>
      <t>谢</t>
    </r>
    <r>
      <rPr>
        <sz val="11"/>
        <rFont val="ＭＳ Ｐゴシック"/>
        <family val="3"/>
        <charset val="128"/>
        <scheme val="minor"/>
      </rPr>
      <t>心恩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</si>
  <si>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</si>
  <si>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海</t>
    </r>
    <r>
      <rPr>
        <sz val="11"/>
        <rFont val="ＭＳ Ｐゴシック"/>
        <family val="3"/>
        <charset val="134"/>
        <scheme val="minor"/>
      </rPr>
      <t>润</t>
    </r>
    <r>
      <rPr>
        <sz val="11"/>
        <rFont val="ＭＳ Ｐゴシック"/>
        <family val="3"/>
        <charset val="128"/>
        <scheme val="minor"/>
      </rPr>
      <t>竹</t>
    </r>
  </si>
  <si>
    <r>
      <t>上海</t>
    </r>
    <r>
      <rPr>
        <sz val="11"/>
        <rFont val="ＭＳ Ｐゴシック"/>
        <family val="3"/>
        <charset val="134"/>
        <scheme val="minor"/>
      </rPr>
      <t>润</t>
    </r>
    <r>
      <rPr>
        <sz val="11"/>
        <rFont val="ＭＳ Ｐゴシック"/>
        <family val="3"/>
        <charset val="128"/>
        <scheme val="minor"/>
      </rPr>
      <t>竹商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</si>
  <si>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葡萄酒; 青稞酒; 黄酒</t>
    </r>
  </si>
  <si>
    <r>
      <t>国医控股黑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江集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</si>
  <si>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清酒(日本米酒); 白酒;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酸酒(低等葡萄酒); 青稞酒; 黄酒</t>
    </r>
  </si>
  <si>
    <r>
      <rPr>
        <sz val="11"/>
        <rFont val="ＭＳ Ｐゴシック"/>
        <family val="3"/>
        <charset val="134"/>
        <scheme val="minor"/>
      </rPr>
      <t>锐</t>
    </r>
    <r>
      <rPr>
        <sz val="11"/>
        <rFont val="ＭＳ Ｐゴシック"/>
        <family val="3"/>
        <charset val="128"/>
        <scheme val="minor"/>
      </rPr>
      <t>湃</t>
    </r>
  </si>
  <si>
    <r>
      <rPr>
        <sz val="11"/>
        <rFont val="ＭＳ Ｐゴシック"/>
        <family val="3"/>
        <charset val="134"/>
        <scheme val="minor"/>
      </rPr>
      <t>许</t>
    </r>
    <r>
      <rPr>
        <sz val="11"/>
        <rFont val="ＭＳ Ｐゴシック"/>
        <family val="3"/>
        <charset val="128"/>
        <scheme val="minor"/>
      </rPr>
      <t>昌市魏都区曼森百</t>
    </r>
    <r>
      <rPr>
        <sz val="11"/>
        <rFont val="ＭＳ Ｐゴシック"/>
        <family val="3"/>
        <charset val="134"/>
        <scheme val="minor"/>
      </rPr>
      <t>货</t>
    </r>
    <r>
      <rPr>
        <sz val="11"/>
        <rFont val="ＭＳ Ｐゴシック"/>
        <family val="3"/>
        <charset val="128"/>
        <scheme val="minor"/>
      </rPr>
      <t>行(个体工商</t>
    </r>
    <r>
      <rPr>
        <sz val="11"/>
        <rFont val="ＭＳ Ｐゴシック"/>
        <family val="3"/>
        <charset val="134"/>
        <scheme val="minor"/>
      </rPr>
      <t>户</t>
    </r>
    <r>
      <rPr>
        <sz val="11"/>
        <rFont val="ＭＳ Ｐゴシック"/>
        <family val="3"/>
        <charset val="128"/>
        <scheme val="minor"/>
      </rPr>
      <t>)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</si>
  <si>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</si>
  <si>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蛰苏</t>
    </r>
    <r>
      <rPr>
        <sz val="11"/>
        <rFont val="ＭＳ Ｐゴシック"/>
        <family val="3"/>
        <charset val="128"/>
        <scheme val="minor"/>
      </rPr>
      <t>百草</t>
    </r>
  </si>
  <si>
    <r>
      <t>太和</t>
    </r>
    <r>
      <rPr>
        <sz val="11"/>
        <rFont val="ＭＳ Ｐゴシック"/>
        <family val="3"/>
        <charset val="134"/>
        <scheme val="minor"/>
      </rPr>
      <t>县颐</t>
    </r>
    <r>
      <rPr>
        <sz val="11"/>
        <rFont val="ＭＳ Ｐゴシック"/>
        <family val="3"/>
        <charset val="128"/>
        <scheme val="minor"/>
      </rPr>
      <t>德堂生物科技有限公司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</si>
  <si>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露酒; 食用酒精; 高粱酒; 黄酒</t>
    </r>
  </si>
  <si>
    <r>
      <rPr>
        <sz val="11"/>
        <rFont val="ＭＳ Ｐゴシック"/>
        <family val="3"/>
        <charset val="134"/>
        <scheme val="minor"/>
      </rPr>
      <t>陕</t>
    </r>
    <r>
      <rPr>
        <sz val="11"/>
        <rFont val="ＭＳ Ｐゴシック"/>
        <family val="3"/>
        <charset val="128"/>
        <scheme val="minor"/>
      </rPr>
      <t>隆</t>
    </r>
  </si>
  <si>
    <r>
      <rPr>
        <sz val="11"/>
        <rFont val="ＭＳ Ｐゴシック"/>
        <family val="3"/>
        <charset val="134"/>
        <scheme val="minor"/>
      </rPr>
      <t>谢</t>
    </r>
    <r>
      <rPr>
        <sz val="11"/>
        <rFont val="ＭＳ Ｐゴシック"/>
        <family val="3"/>
        <charset val="128"/>
        <scheme val="minor"/>
      </rPr>
      <t>涛</t>
    </r>
  </si>
  <si>
    <r>
      <t xml:space="preserve"> 威士忌; 开胃酒; 果酒;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</si>
  <si>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罗进</t>
    </r>
    <r>
      <rPr>
        <sz val="11"/>
        <rFont val="ＭＳ Ｐゴシック"/>
        <family val="3"/>
        <charset val="128"/>
        <scheme val="minor"/>
      </rPr>
      <t>祥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</si>
  <si>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</si>
  <si>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鳌</t>
    </r>
    <r>
      <rPr>
        <sz val="11"/>
        <rFont val="ＭＳ Ｐゴシック"/>
        <family val="3"/>
        <charset val="128"/>
        <scheme val="minor"/>
      </rPr>
      <t>将</t>
    </r>
    <r>
      <rPr>
        <sz val="11"/>
        <rFont val="ＭＳ Ｐゴシック"/>
        <family val="3"/>
        <charset val="134"/>
        <scheme val="minor"/>
      </rPr>
      <t>军</t>
    </r>
  </si>
  <si>
    <r>
      <rPr>
        <sz val="11"/>
        <rFont val="ＭＳ Ｐゴシック"/>
        <family val="3"/>
        <charset val="134"/>
        <scheme val="minor"/>
      </rPr>
      <t>韦</t>
    </r>
    <r>
      <rPr>
        <sz val="11"/>
        <rFont val="ＭＳ Ｐゴシック"/>
        <family val="3"/>
        <charset val="128"/>
        <scheme val="minor"/>
      </rPr>
      <t>春苗</t>
    </r>
  </si>
  <si>
    <r>
      <t xml:space="preserve">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白葡萄酒;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</si>
  <si>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>福建</t>
    </r>
    <r>
      <rPr>
        <sz val="11"/>
        <rFont val="ＭＳ Ｐゴシック"/>
        <family val="3"/>
        <charset val="134"/>
        <scheme val="minor"/>
      </rPr>
      <t>伟</t>
    </r>
    <r>
      <rPr>
        <sz val="11"/>
        <rFont val="ＭＳ Ｐゴシック"/>
        <family val="3"/>
        <charset val="128"/>
        <scheme val="minor"/>
      </rPr>
      <t>达控股有限公司</t>
    </r>
  </si>
  <si>
    <r>
      <t xml:space="preserve"> 威士忌;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</si>
  <si>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万川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</si>
  <si>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杰浩</t>
    </r>
  </si>
  <si>
    <r>
      <t>王建</t>
    </r>
    <r>
      <rPr>
        <sz val="11"/>
        <rFont val="ＭＳ Ｐゴシック"/>
        <family val="3"/>
        <charset val="134"/>
        <scheme val="minor"/>
      </rPr>
      <t>纲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</si>
  <si>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酒; 果酒; 果酒(含酒精);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露酒; 青稞酒; 高粱酒</t>
    </r>
  </si>
  <si>
    <r>
      <t>冠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煜南生物科技有限公司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</si>
  <si>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烈性干酒;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苦味酒; 青稞酒; 黄酒</t>
    </r>
  </si>
  <si>
    <r>
      <t>云</t>
    </r>
    <r>
      <rPr>
        <sz val="11"/>
        <rFont val="ＭＳ Ｐゴシック"/>
        <family val="3"/>
        <charset val="134"/>
        <scheme val="minor"/>
      </rPr>
      <t>巅远</t>
    </r>
    <r>
      <rPr>
        <sz val="11"/>
        <rFont val="ＭＳ Ｐゴシック"/>
        <family val="3"/>
        <charset val="128"/>
        <scheme val="minor"/>
      </rPr>
      <t>瞩</t>
    </r>
  </si>
  <si>
    <r>
      <t>合肥一本正</t>
    </r>
    <r>
      <rPr>
        <sz val="11"/>
        <rFont val="ＭＳ Ｐゴシック"/>
        <family val="3"/>
        <charset val="134"/>
        <scheme val="minor"/>
      </rPr>
      <t>经</t>
    </r>
    <r>
      <rPr>
        <sz val="11"/>
        <rFont val="ＭＳ Ｐゴシック"/>
        <family val="3"/>
        <charset val="128"/>
        <scheme val="minor"/>
      </rPr>
      <t>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播有限公司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</si>
  <si>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露酒</t>
    </r>
  </si>
  <si>
    <r>
      <t>古</t>
    </r>
    <r>
      <rPr>
        <sz val="11"/>
        <rFont val="ＭＳ Ｐゴシック"/>
        <family val="3"/>
        <charset val="134"/>
        <scheme val="minor"/>
      </rPr>
      <t>净</t>
    </r>
    <r>
      <rPr>
        <sz val="11"/>
        <rFont val="ＭＳ Ｐゴシック"/>
        <family val="3"/>
        <charset val="128"/>
        <scheme val="minor"/>
      </rPr>
      <t>荷</t>
    </r>
  </si>
  <si>
    <r>
      <t>安徽九五至尊酒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</si>
  <si>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</si>
  <si>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 xml:space="preserve">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黄酒</t>
    </r>
  </si>
  <si>
    <r>
      <t>深圳潮好味餐</t>
    </r>
    <r>
      <rPr>
        <sz val="11"/>
        <rFont val="ＭＳ Ｐゴシック"/>
        <family val="3"/>
        <charset val="134"/>
        <scheme val="minor"/>
      </rPr>
      <t>饮连锁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</si>
  <si>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威士忌; 朗姆酒; 果酒; 汽酒; 烈酒;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白干酒(中国白酒);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</si>
  <si>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顶</t>
    </r>
    <r>
      <rPr>
        <sz val="11"/>
        <rFont val="ＭＳ Ｐゴシック"/>
        <family val="3"/>
        <charset val="128"/>
        <scheme val="minor"/>
      </rPr>
      <t>峰</t>
    </r>
    <r>
      <rPr>
        <sz val="11"/>
        <rFont val="ＭＳ Ｐゴシック"/>
        <family val="3"/>
        <charset val="134"/>
        <scheme val="minor"/>
      </rPr>
      <t>闲</t>
    </r>
    <r>
      <rPr>
        <sz val="11"/>
        <rFont val="ＭＳ Ｐゴシック"/>
        <family val="3"/>
        <charset val="128"/>
        <scheme val="minor"/>
      </rPr>
      <t>步</t>
    </r>
  </si>
  <si>
    <r>
      <t>襟</t>
    </r>
    <r>
      <rPr>
        <sz val="11"/>
        <rFont val="ＭＳ Ｐゴシック"/>
        <family val="3"/>
        <charset val="134"/>
        <scheme val="minor"/>
      </rPr>
      <t>济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</si>
  <si>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金</t>
    </r>
    <r>
      <rPr>
        <sz val="11"/>
        <rFont val="ＭＳ Ｐゴシック"/>
        <family val="3"/>
        <charset val="134"/>
        <scheme val="minor"/>
      </rPr>
      <t>钢</t>
    </r>
    <r>
      <rPr>
        <sz val="11"/>
        <rFont val="ＭＳ Ｐゴシック"/>
        <family val="3"/>
        <charset val="128"/>
        <scheme val="minor"/>
      </rPr>
      <t>山酒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</si>
  <si>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开胃酒;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葡萄酒; 高粱酒</t>
    </r>
  </si>
  <si>
    <r>
      <rPr>
        <sz val="11"/>
        <rFont val="ＭＳ Ｐゴシック"/>
        <family val="3"/>
        <charset val="134"/>
        <scheme val="minor"/>
      </rPr>
      <t>乌乡</t>
    </r>
    <r>
      <rPr>
        <sz val="11"/>
        <rFont val="ＭＳ Ｐゴシック"/>
        <family val="3"/>
        <charset val="128"/>
        <scheme val="minor"/>
      </rPr>
      <t>梅韵</t>
    </r>
  </si>
  <si>
    <r>
      <rPr>
        <sz val="11"/>
        <rFont val="ＭＳ Ｐゴシック"/>
        <family val="3"/>
        <charset val="134"/>
        <scheme val="minor"/>
      </rPr>
      <t>义乌</t>
    </r>
    <r>
      <rPr>
        <sz val="11"/>
        <rFont val="ＭＳ Ｐゴシック"/>
        <family val="3"/>
        <charset val="128"/>
        <scheme val="minor"/>
      </rPr>
      <t>市</t>
    </r>
    <r>
      <rPr>
        <sz val="11"/>
        <rFont val="ＭＳ Ｐゴシック"/>
        <family val="3"/>
        <charset val="134"/>
        <scheme val="minor"/>
      </rPr>
      <t>义</t>
    </r>
    <r>
      <rPr>
        <sz val="11"/>
        <rFont val="ＭＳ Ｐゴシック"/>
        <family val="3"/>
        <charset val="128"/>
        <scheme val="minor"/>
      </rPr>
      <t>商智</t>
    </r>
    <r>
      <rPr>
        <sz val="11"/>
        <rFont val="ＭＳ Ｐゴシック"/>
        <family val="3"/>
        <charset val="134"/>
        <scheme val="minor"/>
      </rPr>
      <t>库</t>
    </r>
    <r>
      <rPr>
        <sz val="11"/>
        <rFont val="ＭＳ Ｐゴシック"/>
        <family val="3"/>
        <charset val="128"/>
        <scheme val="minor"/>
      </rPr>
      <t>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</si>
  <si>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</si>
  <si>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飞</t>
    </r>
    <r>
      <rPr>
        <sz val="11"/>
        <rFont val="ＭＳ Ｐゴシック"/>
        <family val="3"/>
        <charset val="128"/>
        <scheme val="minor"/>
      </rPr>
      <t>箭仙</t>
    </r>
  </si>
  <si>
    <r>
      <t>天津格林</t>
    </r>
    <r>
      <rPr>
        <sz val="11"/>
        <rFont val="ＭＳ Ｐゴシック"/>
        <family val="3"/>
        <charset val="134"/>
        <scheme val="minor"/>
      </rPr>
      <t>维</t>
    </r>
    <r>
      <rPr>
        <sz val="11"/>
        <rFont val="ＭＳ Ｐゴシック"/>
        <family val="3"/>
        <charset val="128"/>
        <scheme val="minor"/>
      </rPr>
      <t>德科技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</si>
  <si>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</si>
  <si>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帝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吉欧云拓酒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(大理)有限公司</t>
    </r>
  </si>
  <si>
    <r>
      <t xml:space="preserve"> 威士忌;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</si>
  <si>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聚</t>
    </r>
    <r>
      <rPr>
        <sz val="11"/>
        <rFont val="ＭＳ Ｐゴシック"/>
        <family val="3"/>
        <charset val="134"/>
        <scheme val="minor"/>
      </rPr>
      <t>义</t>
    </r>
    <r>
      <rPr>
        <sz val="11"/>
        <rFont val="ＭＳ Ｐゴシック"/>
        <family val="3"/>
        <charset val="128"/>
        <scheme val="minor"/>
      </rPr>
      <t>福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</si>
  <si>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州聚</t>
    </r>
    <r>
      <rPr>
        <sz val="11"/>
        <rFont val="ＭＳ Ｐゴシック"/>
        <family val="3"/>
        <charset val="134"/>
        <scheme val="minor"/>
      </rPr>
      <t>义</t>
    </r>
    <r>
      <rPr>
        <sz val="11"/>
        <rFont val="ＭＳ Ｐゴシック"/>
        <family val="3"/>
        <charset val="128"/>
        <scheme val="minor"/>
      </rPr>
      <t>坊酒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</si>
  <si>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露酒; 食用酒精; 高粱酒</t>
    </r>
  </si>
  <si>
    <r>
      <t>上海燚</t>
    </r>
    <r>
      <rPr>
        <sz val="11"/>
        <rFont val="ＭＳ Ｐゴシック"/>
        <family val="3"/>
        <charset val="134"/>
        <scheme val="minor"/>
      </rPr>
      <t>狮</t>
    </r>
    <r>
      <rPr>
        <sz val="11"/>
        <rFont val="ＭＳ Ｐゴシック"/>
        <family val="3"/>
        <charset val="128"/>
        <scheme val="minor"/>
      </rPr>
      <t>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</si>
  <si>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利口酒;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品; 威士忌; 混合威士忌酒; 白酒;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</si>
  <si>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志</t>
    </r>
    <r>
      <rPr>
        <sz val="11"/>
        <rFont val="ＭＳ Ｐゴシック"/>
        <family val="3"/>
        <charset val="134"/>
        <scheme val="minor"/>
      </rPr>
      <t>为贵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</si>
  <si>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苹果酒;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露酒; 餐后酒(利口酒和烈酒)</t>
    </r>
  </si>
  <si>
    <r>
      <t>威</t>
    </r>
    <r>
      <rPr>
        <sz val="11"/>
        <rFont val="ＭＳ Ｐゴシック"/>
        <family val="3"/>
        <charset val="134"/>
        <scheme val="minor"/>
      </rPr>
      <t>枫</t>
    </r>
    <r>
      <rPr>
        <sz val="11"/>
        <rFont val="ＭＳ Ｐゴシック"/>
        <family val="3"/>
        <charset val="128"/>
        <scheme val="minor"/>
      </rPr>
      <t>露</t>
    </r>
  </si>
  <si>
    <r>
      <t>广州曜晟科技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</si>
  <si>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佐餐酒; 含酒精的潘趣酒; 开胃酒; 果酒(含酒精); 汽酒; 甜酒; 苦味酒;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</si>
  <si>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 xml:space="preserve">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黄酒</t>
    </r>
  </si>
  <si>
    <r>
      <t>盈投科技控股集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</si>
  <si>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含酒精的充气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</si>
  <si>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 xml:space="preserve">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</si>
  <si>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深圳</t>
    </r>
    <r>
      <rPr>
        <sz val="11"/>
        <rFont val="ＭＳ Ｐゴシック"/>
        <family val="3"/>
        <charset val="134"/>
        <scheme val="minor"/>
      </rPr>
      <t>烨创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</si>
  <si>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朗姆酒;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苹果酒;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</t>
    </r>
  </si>
  <si>
    <r>
      <t>西斯达教育科技集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</si>
  <si>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青稞酒; 黄酒</t>
    </r>
  </si>
  <si>
    <r>
      <t>襄汾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新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林广告有限公司</t>
    </r>
  </si>
  <si>
    <r>
      <t xml:space="preserve"> 威士忌; 甜果酒;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青稞酒;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</si>
  <si>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御制牌坊</t>
    </r>
    <r>
      <rPr>
        <sz val="11"/>
        <rFont val="ＭＳ Ｐゴシック"/>
        <family val="3"/>
        <charset val="134"/>
        <scheme val="minor"/>
      </rPr>
      <t>缘</t>
    </r>
  </si>
  <si>
    <r>
      <t>四川牌坊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</si>
  <si>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梅酒;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露酒; 高粱酒</t>
    </r>
  </si>
  <si>
    <r>
      <t>李</t>
    </r>
    <r>
      <rPr>
        <sz val="11"/>
        <rFont val="ＭＳ Ｐゴシック"/>
        <family val="3"/>
        <charset val="134"/>
        <scheme val="minor"/>
      </rPr>
      <t>远虑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</si>
  <si>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黄酒</t>
    </r>
  </si>
  <si>
    <r>
      <t>黄</t>
    </r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祥</t>
    </r>
  </si>
  <si>
    <r>
      <t xml:space="preserve"> 果酒; 果酒(含酒精); 清酒; 白干酒(中国白酒); 白酒; 米酒;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</t>
    </r>
  </si>
  <si>
    <r>
      <t>瑞致</t>
    </r>
    <r>
      <rPr>
        <sz val="11"/>
        <rFont val="ＭＳ Ｐゴシック"/>
        <family val="3"/>
        <charset val="134"/>
        <scheme val="minor"/>
      </rPr>
      <t>优选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</si>
  <si>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果酒(含酒精);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高粱酒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</si>
  <si>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江国之旅游(山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)有限公司孝心之旅分公司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</si>
  <si>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</si>
  <si>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rPr>
        <sz val="11"/>
        <rFont val="ＭＳ Ｐゴシック"/>
        <family val="3"/>
        <charset val="134"/>
        <scheme val="minor"/>
      </rPr>
      <t>绍</t>
    </r>
    <r>
      <rPr>
        <sz val="11"/>
        <rFont val="ＭＳ Ｐゴシック"/>
        <family val="3"/>
        <charset val="128"/>
        <scheme val="minor"/>
      </rPr>
      <t>德堂木草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</si>
  <si>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清酒;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</si>
  <si>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rPr>
        <sz val="11"/>
        <rFont val="ＭＳ Ｐゴシック"/>
        <family val="3"/>
        <charset val="134"/>
        <scheme val="minor"/>
      </rPr>
      <t>陈剑</t>
    </r>
    <r>
      <rPr>
        <sz val="11"/>
        <rFont val="ＭＳ Ｐゴシック"/>
        <family val="3"/>
        <charset val="128"/>
        <scheme val="minor"/>
      </rPr>
      <t>生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</si>
  <si>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</si>
  <si>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rPr>
        <sz val="11"/>
        <rFont val="ＭＳ Ｐゴシック"/>
        <family val="3"/>
        <charset val="134"/>
        <scheme val="minor"/>
      </rPr>
      <t>宫</t>
    </r>
    <r>
      <rPr>
        <sz val="11"/>
        <rFont val="ＭＳ Ｐゴシック"/>
        <family val="3"/>
        <charset val="128"/>
        <scheme val="minor"/>
      </rPr>
      <t>乘</t>
    </r>
  </si>
  <si>
    <r>
      <t>涂</t>
    </r>
    <r>
      <rPr>
        <sz val="11"/>
        <rFont val="ＭＳ Ｐゴシック"/>
        <family val="3"/>
        <charset val="134"/>
        <scheme val="minor"/>
      </rPr>
      <t>华龙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</si>
  <si>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梨酒;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蜂蜜酒; 青稞酒; 黄酒</t>
    </r>
  </si>
  <si>
    <r>
      <t>衡豪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坊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</si>
  <si>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</si>
  <si>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玉</t>
    </r>
    <r>
      <rPr>
        <sz val="11"/>
        <rFont val="ＭＳ Ｐゴシック"/>
        <family val="3"/>
        <charset val="134"/>
        <scheme val="minor"/>
      </rPr>
      <t>罗</t>
    </r>
  </si>
  <si>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半生</t>
    </r>
  </si>
  <si>
    <r>
      <t>哈</t>
    </r>
    <r>
      <rPr>
        <sz val="11"/>
        <rFont val="ＭＳ Ｐゴシック"/>
        <family val="3"/>
        <charset val="134"/>
        <scheme val="minor"/>
      </rPr>
      <t>尔滨问</t>
    </r>
    <r>
      <rPr>
        <sz val="11"/>
        <rFont val="ＭＳ Ｐゴシック"/>
        <family val="3"/>
        <charset val="128"/>
        <scheme val="minor"/>
      </rPr>
      <t>天品牌管理有限公司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</si>
  <si>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青稞酒; 食用酒精; 黄酒</t>
    </r>
  </si>
  <si>
    <r>
      <rPr>
        <sz val="11"/>
        <rFont val="ＭＳ Ｐゴシック"/>
        <family val="3"/>
        <charset val="134"/>
        <scheme val="minor"/>
      </rPr>
      <t>杨华</t>
    </r>
    <r>
      <rPr>
        <sz val="11"/>
        <rFont val="ＭＳ Ｐゴシック"/>
        <family val="3"/>
        <charset val="128"/>
        <scheme val="minor"/>
      </rPr>
      <t>娟</t>
    </r>
  </si>
  <si>
    <r>
      <t xml:space="preserve">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</si>
  <si>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t>健</t>
    </r>
    <r>
      <rPr>
        <sz val="11"/>
        <rFont val="ＭＳ Ｐゴシック"/>
        <family val="3"/>
        <charset val="134"/>
        <scheme val="minor"/>
      </rPr>
      <t>岁</t>
    </r>
    <r>
      <rPr>
        <sz val="11"/>
        <rFont val="ＭＳ Ｐゴシック"/>
        <family val="3"/>
        <charset val="128"/>
        <scheme val="minor"/>
      </rPr>
      <t>堂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</si>
  <si>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江素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</si>
  <si>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白酒; 米酒; 葡萄酒; 蜂蜜酒; 蝮蛇酒; 黄酒; 黑醋栗酒</t>
    </r>
  </si>
  <si>
    <r>
      <t>北京喜</t>
    </r>
    <r>
      <rPr>
        <sz val="11"/>
        <rFont val="ＭＳ Ｐゴシック"/>
        <family val="3"/>
        <charset val="134"/>
        <scheme val="minor"/>
      </rPr>
      <t>丽</t>
    </r>
    <r>
      <rPr>
        <sz val="11"/>
        <rFont val="ＭＳ Ｐゴシック"/>
        <family val="3"/>
        <charset val="128"/>
        <scheme val="minor"/>
      </rPr>
      <t>恒友科技有限公司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</si>
  <si>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</si>
  <si>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涧</t>
    </r>
    <r>
      <rPr>
        <sz val="11"/>
        <rFont val="ＭＳ Ｐゴシック"/>
        <family val="3"/>
        <charset val="128"/>
        <scheme val="minor"/>
      </rPr>
      <t>田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窟山</t>
    </r>
  </si>
  <si>
    <r>
      <t xml:space="preserve"> 开胃酒;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</si>
  <si>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成都交子公园金融商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区投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</si>
  <si>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</si>
  <si>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t>甘</t>
    </r>
    <r>
      <rPr>
        <sz val="11"/>
        <rFont val="ＭＳ Ｐゴシック"/>
        <family val="3"/>
        <charset val="134"/>
        <scheme val="minor"/>
      </rPr>
      <t>肃</t>
    </r>
    <r>
      <rPr>
        <sz val="11"/>
        <rFont val="ＭＳ Ｐゴシック"/>
        <family val="3"/>
        <charset val="128"/>
        <scheme val="minor"/>
      </rPr>
      <t>谷香道和企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</si>
  <si>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</si>
  <si>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果酒(含酒精);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</t>
    </r>
  </si>
  <si>
    <r>
      <rPr>
        <sz val="11"/>
        <rFont val="ＭＳ Ｐゴシック"/>
        <family val="3"/>
        <charset val="134"/>
        <scheme val="minor"/>
      </rPr>
      <t>简</t>
    </r>
    <r>
      <rPr>
        <sz val="11"/>
        <rFont val="ＭＳ Ｐゴシック"/>
        <family val="3"/>
        <charset val="128"/>
        <scheme val="minor"/>
      </rPr>
      <t>悦(重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)餐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</si>
  <si>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</si>
  <si>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山西甄</t>
    </r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国</t>
    </r>
    <r>
      <rPr>
        <sz val="11"/>
        <rFont val="ＭＳ Ｐゴシック"/>
        <family val="3"/>
        <charset val="134"/>
        <scheme val="minor"/>
      </rPr>
      <t>际贸</t>
    </r>
    <r>
      <rPr>
        <sz val="11"/>
        <rFont val="ＭＳ Ｐゴシック"/>
        <family val="3"/>
        <charset val="128"/>
        <scheme val="minor"/>
      </rPr>
      <t>易有限公司</t>
    </r>
  </si>
  <si>
    <r>
      <t>荷</t>
    </r>
    <r>
      <rPr>
        <sz val="11"/>
        <rFont val="ＭＳ Ｐゴシック"/>
        <family val="3"/>
        <charset val="134"/>
        <scheme val="minor"/>
      </rPr>
      <t>论</t>
    </r>
  </si>
  <si>
    <r>
      <rPr>
        <sz val="11"/>
        <rFont val="ＭＳ Ｐゴシック"/>
        <family val="3"/>
        <charset val="134"/>
        <scheme val="minor"/>
      </rPr>
      <t>赵庙</t>
    </r>
    <r>
      <rPr>
        <sz val="11"/>
        <rFont val="ＭＳ Ｐゴシック"/>
        <family val="3"/>
        <charset val="128"/>
        <scheme val="minor"/>
      </rPr>
      <t>粉</t>
    </r>
  </si>
  <si>
    <r>
      <t xml:space="preserve"> 利口酒; 威士忌;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</t>
    </r>
  </si>
  <si>
    <r>
      <rPr>
        <sz val="11"/>
        <rFont val="ＭＳ Ｐゴシック"/>
        <family val="3"/>
        <charset val="134"/>
        <scheme val="minor"/>
      </rPr>
      <t>纤</t>
    </r>
    <r>
      <rPr>
        <sz val="11"/>
        <rFont val="ＭＳ Ｐゴシック"/>
        <family val="3"/>
        <charset val="128"/>
        <scheme val="minor"/>
      </rPr>
      <t>悉</t>
    </r>
  </si>
  <si>
    <r>
      <t>广州新足印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</si>
  <si>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开胃酒;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</si>
  <si>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州珍月楼酒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</si>
  <si>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黄酒</t>
    </r>
  </si>
  <si>
    <r>
      <t>河南百吉堡餐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</si>
  <si>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>朗</t>
    </r>
    <r>
      <rPr>
        <sz val="11"/>
        <rFont val="ＭＳ Ｐゴシック"/>
        <family val="3"/>
        <charset val="134"/>
        <scheme val="minor"/>
      </rPr>
      <t>铮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</si>
  <si>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</si>
  <si>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 xml:space="preserve"> 利口酒; 开胃酒; 果酒; 汽酒; 烈酒;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</t>
    </r>
  </si>
  <si>
    <r>
      <t>月到</t>
    </r>
    <r>
      <rPr>
        <sz val="11"/>
        <rFont val="ＭＳ Ｐゴシック"/>
        <family val="3"/>
        <charset val="134"/>
        <scheme val="minor"/>
      </rPr>
      <t>轩</t>
    </r>
  </si>
  <si>
    <r>
      <t>上海月到</t>
    </r>
    <r>
      <rPr>
        <sz val="11"/>
        <rFont val="ＭＳ Ｐゴシック"/>
        <family val="3"/>
        <charset val="134"/>
        <scheme val="minor"/>
      </rPr>
      <t>轩</t>
    </r>
    <r>
      <rPr>
        <sz val="11"/>
        <rFont val="ＭＳ Ｐゴシック"/>
        <family val="3"/>
        <charset val="128"/>
        <scheme val="minor"/>
      </rPr>
      <t>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</si>
  <si>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</si>
  <si>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午正</t>
    </r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分</t>
    </r>
  </si>
  <si>
    <r>
      <t>深圳市午正</t>
    </r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分企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管理有限公司</t>
    </r>
  </si>
  <si>
    <r>
      <rPr>
        <sz val="11"/>
        <rFont val="ＭＳ Ｐゴシック"/>
        <family val="3"/>
        <charset val="134"/>
        <scheme val="minor"/>
      </rPr>
      <t>罗庆</t>
    </r>
    <r>
      <rPr>
        <sz val="11"/>
        <rFont val="ＭＳ Ｐゴシック"/>
        <family val="3"/>
        <charset val="128"/>
        <scheme val="minor"/>
      </rPr>
      <t>邦</t>
    </r>
  </si>
  <si>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威</t>
    </r>
  </si>
  <si>
    <r>
      <t xml:space="preserve"> 利口酒;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</si>
  <si>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 xml:space="preserve">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</si>
  <si>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邦富</t>
    </r>
    <r>
      <rPr>
        <sz val="11"/>
        <rFont val="ＭＳ Ｐゴシック"/>
        <family val="3"/>
        <charset val="134"/>
        <scheme val="minor"/>
      </rPr>
      <t>贝诗</t>
    </r>
    <r>
      <rPr>
        <sz val="11"/>
        <rFont val="ＭＳ Ｐゴシック"/>
        <family val="3"/>
        <charset val="128"/>
        <scheme val="minor"/>
      </rPr>
      <t>妮</t>
    </r>
  </si>
  <si>
    <r>
      <t>王</t>
    </r>
    <r>
      <rPr>
        <sz val="11"/>
        <rFont val="ＭＳ Ｐゴシック"/>
        <family val="3"/>
        <charset val="134"/>
        <scheme val="minor"/>
      </rPr>
      <t>鹏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</si>
  <si>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米酒; 葡萄酒; 蒸煮提取物(利口酒和烈酒);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</si>
  <si>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洞庭</t>
    </r>
    <r>
      <rPr>
        <sz val="11"/>
        <rFont val="ＭＳ Ｐゴシック"/>
        <family val="3"/>
        <charset val="134"/>
        <scheme val="minor"/>
      </rPr>
      <t>纪</t>
    </r>
  </si>
  <si>
    <r>
      <rPr>
        <sz val="11"/>
        <rFont val="ＭＳ Ｐゴシック"/>
        <family val="3"/>
        <charset val="134"/>
        <scheme val="minor"/>
      </rPr>
      <t>许镇</t>
    </r>
    <r>
      <rPr>
        <sz val="11"/>
        <rFont val="ＭＳ Ｐゴシック"/>
        <family val="3"/>
        <charset val="128"/>
        <scheme val="minor"/>
      </rPr>
      <t>江</t>
    </r>
  </si>
  <si>
    <r>
      <t>广西天呈</t>
    </r>
    <r>
      <rPr>
        <sz val="11"/>
        <rFont val="ＭＳ Ｐゴシック"/>
        <family val="3"/>
        <charset val="134"/>
        <scheme val="minor"/>
      </rPr>
      <t>艺</t>
    </r>
    <r>
      <rPr>
        <sz val="11"/>
        <rFont val="ＭＳ Ｐゴシック"/>
        <family val="3"/>
        <charset val="128"/>
        <scheme val="minor"/>
      </rPr>
      <t>生物科技有限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</si>
  <si>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果酒(含酒精); 汽酒;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</si>
  <si>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蒋志</t>
    </r>
    <r>
      <rPr>
        <sz val="11"/>
        <rFont val="ＭＳ Ｐゴシック"/>
        <family val="3"/>
        <charset val="134"/>
        <scheme val="minor"/>
      </rPr>
      <t>军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</si>
  <si>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</si>
  <si>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诸</t>
    </r>
    <r>
      <rPr>
        <sz val="11"/>
        <rFont val="ＭＳ Ｐゴシック"/>
        <family val="3"/>
        <charset val="128"/>
        <scheme val="minor"/>
      </rPr>
      <t>海波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</si>
  <si>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餐后酒(利口酒和烈酒)</t>
    </r>
  </si>
  <si>
    <r>
      <t xml:space="preserve"> 威士忌;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</si>
  <si>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哈拉塔勒加斯力家</t>
    </r>
    <r>
      <rPr>
        <sz val="11"/>
        <rFont val="ＭＳ Ｐゴシック"/>
        <family val="3"/>
        <charset val="134"/>
        <scheme val="minor"/>
      </rPr>
      <t>乡产</t>
    </r>
    <r>
      <rPr>
        <sz val="11"/>
        <rFont val="ＭＳ Ｐゴシック"/>
        <family val="3"/>
        <charset val="128"/>
        <scheme val="minor"/>
      </rPr>
      <t>品</t>
    </r>
  </si>
  <si>
    <r>
      <t>努</t>
    </r>
    <r>
      <rPr>
        <sz val="11"/>
        <rFont val="ＭＳ Ｐゴシック"/>
        <family val="3"/>
        <charset val="134"/>
        <scheme val="minor"/>
      </rPr>
      <t>尔别</t>
    </r>
    <r>
      <rPr>
        <sz val="11"/>
        <rFont val="ＭＳ Ｐゴシック"/>
        <family val="3"/>
        <charset val="128"/>
        <scheme val="minor"/>
      </rPr>
      <t>克·</t>
    </r>
    <r>
      <rPr>
        <sz val="11"/>
        <rFont val="ＭＳ Ｐゴシック"/>
        <family val="3"/>
        <charset val="134"/>
        <scheme val="minor"/>
      </rPr>
      <t>热</t>
    </r>
    <r>
      <rPr>
        <sz val="11"/>
        <rFont val="ＭＳ Ｐゴシック"/>
        <family val="3"/>
        <charset val="128"/>
        <scheme val="minor"/>
      </rPr>
      <t>哈提</t>
    </r>
  </si>
  <si>
    <r>
      <t xml:space="preserve"> 果酒; 梨酒;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苦味酒; 苹果酒; 葡萄酒;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</si>
  <si>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顾卫</t>
    </r>
    <r>
      <rPr>
        <sz val="11"/>
        <rFont val="ＭＳ Ｐゴシック"/>
        <family val="3"/>
        <charset val="128"/>
        <scheme val="minor"/>
      </rPr>
      <t>峰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</si>
  <si>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</si>
  <si>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澄</t>
    </r>
    <r>
      <rPr>
        <sz val="11"/>
        <rFont val="ＭＳ Ｐゴシック"/>
        <family val="3"/>
        <charset val="134"/>
        <scheme val="minor"/>
      </rPr>
      <t>财</t>
    </r>
    <r>
      <rPr>
        <sz val="11"/>
        <rFont val="ＭＳ Ｐゴシック"/>
        <family val="3"/>
        <charset val="128"/>
        <scheme val="minor"/>
      </rPr>
      <t>家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</si>
  <si>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清酒;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青稞酒; 食用酒精; 黄酒</t>
    </r>
  </si>
  <si>
    <r>
      <t xml:space="preserve"> 以蒸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主的开胃酒; 开胃酒;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苹果酒;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</si>
  <si>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三江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民心酒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</si>
  <si>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白葡萄酒;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</si>
  <si>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神奇小</t>
    </r>
    <r>
      <rPr>
        <sz val="11"/>
        <rFont val="ＭＳ Ｐゴシック"/>
        <family val="3"/>
        <charset val="134"/>
        <scheme val="minor"/>
      </rPr>
      <t>鸟</t>
    </r>
  </si>
  <si>
    <r>
      <t>安</t>
    </r>
    <r>
      <rPr>
        <sz val="11"/>
        <rFont val="ＭＳ Ｐゴシック"/>
        <family val="3"/>
        <charset val="134"/>
        <scheme val="minor"/>
      </rPr>
      <t>辉</t>
    </r>
  </si>
  <si>
    <r>
      <t xml:space="preserve"> 果酒(含酒精);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黄酒;未知群</t>
    </r>
    <r>
      <rPr>
        <sz val="11"/>
        <rFont val="ＭＳ Ｐゴシック"/>
        <family val="3"/>
        <charset val="134"/>
        <scheme val="minor"/>
      </rPr>
      <t>组</t>
    </r>
    <r>
      <rPr>
        <sz val="11"/>
        <rFont val="ＭＳ Ｐゴシック"/>
        <family val="3"/>
        <charset val="128"/>
        <scheme val="minor"/>
      </rPr>
      <t xml:space="preserve"> 葡糖酒</t>
    </r>
  </si>
  <si>
    <r>
      <t>盛台</t>
    </r>
    <r>
      <rPr>
        <sz val="11"/>
        <rFont val="ＭＳ Ｐゴシック"/>
        <family val="3"/>
        <charset val="134"/>
        <scheme val="minor"/>
      </rPr>
      <t>酱</t>
    </r>
    <r>
      <rPr>
        <sz val="11"/>
        <rFont val="ＭＳ Ｐゴシック"/>
        <family val="3"/>
        <charset val="128"/>
        <scheme val="minor"/>
      </rPr>
      <t>酒(厦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)酒</t>
    </r>
    <r>
      <rPr>
        <sz val="11"/>
        <rFont val="ＭＳ Ｐゴシック"/>
        <family val="3"/>
        <charset val="134"/>
        <scheme val="minor"/>
      </rPr>
      <t>业销</t>
    </r>
    <r>
      <rPr>
        <sz val="11"/>
        <rFont val="ＭＳ Ｐゴシック"/>
        <family val="3"/>
        <charset val="128"/>
        <scheme val="minor"/>
      </rPr>
      <t>售有限公司</t>
    </r>
  </si>
  <si>
    <r>
      <t xml:space="preserve"> 威士忌; 开胃酒; 朗姆酒; 果酒(含酒精);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米酒;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</si>
  <si>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瓶</t>
    </r>
  </si>
  <si>
    <r>
      <t>襄城</t>
    </r>
    <r>
      <rPr>
        <sz val="11"/>
        <rFont val="ＭＳ Ｐゴシック"/>
        <family val="3"/>
        <charset val="134"/>
        <scheme val="minor"/>
      </rPr>
      <t>县东亚农业</t>
    </r>
    <r>
      <rPr>
        <sz val="11"/>
        <rFont val="ＭＳ Ｐゴシック"/>
        <family val="3"/>
        <charset val="128"/>
        <scheme val="minor"/>
      </rPr>
      <t>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</si>
  <si>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</t>
    </r>
  </si>
  <si>
    <r>
      <t>青</t>
    </r>
    <r>
      <rPr>
        <sz val="11"/>
        <rFont val="ＭＳ Ｐゴシック"/>
        <family val="3"/>
        <charset val="134"/>
        <scheme val="minor"/>
      </rPr>
      <t>岛</t>
    </r>
    <r>
      <rPr>
        <sz val="11"/>
        <rFont val="ＭＳ Ｐゴシック"/>
        <family val="3"/>
        <charset val="128"/>
        <scheme val="minor"/>
      </rPr>
      <t>六九餐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</si>
  <si>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伏特加酒; 加烈葡萄酒; 威士忌; 朗姆酒; 混合威士忌酒;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</si>
  <si>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葆春(四川)医</t>
    </r>
    <r>
      <rPr>
        <sz val="11"/>
        <rFont val="ＭＳ Ｐゴシック"/>
        <family val="3"/>
        <charset val="134"/>
        <scheme val="minor"/>
      </rPr>
      <t>药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</si>
  <si>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高粱酒; 黄酒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</si>
  <si>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种竹</t>
    </r>
  </si>
  <si>
    <r>
      <t>湖南金叶原</t>
    </r>
    <r>
      <rPr>
        <sz val="11"/>
        <rFont val="ＭＳ Ｐゴシック"/>
        <family val="3"/>
        <charset val="134"/>
        <scheme val="minor"/>
      </rPr>
      <t>浆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</si>
  <si>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</si>
  <si>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汨江</t>
    </r>
    <r>
      <rPr>
        <sz val="11"/>
        <rFont val="ＭＳ Ｐゴシック"/>
        <family val="3"/>
        <charset val="134"/>
        <scheme val="minor"/>
      </rPr>
      <t>记忆</t>
    </r>
  </si>
  <si>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粮散</t>
    </r>
  </si>
  <si>
    <r>
      <t xml:space="preserve"> 五加皮酒(中国混合烈酒);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高粱酒; 黄酒</t>
    </r>
  </si>
  <si>
    <r>
      <t>谷</t>
    </r>
    <r>
      <rPr>
        <sz val="11"/>
        <rFont val="ＭＳ Ｐゴシック"/>
        <family val="3"/>
        <charset val="134"/>
        <scheme val="minor"/>
      </rPr>
      <t>坚强</t>
    </r>
  </si>
  <si>
    <r>
      <t xml:space="preserve"> 威士忌; 混合威士忌酒;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露酒; 高粱酒; 黄酒</t>
    </r>
  </si>
  <si>
    <r>
      <t>礼</t>
    </r>
    <r>
      <rPr>
        <sz val="11"/>
        <rFont val="ＭＳ Ｐゴシック"/>
        <family val="3"/>
        <charset val="134"/>
        <scheme val="minor"/>
      </rPr>
      <t>赞</t>
    </r>
    <r>
      <rPr>
        <sz val="11"/>
        <rFont val="ＭＳ Ｐゴシック"/>
        <family val="3"/>
        <charset val="128"/>
        <scheme val="minor"/>
      </rPr>
      <t>巴洛克</t>
    </r>
  </si>
  <si>
    <r>
      <t>哈</t>
    </r>
    <r>
      <rPr>
        <sz val="11"/>
        <rFont val="ＭＳ Ｐゴシック"/>
        <family val="3"/>
        <charset val="134"/>
        <scheme val="minor"/>
      </rPr>
      <t>尔滨</t>
    </r>
    <r>
      <rPr>
        <sz val="11"/>
        <rFont val="ＭＳ Ｐゴシック"/>
        <family val="3"/>
        <charset val="128"/>
        <scheme val="minor"/>
      </rPr>
      <t>工小友</t>
    </r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代文化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</si>
  <si>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</si>
  <si>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谭</t>
    </r>
    <r>
      <rPr>
        <sz val="11"/>
        <rFont val="ＭＳ Ｐゴシック"/>
        <family val="3"/>
        <charset val="128"/>
        <scheme val="minor"/>
      </rPr>
      <t>清霞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</si>
  <si>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高粱酒; 黄酒</t>
    </r>
  </si>
  <si>
    <r>
      <t>黔王老九</t>
    </r>
    <r>
      <rPr>
        <sz val="11"/>
        <rFont val="ＭＳ Ｐゴシック"/>
        <family val="3"/>
        <charset val="134"/>
        <scheme val="minor"/>
      </rPr>
      <t>门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</si>
  <si>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州黔王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酒有限公司</t>
    </r>
  </si>
  <si>
    <r>
      <t xml:space="preserve">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甜酒; 白酒; 葡萄酒; 露酒; 高粱酒; 黄酒</t>
    </r>
  </si>
  <si>
    <r>
      <t>金</t>
    </r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福</t>
    </r>
  </si>
  <si>
    <r>
      <t>香港金仕杰国</t>
    </r>
    <r>
      <rPr>
        <sz val="11"/>
        <rFont val="ＭＳ Ｐゴシック"/>
        <family val="3"/>
        <charset val="134"/>
        <scheme val="minor"/>
      </rPr>
      <t>际</t>
    </r>
    <r>
      <rPr>
        <sz val="11"/>
        <rFont val="ＭＳ Ｐゴシック"/>
        <family val="3"/>
        <charset val="128"/>
        <scheme val="minor"/>
      </rPr>
      <t>控股有限公司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</si>
  <si>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</si>
  <si>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rPr>
        <sz val="11"/>
        <rFont val="ＭＳ Ｐゴシック"/>
        <family val="3"/>
        <charset val="134"/>
        <scheme val="minor"/>
      </rPr>
      <t>银红</t>
    </r>
    <r>
      <rPr>
        <sz val="11"/>
        <rFont val="ＭＳ Ｐゴシック"/>
        <family val="3"/>
        <charset val="128"/>
        <scheme val="minor"/>
      </rPr>
      <t>台牌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台酒 </t>
    </r>
    <r>
      <rPr>
        <sz val="11"/>
        <rFont val="ＭＳ Ｐゴシック"/>
        <family val="3"/>
        <charset val="134"/>
        <scheme val="minor"/>
      </rPr>
      <t>银红</t>
    </r>
    <r>
      <rPr>
        <sz val="11"/>
        <rFont val="ＭＳ Ｐゴシック"/>
        <family val="3"/>
        <charset val="128"/>
        <scheme val="minor"/>
      </rPr>
      <t>台牌酒</t>
    </r>
  </si>
  <si>
    <r>
      <t xml:space="preserve"> 果酒;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</si>
  <si>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黄</t>
    </r>
    <r>
      <rPr>
        <sz val="11"/>
        <rFont val="ＭＳ Ｐゴシック"/>
        <family val="3"/>
        <charset val="134"/>
        <scheme val="minor"/>
      </rPr>
      <t>进</t>
    </r>
    <r>
      <rPr>
        <sz val="11"/>
        <rFont val="ＭＳ Ｐゴシック"/>
        <family val="3"/>
        <charset val="128"/>
        <scheme val="minor"/>
      </rPr>
      <t>中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</si>
  <si>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高粱酒</t>
    </r>
  </si>
  <si>
    <r>
      <rPr>
        <sz val="11"/>
        <rFont val="ＭＳ Ｐゴシック"/>
        <family val="3"/>
        <charset val="134"/>
        <scheme val="minor"/>
      </rPr>
      <t>钢</t>
    </r>
    <r>
      <rPr>
        <sz val="11"/>
        <rFont val="ＭＳ Ｐゴシック"/>
        <family val="3"/>
        <charset val="128"/>
        <scheme val="minor"/>
      </rPr>
      <t>筋鹿</t>
    </r>
  </si>
  <si>
    <r>
      <t xml:space="preserve"> 开胃酒; 果酒;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露酒;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</si>
  <si>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>酒球会(佛山)餐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</si>
  <si>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</si>
  <si>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州苗</t>
    </r>
    <r>
      <rPr>
        <sz val="11"/>
        <rFont val="ＭＳ Ｐゴシック"/>
        <family val="3"/>
        <charset val="134"/>
        <scheme val="minor"/>
      </rPr>
      <t>药</t>
    </r>
    <r>
      <rPr>
        <sz val="11"/>
        <rFont val="ＭＳ Ｐゴシック"/>
        <family val="3"/>
        <charset val="128"/>
        <scheme val="minor"/>
      </rPr>
      <t>生物科技集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</si>
  <si>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柑香酒;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</si>
  <si>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新疆多</t>
    </r>
    <r>
      <rPr>
        <sz val="11"/>
        <rFont val="ＭＳ Ｐゴシック"/>
        <family val="3"/>
        <charset val="134"/>
        <scheme val="minor"/>
      </rPr>
      <t>闻</t>
    </r>
    <r>
      <rPr>
        <sz val="11"/>
        <rFont val="ＭＳ Ｐゴシック"/>
        <family val="3"/>
        <charset val="128"/>
        <scheme val="minor"/>
      </rPr>
      <t>众和科技有限公司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</si>
  <si>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食用酒精; 高粱酒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</si>
  <si>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晟涵</t>
    </r>
  </si>
  <si>
    <r>
      <t xml:space="preserve"> 果酒; 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</si>
  <si>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谢</t>
    </r>
    <r>
      <rPr>
        <sz val="11"/>
        <rFont val="ＭＳ Ｐゴシック"/>
        <family val="3"/>
        <charset val="128"/>
        <scheme val="minor"/>
      </rPr>
      <t>艾</t>
    </r>
    <r>
      <rPr>
        <sz val="11"/>
        <rFont val="ＭＳ Ｐゴシック"/>
        <family val="3"/>
        <charset val="134"/>
        <scheme val="minor"/>
      </rPr>
      <t>尔</t>
    </r>
  </si>
  <si>
    <r>
      <t xml:space="preserve"> 伏特加酒;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</si>
  <si>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rPr>
        <sz val="11"/>
        <rFont val="ＭＳ Ｐゴシック"/>
        <family val="3"/>
        <charset val="134"/>
        <scheme val="minor"/>
      </rPr>
      <t>铁</t>
    </r>
    <r>
      <rPr>
        <sz val="11"/>
        <rFont val="ＭＳ Ｐゴシック"/>
        <family val="3"/>
        <charset val="128"/>
        <scheme val="minor"/>
      </rPr>
      <t>火客</t>
    </r>
  </si>
  <si>
    <r>
      <t>周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明</t>
    </r>
  </si>
  <si>
    <r>
      <t xml:space="preserve"> 果酒(含酒精); 水果汽酒;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黄酒</t>
    </r>
  </si>
  <si>
    <r>
      <rPr>
        <sz val="11"/>
        <rFont val="ＭＳ Ｐゴシック"/>
        <family val="3"/>
        <charset val="134"/>
        <scheme val="minor"/>
      </rPr>
      <t>乌</t>
    </r>
    <r>
      <rPr>
        <sz val="11"/>
        <rFont val="ＭＳ Ｐゴシック"/>
        <family val="3"/>
        <charset val="128"/>
        <scheme val="minor"/>
      </rPr>
      <t>蒙苗坊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</si>
  <si>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万菊</t>
    </r>
  </si>
  <si>
    <r>
      <t xml:space="preserve"> 果酒(含酒精);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黄酒</t>
    </r>
  </si>
  <si>
    <r>
      <t>漳州市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文</t>
    </r>
    <r>
      <rPr>
        <sz val="11"/>
        <rFont val="ＭＳ Ｐゴシック"/>
        <family val="3"/>
        <charset val="134"/>
        <scheme val="minor"/>
      </rPr>
      <t>钱满</t>
    </r>
    <r>
      <rPr>
        <sz val="11"/>
        <rFont val="ＭＳ Ｐゴシック"/>
        <family val="3"/>
        <charset val="128"/>
        <scheme val="minor"/>
      </rPr>
      <t>屋投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</si>
  <si>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主的开胃酒; 伏特加酒; 威士忌;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果酒(含酒精);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黄酒</t>
    </r>
  </si>
  <si>
    <r>
      <t xml:space="preserve"> 开胃酒;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青稞酒; 黄酒</t>
    </r>
  </si>
  <si>
    <r>
      <t>京</t>
    </r>
    <r>
      <rPr>
        <sz val="11"/>
        <rFont val="ＭＳ Ｐゴシック"/>
        <family val="3"/>
        <charset val="134"/>
        <scheme val="minor"/>
      </rPr>
      <t>颜</t>
    </r>
    <r>
      <rPr>
        <sz val="11"/>
        <rFont val="ＭＳ Ｐゴシック"/>
        <family val="3"/>
        <charset val="128"/>
        <scheme val="minor"/>
      </rPr>
      <t>悦色</t>
    </r>
  </si>
  <si>
    <r>
      <t xml:space="preserve"> 开胃酒;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</si>
  <si>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黄</t>
    </r>
    <r>
      <rPr>
        <sz val="11"/>
        <rFont val="ＭＳ Ｐゴシック"/>
        <family val="3"/>
        <charset val="134"/>
        <scheme val="minor"/>
      </rPr>
      <t>伟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</si>
  <si>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</si>
  <si>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林斯黛</t>
    </r>
    <r>
      <rPr>
        <sz val="11"/>
        <rFont val="ＭＳ Ｐゴシック"/>
        <family val="3"/>
        <charset val="134"/>
        <scheme val="minor"/>
      </rPr>
      <t>尔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</si>
  <si>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开胃酒; 苹果酒; 葡萄酒;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</si>
  <si>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酎台君 把酒言</t>
    </r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，君子有度 ！</t>
    </r>
  </si>
  <si>
    <r>
      <t>科方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本投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</si>
  <si>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省世遵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</si>
  <si>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蒸煮提取物(利口酒和烈酒); 食用酒精; 高粱酒</t>
    </r>
  </si>
  <si>
    <r>
      <rPr>
        <sz val="11"/>
        <rFont val="ＭＳ Ｐゴシック"/>
        <family val="3"/>
        <charset val="134"/>
        <scheme val="minor"/>
      </rPr>
      <t>卢</t>
    </r>
    <r>
      <rPr>
        <sz val="11"/>
        <rFont val="ＭＳ Ｐゴシック"/>
        <family val="3"/>
        <charset val="128"/>
        <scheme val="minor"/>
      </rPr>
      <t>氏</t>
    </r>
    <r>
      <rPr>
        <sz val="11"/>
        <rFont val="ＭＳ Ｐゴシック"/>
        <family val="3"/>
        <charset val="134"/>
        <scheme val="minor"/>
      </rPr>
      <t>标</t>
    </r>
    <r>
      <rPr>
        <sz val="11"/>
        <rFont val="ＭＳ Ｐゴシック"/>
        <family val="3"/>
        <charset val="128"/>
        <scheme val="minor"/>
      </rPr>
      <t>点符号</t>
    </r>
    <r>
      <rPr>
        <sz val="11"/>
        <rFont val="ＭＳ Ｐゴシック"/>
        <family val="3"/>
        <charset val="134"/>
        <scheme val="minor"/>
      </rPr>
      <t>农业发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</si>
  <si>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</si>
  <si>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四川青衣文化旅游开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</si>
  <si>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汽酒;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</si>
  <si>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标</t>
    </r>
    <r>
      <rPr>
        <sz val="11"/>
        <rFont val="ＭＳ Ｐゴシック"/>
        <family val="3"/>
        <charset val="128"/>
        <scheme val="minor"/>
      </rPr>
      <t>格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</si>
  <si>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</si>
  <si>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林志</t>
    </r>
    <r>
      <rPr>
        <sz val="11"/>
        <rFont val="ＭＳ Ｐゴシック"/>
        <family val="3"/>
        <charset val="134"/>
        <scheme val="minor"/>
      </rPr>
      <t>伟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</si>
  <si>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彩霞</t>
    </r>
  </si>
  <si>
    <r>
      <t xml:space="preserve"> 威士忌; 开胃酒;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</si>
  <si>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威海百合生物技</t>
    </r>
    <r>
      <rPr>
        <sz val="11"/>
        <rFont val="ＭＳ Ｐゴシック"/>
        <family val="3"/>
        <charset val="134"/>
        <scheme val="minor"/>
      </rPr>
      <t>术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</si>
  <si>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甜果酒;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</si>
  <si>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州百年原址酒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</si>
  <si>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</si>
  <si>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海</t>
    </r>
    <r>
      <rPr>
        <sz val="11"/>
        <rFont val="ＭＳ Ｐゴシック"/>
        <family val="3"/>
        <charset val="134"/>
        <scheme val="minor"/>
      </rPr>
      <t>纳</t>
    </r>
    <r>
      <rPr>
        <sz val="11"/>
        <rFont val="ＭＳ Ｐゴシック"/>
        <family val="3"/>
        <charset val="128"/>
        <scheme val="minor"/>
      </rPr>
      <t>馥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</si>
  <si>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海峪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</si>
  <si>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</si>
  <si>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邮</t>
    </r>
    <r>
      <rPr>
        <sz val="11"/>
        <rFont val="ＭＳ Ｐゴシック"/>
        <family val="3"/>
        <charset val="128"/>
        <scheme val="minor"/>
      </rPr>
      <t>府</t>
    </r>
  </si>
  <si>
    <r>
      <t>定州市古洲景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文化旅游管理有限公司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</si>
  <si>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利口酒;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品; 果酒(含酒精); 汽酒;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</t>
    </r>
  </si>
  <si>
    <r>
      <t>官谷</t>
    </r>
    <r>
      <rPr>
        <sz val="11"/>
        <rFont val="ＭＳ Ｐゴシック"/>
        <family val="3"/>
        <charset val="134"/>
        <scheme val="minor"/>
      </rPr>
      <t>风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</si>
  <si>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市父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子酒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</si>
  <si>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亲</t>
    </r>
    <r>
      <rPr>
        <sz val="11"/>
        <rFont val="ＭＳ Ｐゴシック"/>
        <family val="3"/>
        <charset val="128"/>
        <scheme val="minor"/>
      </rPr>
      <t>点</t>
    </r>
  </si>
  <si>
    <r>
      <t>淮北宏阳酒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</si>
  <si>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佐餐酒;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甜果酒; 白酒; 米酒; 葡萄酒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</si>
  <si>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州品知坊酒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</si>
  <si>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</si>
  <si>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史</t>
    </r>
    <r>
      <rPr>
        <sz val="11"/>
        <rFont val="ＭＳ Ｐゴシック"/>
        <family val="3"/>
        <charset val="134"/>
        <scheme val="minor"/>
      </rPr>
      <t>书汉</t>
    </r>
    <r>
      <rPr>
        <sz val="11"/>
        <rFont val="ＭＳ Ｐゴシック"/>
        <family val="3"/>
        <charset val="128"/>
        <scheme val="minor"/>
      </rPr>
      <t>秦</t>
    </r>
  </si>
  <si>
    <r>
      <t>中窖</t>
    </r>
    <r>
      <rPr>
        <sz val="11"/>
        <rFont val="ＭＳ Ｐゴシック"/>
        <family val="3"/>
        <charset val="134"/>
        <scheme val="minor"/>
      </rPr>
      <t>泸</t>
    </r>
  </si>
  <si>
    <r>
      <t>刘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超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</si>
  <si>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露酒; 青梅酒</t>
    </r>
  </si>
  <si>
    <r>
      <rPr>
        <sz val="11"/>
        <rFont val="ＭＳ Ｐゴシック"/>
        <family val="3"/>
        <charset val="134"/>
        <scheme val="minor"/>
      </rPr>
      <t>涟</t>
    </r>
    <r>
      <rPr>
        <sz val="11"/>
        <rFont val="ＭＳ Ｐゴシック"/>
        <family val="3"/>
        <charset val="128"/>
        <scheme val="minor"/>
      </rPr>
      <t>浬</t>
    </r>
  </si>
  <si>
    <r>
      <t xml:space="preserve"> 威士忌;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</si>
  <si>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青梅酒; 青稞酒; 高粱酒; 黄酒</t>
    </r>
  </si>
  <si>
    <r>
      <t>迷妮火烈</t>
    </r>
    <r>
      <rPr>
        <sz val="11"/>
        <rFont val="ＭＳ Ｐゴシック"/>
        <family val="3"/>
        <charset val="134"/>
        <scheme val="minor"/>
      </rPr>
      <t>鸟</t>
    </r>
  </si>
  <si>
    <r>
      <t>吉林省瑶池商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</si>
  <si>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</si>
  <si>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吉林省合</t>
    </r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宗广告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</si>
  <si>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</si>
  <si>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邑</t>
    </r>
    <r>
      <rPr>
        <sz val="11"/>
        <rFont val="ＭＳ Ｐゴシック"/>
        <family val="3"/>
        <charset val="134"/>
        <scheme val="minor"/>
      </rPr>
      <t>泽</t>
    </r>
    <r>
      <rPr>
        <sz val="11"/>
        <rFont val="ＭＳ Ｐゴシック"/>
        <family val="3"/>
        <charset val="128"/>
        <scheme val="minor"/>
      </rPr>
      <t>(厦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)酒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</si>
  <si>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威士忌; 朗姆酒;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</si>
  <si>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葡萄酒; 高粱酒; 黄酒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</si>
  <si>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燕</t>
    </r>
  </si>
  <si>
    <r>
      <t xml:space="preserve"> 利口酒;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苹果酒;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</si>
  <si>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rPr>
        <sz val="11"/>
        <rFont val="ＭＳ Ｐゴシック"/>
        <family val="3"/>
        <charset val="134"/>
        <scheme val="minor"/>
      </rPr>
      <t>飞骛</t>
    </r>
  </si>
  <si>
    <r>
      <t xml:space="preserve"> 果酒; 梅酒; 汽酒;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露酒</t>
    </r>
  </si>
  <si>
    <r>
      <rPr>
        <sz val="11"/>
        <rFont val="ＭＳ Ｐゴシック"/>
        <family val="3"/>
        <charset val="134"/>
        <scheme val="minor"/>
      </rPr>
      <t>鲁</t>
    </r>
    <r>
      <rPr>
        <sz val="11"/>
        <rFont val="ＭＳ Ｐゴシック"/>
        <family val="3"/>
        <charset val="128"/>
        <scheme val="minor"/>
      </rPr>
      <t>家客</t>
    </r>
  </si>
  <si>
    <r>
      <rPr>
        <sz val="11"/>
        <rFont val="ＭＳ Ｐゴシック"/>
        <family val="3"/>
        <charset val="134"/>
        <scheme val="minor"/>
      </rPr>
      <t>赟玺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</si>
  <si>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永</t>
    </r>
  </si>
  <si>
    <r>
      <t xml:space="preserve">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黄酒</t>
    </r>
  </si>
  <si>
    <r>
      <t>六安市叶集区修</t>
    </r>
    <r>
      <rPr>
        <sz val="11"/>
        <rFont val="ＭＳ Ｐゴシック"/>
        <family val="3"/>
        <charset val="134"/>
        <scheme val="minor"/>
      </rPr>
      <t>军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贸经营</t>
    </r>
    <r>
      <rPr>
        <sz val="11"/>
        <rFont val="ＭＳ Ｐゴシック"/>
        <family val="3"/>
        <charset val="128"/>
        <scheme val="minor"/>
      </rPr>
      <t>部</t>
    </r>
  </si>
  <si>
    <r>
      <t xml:space="preserve"> 威士忌; 开胃酒;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</si>
  <si>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>埃姆皮埃奥品牌内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达股份有限公司</t>
    </r>
  </si>
  <si>
    <r>
      <t>广西富川豫桂南北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</si>
  <si>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威士忌; 果酒; 汽酒;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蒸煮提取物(利口酒和烈酒)</t>
    </r>
  </si>
  <si>
    <r>
      <t>郭</t>
    </r>
    <r>
      <rPr>
        <sz val="11"/>
        <rFont val="ＭＳ Ｐゴシック"/>
        <family val="3"/>
        <charset val="134"/>
        <scheme val="minor"/>
      </rPr>
      <t>唤</t>
    </r>
    <r>
      <rPr>
        <sz val="11"/>
        <rFont val="ＭＳ Ｐゴシック"/>
        <family val="3"/>
        <charset val="128"/>
        <scheme val="minor"/>
      </rPr>
      <t>停</t>
    </r>
  </si>
  <si>
    <r>
      <t xml:space="preserve">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</si>
  <si>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rPr>
        <sz val="11"/>
        <rFont val="ＭＳ Ｐゴシック"/>
        <family val="3"/>
        <charset val="134"/>
        <scheme val="minor"/>
      </rPr>
      <t>娱乐</t>
    </r>
    <r>
      <rPr>
        <sz val="11"/>
        <rFont val="ＭＳ Ｐゴシック"/>
        <family val="3"/>
        <charset val="128"/>
        <scheme val="minor"/>
      </rPr>
      <t>升平</t>
    </r>
  </si>
  <si>
    <r>
      <t>李建</t>
    </r>
    <r>
      <rPr>
        <sz val="11"/>
        <rFont val="ＭＳ Ｐゴシック"/>
        <family val="3"/>
        <charset val="134"/>
        <scheme val="minor"/>
      </rPr>
      <t>东</t>
    </r>
  </si>
  <si>
    <r>
      <t xml:space="preserve"> 朗姆酒;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</si>
  <si>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湖北香泉外婆家家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</si>
  <si>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麦芽威士忌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</si>
  <si>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怡</t>
    </r>
  </si>
  <si>
    <r>
      <t>北京范儿酒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</si>
  <si>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草本型利口酒; 葡萄酒; 蜂蜜酒; 露酒</t>
    </r>
  </si>
  <si>
    <r>
      <rPr>
        <sz val="11"/>
        <rFont val="ＭＳ Ｐゴシック"/>
        <family val="3"/>
        <charset val="134"/>
        <scheme val="minor"/>
      </rPr>
      <t>严</t>
    </r>
    <r>
      <rPr>
        <sz val="11"/>
        <rFont val="ＭＳ Ｐゴシック"/>
        <family val="3"/>
        <charset val="128"/>
        <scheme val="minor"/>
      </rPr>
      <t>蛟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</si>
  <si>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</si>
  <si>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>法达</t>
    </r>
    <r>
      <rPr>
        <sz val="11"/>
        <rFont val="ＭＳ Ｐゴシック"/>
        <family val="3"/>
        <charset val="134"/>
        <scheme val="minor"/>
      </rPr>
      <t>龙</t>
    </r>
  </si>
  <si>
    <r>
      <rPr>
        <sz val="11"/>
        <rFont val="ＭＳ Ｐゴシック"/>
        <family val="3"/>
        <charset val="134"/>
        <scheme val="minor"/>
      </rPr>
      <t>卢飞龙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</si>
  <si>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露酒;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</si>
  <si>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北京宏</t>
    </r>
    <r>
      <rPr>
        <sz val="11"/>
        <rFont val="ＭＳ Ｐゴシック"/>
        <family val="3"/>
        <charset val="134"/>
        <scheme val="minor"/>
      </rPr>
      <t>润</t>
    </r>
    <r>
      <rPr>
        <sz val="11"/>
        <rFont val="ＭＳ Ｐゴシック"/>
        <family val="3"/>
        <charset val="128"/>
        <scheme val="minor"/>
      </rPr>
      <t>惠友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</si>
  <si>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威士忌; 果酒(含酒精);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</si>
  <si>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</si>
  <si>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闫绍帅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</si>
  <si>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</si>
  <si>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景德</t>
    </r>
    <r>
      <rPr>
        <sz val="11"/>
        <rFont val="ＭＳ Ｐゴシック"/>
        <family val="3"/>
        <charset val="134"/>
        <scheme val="minor"/>
      </rPr>
      <t>镇</t>
    </r>
    <r>
      <rPr>
        <sz val="11"/>
        <rFont val="ＭＳ Ｐゴシック"/>
        <family val="3"/>
        <charset val="128"/>
        <scheme val="minor"/>
      </rPr>
      <t>市申酒酒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</si>
  <si>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</si>
  <si>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四川蜀信致</t>
    </r>
    <r>
      <rPr>
        <sz val="11"/>
        <rFont val="ＭＳ Ｐゴシック"/>
        <family val="3"/>
        <charset val="134"/>
        <scheme val="minor"/>
      </rPr>
      <t>远</t>
    </r>
    <r>
      <rPr>
        <sz val="11"/>
        <rFont val="ＭＳ Ｐゴシック"/>
        <family val="3"/>
        <charset val="128"/>
        <scheme val="minor"/>
      </rPr>
      <t>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</si>
  <si>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混合威士忌酒;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</si>
  <si>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寻</t>
    </r>
    <r>
      <rPr>
        <sz val="11"/>
        <rFont val="ＭＳ Ｐゴシック"/>
        <family val="3"/>
        <charset val="128"/>
        <scheme val="minor"/>
      </rPr>
      <t>仙翁</t>
    </r>
  </si>
  <si>
    <r>
      <t xml:space="preserve"> 果酒(含酒精); 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</si>
  <si>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虎林市旅游事</t>
    </r>
    <r>
      <rPr>
        <sz val="11"/>
        <rFont val="ＭＳ Ｐゴシック"/>
        <family val="3"/>
        <charset val="134"/>
        <scheme val="minor"/>
      </rPr>
      <t>业发</t>
    </r>
    <r>
      <rPr>
        <sz val="11"/>
        <rFont val="ＭＳ Ｐゴシック"/>
        <family val="3"/>
        <charset val="128"/>
        <scheme val="minor"/>
      </rPr>
      <t>展中心</t>
    </r>
  </si>
  <si>
    <r>
      <t xml:space="preserve"> 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力酒; 开胃酒; 朝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族米酒; 果酒(含酒精); 苦味酒; 苹果酒; 茴芹酒(利口酒); 茴香酒(利口酒);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</t>
    </r>
  </si>
  <si>
    <r>
      <t>油你油我(海南)投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</si>
  <si>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开胃酒;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薄荷酒;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</si>
  <si>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四川</t>
    </r>
    <r>
      <rPr>
        <sz val="11"/>
        <rFont val="ＭＳ Ｐゴシック"/>
        <family val="3"/>
        <charset val="134"/>
        <scheme val="minor"/>
      </rPr>
      <t>优</t>
    </r>
    <r>
      <rPr>
        <sz val="11"/>
        <rFont val="ＭＳ Ｐゴシック"/>
        <family val="3"/>
        <charset val="128"/>
        <scheme val="minor"/>
      </rPr>
      <t>品益生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</si>
  <si>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>莫明·艾</t>
    </r>
    <r>
      <rPr>
        <sz val="11"/>
        <rFont val="ＭＳ Ｐゴシック"/>
        <family val="3"/>
        <charset val="134"/>
        <scheme val="minor"/>
      </rPr>
      <t>赛</t>
    </r>
    <r>
      <rPr>
        <sz val="11"/>
        <rFont val="ＭＳ Ｐゴシック"/>
        <family val="3"/>
        <charset val="128"/>
        <scheme val="minor"/>
      </rPr>
      <t>提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</si>
  <si>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以蒸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天然汽酒; 开胃酒; 果酒; 柑香酒; 白酒; 苦味酒; 苹果酒; 葡萄酒</t>
    </r>
  </si>
  <si>
    <r>
      <t>心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一</t>
    </r>
  </si>
  <si>
    <r>
      <t>国瀚</t>
    </r>
    <r>
      <rPr>
        <sz val="11"/>
        <rFont val="ＭＳ Ｐゴシック"/>
        <family val="3"/>
        <charset val="134"/>
        <scheme val="minor"/>
      </rPr>
      <t>农业</t>
    </r>
    <r>
      <rPr>
        <sz val="11"/>
        <rFont val="ＭＳ Ｐゴシック"/>
        <family val="3"/>
        <charset val="128"/>
        <scheme val="minor"/>
      </rPr>
      <t>有限公司</t>
    </r>
  </si>
  <si>
    <r>
      <t>广州市馥悦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</si>
  <si>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伏特加酒; 威士忌; 果酒(含酒精); 清酒(日本米酒);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</si>
  <si>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武</t>
    </r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卓新信息科技有限公司</t>
    </r>
  </si>
  <si>
    <r>
      <t xml:space="preserve"> 五加皮酒(中国混合烈酒); 开胃酒; 梅酒; 清酒;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高粱酒</t>
    </r>
  </si>
  <si>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河宏斌食品有限公司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</si>
  <si>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日式甜米酒; 果酒;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制好的葡萄酒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预调</t>
    </r>
    <r>
      <rPr>
        <sz val="11"/>
        <rFont val="ＭＳ Ｐゴシック"/>
        <family val="3"/>
        <charset val="128"/>
        <scheme val="minor"/>
      </rPr>
      <t xml:space="preserve">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</si>
  <si>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重</t>
    </r>
    <r>
      <rPr>
        <sz val="11"/>
        <rFont val="ＭＳ Ｐゴシック"/>
        <family val="3"/>
        <charset val="134"/>
        <scheme val="minor"/>
      </rPr>
      <t>庆顺势</t>
    </r>
    <r>
      <rPr>
        <sz val="11"/>
        <rFont val="ＭＳ Ｐゴシック"/>
        <family val="3"/>
        <charset val="128"/>
        <scheme val="minor"/>
      </rPr>
      <t>而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品牌管理有限公司</t>
    </r>
  </si>
  <si>
    <r>
      <t xml:space="preserve">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餐后酒(利口酒和烈酒); 黄酒</t>
    </r>
  </si>
  <si>
    <r>
      <t>神鹿敖</t>
    </r>
    <r>
      <rPr>
        <sz val="11"/>
        <rFont val="ＭＳ Ｐゴシック"/>
        <family val="3"/>
        <charset val="134"/>
        <scheme val="minor"/>
      </rPr>
      <t>鲁</t>
    </r>
    <r>
      <rPr>
        <sz val="11"/>
        <rFont val="ＭＳ Ｐゴシック"/>
        <family val="3"/>
        <charset val="128"/>
        <scheme val="minor"/>
      </rPr>
      <t>古雅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</si>
  <si>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</t>
    </r>
  </si>
  <si>
    <r>
      <t>夕阳</t>
    </r>
    <r>
      <rPr>
        <sz val="11"/>
        <rFont val="ＭＳ Ｐゴシック"/>
        <family val="3"/>
        <charset val="134"/>
        <scheme val="minor"/>
      </rPr>
      <t>红</t>
    </r>
  </si>
  <si>
    <r>
      <t>吴相</t>
    </r>
    <r>
      <rPr>
        <sz val="11"/>
        <rFont val="ＭＳ Ｐゴシック"/>
        <family val="3"/>
        <charset val="134"/>
        <scheme val="minor"/>
      </rPr>
      <t>银</t>
    </r>
  </si>
  <si>
    <r>
      <t xml:space="preserve"> 果酒(含酒精); 梅酒; 甜酒;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青稞酒; 高粱酒; 黄酒</t>
    </r>
  </si>
  <si>
    <r>
      <t>雨后小</t>
    </r>
    <r>
      <rPr>
        <sz val="11"/>
        <rFont val="ＭＳ Ｐゴシック"/>
        <family val="3"/>
        <charset val="134"/>
        <scheme val="minor"/>
      </rPr>
      <t>调</t>
    </r>
  </si>
  <si>
    <r>
      <t xml:space="preserve"> 含酒精的气泡水; 果酒;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</si>
  <si>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河北邯</t>
    </r>
    <r>
      <rPr>
        <sz val="11"/>
        <rFont val="ＭＳ Ｐゴシック"/>
        <family val="3"/>
        <charset val="134"/>
        <scheme val="minor"/>
      </rPr>
      <t>郸丛</t>
    </r>
    <r>
      <rPr>
        <sz val="11"/>
        <rFont val="ＭＳ Ｐゴシック"/>
        <family val="3"/>
        <charset val="128"/>
        <scheme val="minor"/>
      </rPr>
      <t>台酒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</si>
  <si>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开胃酒; 果酒(含酒精); 梨酒;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</si>
  <si>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四川省</t>
    </r>
    <r>
      <rPr>
        <sz val="11"/>
        <rFont val="ＭＳ Ｐゴシック"/>
        <family val="3"/>
        <charset val="134"/>
        <scheme val="minor"/>
      </rPr>
      <t>鸿</t>
    </r>
    <r>
      <rPr>
        <sz val="11"/>
        <rFont val="ＭＳ Ｐゴシック"/>
        <family val="3"/>
        <charset val="128"/>
        <scheme val="minor"/>
      </rPr>
      <t>升浩才信息科技有限公司</t>
    </r>
  </si>
  <si>
    <r>
      <t xml:space="preserve">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白干酒(中国白酒)（第42</t>
    </r>
    <r>
      <rPr>
        <sz val="11"/>
        <rFont val="ＭＳ Ｐゴシック"/>
        <family val="3"/>
        <charset val="134"/>
        <scheme val="minor"/>
      </rPr>
      <t>类</t>
    </r>
    <r>
      <rPr>
        <sz val="11"/>
        <rFont val="ＭＳ Ｐゴシック"/>
        <family val="3"/>
        <charset val="128"/>
        <scheme val="minor"/>
      </rPr>
      <t>）4220 网</t>
    </r>
    <r>
      <rPr>
        <sz val="11"/>
        <rFont val="ＭＳ Ｐゴシック"/>
        <family val="3"/>
        <charset val="134"/>
        <scheme val="minor"/>
      </rPr>
      <t>页</t>
    </r>
    <r>
      <rPr>
        <sz val="11"/>
        <rFont val="ＭＳ Ｐゴシック"/>
        <family val="3"/>
        <charset val="128"/>
        <scheme val="minor"/>
      </rPr>
      <t>和网站</t>
    </r>
    <r>
      <rPr>
        <sz val="11"/>
        <rFont val="ＭＳ Ｐゴシック"/>
        <family val="3"/>
        <charset val="134"/>
        <scheme val="minor"/>
      </rPr>
      <t>设计</t>
    </r>
    <r>
      <rPr>
        <sz val="11"/>
        <rFont val="ＭＳ Ｐゴシック"/>
        <family val="3"/>
        <charset val="128"/>
        <scheme val="minor"/>
      </rPr>
      <t xml:space="preserve">;4220 </t>
    </r>
    <r>
      <rPr>
        <sz val="11"/>
        <rFont val="ＭＳ Ｐゴシック"/>
        <family val="3"/>
        <charset val="134"/>
        <scheme val="minor"/>
      </rPr>
      <t>计</t>
    </r>
    <r>
      <rPr>
        <sz val="11"/>
        <rFont val="ＭＳ Ｐゴシック"/>
        <family val="3"/>
        <charset val="128"/>
        <scheme val="minor"/>
      </rPr>
      <t>算机游</t>
    </r>
    <r>
      <rPr>
        <sz val="11"/>
        <rFont val="ＭＳ Ｐゴシック"/>
        <family val="3"/>
        <charset val="134"/>
        <scheme val="minor"/>
      </rPr>
      <t>戏</t>
    </r>
    <r>
      <rPr>
        <sz val="11"/>
        <rFont val="ＭＳ Ｐゴシック"/>
        <family val="3"/>
        <charset val="128"/>
        <scheme val="minor"/>
      </rPr>
      <t>用</t>
    </r>
    <r>
      <rPr>
        <sz val="11"/>
        <rFont val="ＭＳ Ｐゴシック"/>
        <family val="3"/>
        <charset val="134"/>
        <scheme val="minor"/>
      </rPr>
      <t>计</t>
    </r>
    <r>
      <rPr>
        <sz val="11"/>
        <rFont val="ＭＳ Ｐゴシック"/>
        <family val="3"/>
        <charset val="128"/>
        <scheme val="minor"/>
      </rPr>
      <t>算机硬件的开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 xml:space="preserve">;4220 </t>
    </r>
    <r>
      <rPr>
        <sz val="11"/>
        <rFont val="ＭＳ Ｐゴシック"/>
        <family val="3"/>
        <charset val="134"/>
        <scheme val="minor"/>
      </rPr>
      <t>计</t>
    </r>
    <r>
      <rPr>
        <sz val="11"/>
        <rFont val="ＭＳ Ｐゴシック"/>
        <family val="3"/>
        <charset val="128"/>
        <scheme val="minor"/>
      </rPr>
      <t>算机</t>
    </r>
    <r>
      <rPr>
        <sz val="11"/>
        <rFont val="ＭＳ Ｐゴシック"/>
        <family val="3"/>
        <charset val="134"/>
        <scheme val="minor"/>
      </rPr>
      <t>软</t>
    </r>
    <r>
      <rPr>
        <sz val="11"/>
        <rFont val="ＭＳ Ｐゴシック"/>
        <family val="3"/>
        <charset val="128"/>
        <scheme val="minor"/>
      </rPr>
      <t>件研究和开</t>
    </r>
    <r>
      <rPr>
        <sz val="11"/>
        <rFont val="ＭＳ Ｐゴシック"/>
        <family val="3"/>
        <charset val="134"/>
        <scheme val="minor"/>
      </rPr>
      <t>发</t>
    </r>
  </si>
  <si>
    <r>
      <rPr>
        <sz val="11"/>
        <rFont val="ＭＳ Ｐゴシック"/>
        <family val="3"/>
        <charset val="134"/>
        <scheme val="minor"/>
      </rPr>
      <t>谭丽</t>
    </r>
  </si>
  <si>
    <r>
      <t xml:space="preserve"> 利口酒;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</si>
  <si>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安徽省太平郎坊酒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</si>
  <si>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苹果酒; 葡萄酒; 露酒; 青稞酒; 黄酒</t>
    </r>
  </si>
  <si>
    <r>
      <rPr>
        <sz val="11"/>
        <rFont val="ＭＳ Ｐゴシック"/>
        <family val="3"/>
        <charset val="134"/>
        <scheme val="minor"/>
      </rPr>
      <t>赵</t>
    </r>
    <r>
      <rPr>
        <sz val="11"/>
        <rFont val="ＭＳ Ｐゴシック"/>
        <family val="3"/>
        <charset val="128"/>
        <scheme val="minor"/>
      </rPr>
      <t>国敢</t>
    </r>
  </si>
  <si>
    <r>
      <t xml:space="preserve"> 利口酒;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</t>
    </r>
  </si>
  <si>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沙盛捷酒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</si>
  <si>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</si>
  <si>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北京太平吉方健康管理</t>
    </r>
    <r>
      <rPr>
        <sz val="11"/>
        <rFont val="ＭＳ Ｐゴシック"/>
        <family val="3"/>
        <charset val="134"/>
        <scheme val="minor"/>
      </rPr>
      <t>产业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</si>
  <si>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朗姆酒; 果酒(含酒精); 柑香酒;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米酒; 葡萄酒; 薄荷酒;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</si>
  <si>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京</t>
    </r>
    <r>
      <rPr>
        <sz val="11"/>
        <rFont val="ＭＳ Ｐゴシック"/>
        <family val="3"/>
        <charset val="134"/>
        <scheme val="minor"/>
      </rPr>
      <t>识</t>
    </r>
  </si>
  <si>
    <r>
      <t>北京共</t>
    </r>
    <r>
      <rPr>
        <sz val="11"/>
        <rFont val="ＭＳ Ｐゴシック"/>
        <family val="3"/>
        <charset val="134"/>
        <scheme val="minor"/>
      </rPr>
      <t>领</t>
    </r>
    <r>
      <rPr>
        <sz val="11"/>
        <rFont val="ＭＳ Ｐゴシック"/>
        <family val="3"/>
        <charset val="128"/>
        <scheme val="minor"/>
      </rPr>
      <t>管理技</t>
    </r>
    <r>
      <rPr>
        <sz val="11"/>
        <rFont val="ＭＳ Ｐゴシック"/>
        <family val="3"/>
        <charset val="134"/>
        <scheme val="minor"/>
      </rPr>
      <t>术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</si>
  <si>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汽酒;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</si>
  <si>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随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樽逸</t>
    </r>
  </si>
  <si>
    <r>
      <t>深圳市富苑名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</si>
  <si>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</si>
  <si>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珍先生</t>
    </r>
  </si>
  <si>
    <r>
      <rPr>
        <sz val="11"/>
        <rFont val="ＭＳ Ｐゴシック"/>
        <family val="3"/>
        <charset val="134"/>
        <scheme val="minor"/>
      </rPr>
      <t>闫</t>
    </r>
    <r>
      <rPr>
        <sz val="11"/>
        <rFont val="ＭＳ Ｐゴシック"/>
        <family val="3"/>
        <charset val="128"/>
        <scheme val="minor"/>
      </rPr>
      <t>小磊</t>
    </r>
  </si>
  <si>
    <r>
      <t xml:space="preserve"> 伏特加酒; 威士忌; 开胃酒; 果酒;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高粱酒; 黑覆盆子酒</t>
    </r>
  </si>
  <si>
    <r>
      <t>赤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美·珍藏酒（九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 xml:space="preserve"> ）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</si>
  <si>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州阿泰商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</si>
  <si>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主的开胃酒;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水果汽酒; 烈酒; 甜酒; 白酒; 葡萄汽酒; 青梅酒; 高粱酒</t>
    </r>
  </si>
  <si>
    <r>
      <t>山西中科峪</t>
    </r>
    <r>
      <rPr>
        <sz val="11"/>
        <rFont val="ＭＳ Ｐゴシック"/>
        <family val="3"/>
        <charset val="134"/>
        <scheme val="minor"/>
      </rPr>
      <t>锦农</t>
    </r>
    <r>
      <rPr>
        <sz val="11"/>
        <rFont val="ＭＳ Ｐゴシック"/>
        <family val="3"/>
        <charset val="128"/>
        <scheme val="minor"/>
      </rPr>
      <t>林科技有限公司</t>
    </r>
  </si>
  <si>
    <r>
      <t xml:space="preserve"> 五加皮酒(中国混合烈酒); 威士忌; 梨酒;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白干酒(中国白酒); 白葡萄酒; 白酒; 米酒</t>
    </r>
  </si>
  <si>
    <r>
      <t>班光</t>
    </r>
    <r>
      <rPr>
        <sz val="11"/>
        <rFont val="ＭＳ Ｐゴシック"/>
        <family val="3"/>
        <charset val="134"/>
        <scheme val="minor"/>
      </rPr>
      <t>军</t>
    </r>
  </si>
  <si>
    <r>
      <t xml:space="preserve"> 果酒; 果酒(含酒精); 甜果酒; 甜酒; 白酒; 米酒; 葡萄酒;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青梅酒; 黄酒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</si>
  <si>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</si>
  <si>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rPr>
        <sz val="11"/>
        <rFont val="ＭＳ Ｐゴシック"/>
        <family val="3"/>
        <charset val="134"/>
        <scheme val="minor"/>
      </rPr>
      <t>许</t>
    </r>
    <r>
      <rPr>
        <sz val="11"/>
        <rFont val="ＭＳ Ｐゴシック"/>
        <family val="3"/>
        <charset val="128"/>
        <scheme val="minor"/>
      </rPr>
      <t>昌市魏都区倪晨百</t>
    </r>
    <r>
      <rPr>
        <sz val="11"/>
        <rFont val="ＭＳ Ｐゴシック"/>
        <family val="3"/>
        <charset val="134"/>
        <scheme val="minor"/>
      </rPr>
      <t>货</t>
    </r>
    <r>
      <rPr>
        <sz val="11"/>
        <rFont val="ＭＳ Ｐゴシック"/>
        <family val="3"/>
        <charset val="128"/>
        <scheme val="minor"/>
      </rPr>
      <t>零售行(个体工商</t>
    </r>
    <r>
      <rPr>
        <sz val="11"/>
        <rFont val="ＭＳ Ｐゴシック"/>
        <family val="3"/>
        <charset val="134"/>
        <scheme val="minor"/>
      </rPr>
      <t>户</t>
    </r>
    <r>
      <rPr>
        <sz val="11"/>
        <rFont val="ＭＳ Ｐゴシック"/>
        <family val="3"/>
        <charset val="128"/>
        <scheme val="minor"/>
      </rPr>
      <t>)</t>
    </r>
  </si>
  <si>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山</t>
    </r>
    <r>
      <rPr>
        <sz val="11"/>
        <rFont val="ＭＳ Ｐゴシック"/>
        <family val="3"/>
        <charset val="134"/>
        <scheme val="minor"/>
      </rPr>
      <t>红</t>
    </r>
  </si>
  <si>
    <r>
      <t>何</t>
    </r>
    <r>
      <rPr>
        <sz val="11"/>
        <rFont val="ＭＳ Ｐゴシック"/>
        <family val="3"/>
        <charset val="134"/>
        <scheme val="minor"/>
      </rPr>
      <t>军凯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</si>
  <si>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</si>
  <si>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利口酒; 开胃酒; 梨酒;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青稞酒; 黄酒</t>
    </r>
  </si>
  <si>
    <r>
      <t>投</t>
    </r>
    <r>
      <rPr>
        <sz val="11"/>
        <rFont val="ＭＳ Ｐゴシック"/>
        <family val="3"/>
        <charset val="134"/>
        <scheme val="minor"/>
      </rPr>
      <t>壶</t>
    </r>
    <r>
      <rPr>
        <sz val="11"/>
        <rFont val="ＭＳ Ｐゴシック"/>
        <family val="3"/>
        <charset val="128"/>
        <scheme val="minor"/>
      </rPr>
      <t>宴朋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</si>
  <si>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</si>
  <si>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菲范思折</t>
    </r>
  </si>
  <si>
    <r>
      <t>石</t>
    </r>
    <r>
      <rPr>
        <sz val="11"/>
        <rFont val="ＭＳ Ｐゴシック"/>
        <family val="3"/>
        <charset val="134"/>
        <scheme val="minor"/>
      </rPr>
      <t>狮</t>
    </r>
    <r>
      <rPr>
        <sz val="11"/>
        <rFont val="ＭＳ Ｐゴシック"/>
        <family val="3"/>
        <charset val="128"/>
        <scheme val="minor"/>
      </rPr>
      <t>美</t>
    </r>
    <r>
      <rPr>
        <sz val="11"/>
        <rFont val="ＭＳ Ｐゴシック"/>
        <family val="3"/>
        <charset val="134"/>
        <scheme val="minor"/>
      </rPr>
      <t>诗</t>
    </r>
    <r>
      <rPr>
        <sz val="11"/>
        <rFont val="ＭＳ Ｐゴシック"/>
        <family val="3"/>
        <charset val="128"/>
        <scheme val="minor"/>
      </rPr>
      <t>香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饰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</si>
  <si>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</si>
  <si>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卫东</t>
    </r>
    <r>
      <rPr>
        <sz val="11"/>
        <rFont val="ＭＳ Ｐゴシック"/>
        <family val="3"/>
        <charset val="128"/>
        <scheme val="minor"/>
      </rPr>
      <t>方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</si>
  <si>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升餐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有限公司</t>
    </r>
  </si>
  <si>
    <r>
      <t>莫</t>
    </r>
    <r>
      <rPr>
        <sz val="11"/>
        <rFont val="ＭＳ Ｐゴシック"/>
        <family val="3"/>
        <charset val="134"/>
        <scheme val="minor"/>
      </rPr>
      <t>负</t>
    </r>
    <r>
      <rPr>
        <sz val="11"/>
        <rFont val="ＭＳ Ｐゴシック"/>
        <family val="3"/>
        <charset val="128"/>
        <scheme val="minor"/>
      </rPr>
      <t>芳</t>
    </r>
    <r>
      <rPr>
        <sz val="11"/>
        <rFont val="ＭＳ Ｐゴシック"/>
        <family val="3"/>
        <charset val="134"/>
        <scheme val="minor"/>
      </rPr>
      <t>华</t>
    </r>
  </si>
  <si>
    <r>
      <t>客永</t>
    </r>
    <r>
      <rPr>
        <sz val="11"/>
        <rFont val="ＭＳ Ｐゴシック"/>
        <family val="3"/>
        <charset val="134"/>
        <scheme val="minor"/>
      </rPr>
      <t>鸿</t>
    </r>
  </si>
  <si>
    <r>
      <rPr>
        <sz val="11"/>
        <rFont val="ＭＳ Ｐゴシック"/>
        <family val="3"/>
        <charset val="134"/>
        <scheme val="minor"/>
      </rPr>
      <t>谢伟军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</si>
  <si>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咖啡利口酒;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露酒;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高粱酒</t>
    </r>
  </si>
  <si>
    <r>
      <t>人人</t>
    </r>
    <r>
      <rPr>
        <sz val="11"/>
        <rFont val="ＭＳ Ｐゴシック"/>
        <family val="3"/>
        <charset val="134"/>
        <scheme val="minor"/>
      </rPr>
      <t>签</t>
    </r>
  </si>
  <si>
    <r>
      <t>北京</t>
    </r>
    <r>
      <rPr>
        <sz val="11"/>
        <rFont val="ＭＳ Ｐゴシック"/>
        <family val="3"/>
        <charset val="134"/>
        <scheme val="minor"/>
      </rPr>
      <t>办</t>
    </r>
    <r>
      <rPr>
        <sz val="11"/>
        <rFont val="ＭＳ Ｐゴシック"/>
        <family val="3"/>
        <charset val="128"/>
        <scheme val="minor"/>
      </rPr>
      <t>外商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</si>
  <si>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</si>
  <si>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烈</t>
    </r>
    <r>
      <rPr>
        <sz val="11"/>
        <rFont val="ＭＳ Ｐゴシック"/>
        <family val="3"/>
        <charset val="134"/>
        <scheme val="minor"/>
      </rPr>
      <t>鳯</t>
    </r>
    <r>
      <rPr>
        <sz val="11"/>
        <rFont val="ＭＳ Ｐゴシック"/>
        <family val="3"/>
        <charset val="128"/>
        <scheme val="minor"/>
      </rPr>
      <t>河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</si>
  <si>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</t>
    </r>
  </si>
  <si>
    <r>
      <t>和</t>
    </r>
    <r>
      <rPr>
        <sz val="11"/>
        <rFont val="ＭＳ Ｐゴシック"/>
        <family val="3"/>
        <charset val="134"/>
        <scheme val="minor"/>
      </rPr>
      <t>谐</t>
    </r>
    <r>
      <rPr>
        <sz val="11"/>
        <rFont val="ＭＳ Ｐゴシック"/>
        <family val="3"/>
        <charset val="128"/>
        <scheme val="minor"/>
      </rPr>
      <t>高</t>
    </r>
  </si>
  <si>
    <r>
      <rPr>
        <sz val="11"/>
        <rFont val="ＭＳ Ｐゴシック"/>
        <family val="3"/>
        <charset val="134"/>
        <scheme val="minor"/>
      </rPr>
      <t>龚</t>
    </r>
    <r>
      <rPr>
        <sz val="11"/>
        <rFont val="ＭＳ Ｐゴシック"/>
        <family val="3"/>
        <charset val="128"/>
        <scheme val="minor"/>
      </rPr>
      <t>丁高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</si>
  <si>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甜酒; 白酒; 米酒;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</si>
  <si>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少清</t>
    </r>
  </si>
  <si>
    <r>
      <t xml:space="preserve">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</si>
  <si>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rPr>
        <sz val="11"/>
        <rFont val="ＭＳ Ｐゴシック"/>
        <family val="3"/>
        <charset val="134"/>
        <scheme val="minor"/>
      </rPr>
      <t>济</t>
    </r>
    <r>
      <rPr>
        <sz val="11"/>
        <rFont val="ＭＳ Ｐゴシック"/>
        <family val="3"/>
        <charset val="128"/>
        <scheme val="minor"/>
      </rPr>
      <t>南</t>
    </r>
    <r>
      <rPr>
        <sz val="11"/>
        <rFont val="ＭＳ Ｐゴシック"/>
        <family val="3"/>
        <charset val="134"/>
        <scheme val="minor"/>
      </rPr>
      <t>轨</t>
    </r>
    <r>
      <rPr>
        <sz val="11"/>
        <rFont val="ＭＳ Ｐゴシック"/>
        <family val="3"/>
        <charset val="128"/>
        <scheme val="minor"/>
      </rPr>
      <t>道交通酒店管理有限公司</t>
    </r>
  </si>
  <si>
    <r>
      <t xml:space="preserve"> 果酒; 水果汽酒; 白葡萄酒;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葡萄汽酒; 葡萄酒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</si>
  <si>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市守匠酒</t>
    </r>
    <r>
      <rPr>
        <sz val="11"/>
        <rFont val="ＭＳ Ｐゴシック"/>
        <family val="3"/>
        <charset val="134"/>
        <scheme val="minor"/>
      </rPr>
      <t>业销</t>
    </r>
    <r>
      <rPr>
        <sz val="11"/>
        <rFont val="ＭＳ Ｐゴシック"/>
        <family val="3"/>
        <charset val="128"/>
        <scheme val="minor"/>
      </rPr>
      <t>售有限公司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</si>
  <si>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</si>
  <si>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筑</t>
    </r>
    <r>
      <rPr>
        <sz val="11"/>
        <rFont val="ＭＳ Ｐゴシック"/>
        <family val="3"/>
        <charset val="134"/>
        <scheme val="minor"/>
      </rPr>
      <t>为</t>
    </r>
  </si>
  <si>
    <r>
      <t xml:space="preserve"> 伏特加酒;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</si>
  <si>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融投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</si>
  <si>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含酒精的充气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日本梅子酒; 果酒; 果酒(含酒精); 梅酒; 水果汽酒; 汽酒; 烈酒; 甜果酒; 露酒; 青梅酒</t>
    </r>
  </si>
  <si>
    <r>
      <t xml:space="preserve">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</si>
  <si>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锅马</t>
    </r>
    <r>
      <rPr>
        <sz val="11"/>
        <rFont val="ＭＳ Ｐゴシック"/>
        <family val="3"/>
        <charset val="128"/>
        <scheme val="minor"/>
      </rPr>
      <t>帮</t>
    </r>
  </si>
  <si>
    <r>
      <rPr>
        <sz val="11"/>
        <rFont val="ＭＳ Ｐゴシック"/>
        <family val="3"/>
        <charset val="134"/>
        <scheme val="minor"/>
      </rPr>
      <t>喻</t>
    </r>
    <r>
      <rPr>
        <sz val="11"/>
        <rFont val="ＭＳ Ｐゴシック"/>
        <family val="3"/>
        <charset val="128"/>
        <scheme val="minor"/>
      </rPr>
      <t>丰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</si>
  <si>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</si>
  <si>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安康市</t>
    </r>
    <r>
      <rPr>
        <sz val="11"/>
        <rFont val="ＭＳ Ｐゴシック"/>
        <family val="3"/>
        <charset val="134"/>
        <scheme val="minor"/>
      </rPr>
      <t>汉滨</t>
    </r>
    <r>
      <rPr>
        <sz val="11"/>
        <rFont val="ＭＳ Ｐゴシック"/>
        <family val="3"/>
        <charset val="128"/>
        <scheme val="minor"/>
      </rPr>
      <t>区</t>
    </r>
    <r>
      <rPr>
        <sz val="11"/>
        <rFont val="ＭＳ Ｐゴシック"/>
        <family val="3"/>
        <charset val="134"/>
        <scheme val="minor"/>
      </rPr>
      <t>强</t>
    </r>
    <r>
      <rPr>
        <sz val="11"/>
        <rFont val="ＭＳ Ｐゴシック"/>
        <family val="3"/>
        <charset val="128"/>
        <scheme val="minor"/>
      </rPr>
      <t>盛养殖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民</t>
    </r>
    <r>
      <rPr>
        <sz val="11"/>
        <rFont val="ＭＳ Ｐゴシック"/>
        <family val="3"/>
        <charset val="134"/>
        <scheme val="minor"/>
      </rPr>
      <t>专业</t>
    </r>
    <r>
      <rPr>
        <sz val="11"/>
        <rFont val="ＭＳ Ｐゴシック"/>
        <family val="3"/>
        <charset val="128"/>
        <scheme val="minor"/>
      </rPr>
      <t>合作社</t>
    </r>
  </si>
  <si>
    <r>
      <t xml:space="preserve">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</si>
  <si>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州物</t>
    </r>
    <r>
      <rPr>
        <sz val="11"/>
        <rFont val="ＭＳ Ｐゴシック"/>
        <family val="3"/>
        <charset val="134"/>
        <scheme val="minor"/>
      </rPr>
      <t>联</t>
    </r>
    <r>
      <rPr>
        <sz val="11"/>
        <rFont val="ＭＳ Ｐゴシック"/>
        <family val="3"/>
        <charset val="128"/>
        <scheme val="minor"/>
      </rPr>
      <t>网科技有限公司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</si>
  <si>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高粱酒; 黄酒</t>
    </r>
  </si>
  <si>
    <r>
      <t>万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朝</t>
    </r>
    <r>
      <rPr>
        <sz val="11"/>
        <rFont val="ＭＳ Ｐゴシック"/>
        <family val="3"/>
        <charset val="134"/>
        <scheme val="minor"/>
      </rPr>
      <t>东</t>
    </r>
  </si>
  <si>
    <r>
      <t>大宝</t>
    </r>
    <r>
      <rPr>
        <sz val="11"/>
        <rFont val="ＭＳ Ｐゴシック"/>
        <family val="3"/>
        <charset val="134"/>
        <scheme val="minor"/>
      </rPr>
      <t>邹</t>
    </r>
  </si>
  <si>
    <r>
      <t>中山区啤</t>
    </r>
    <r>
      <rPr>
        <sz val="11"/>
        <rFont val="ＭＳ Ｐゴシック"/>
        <family val="3"/>
        <charset val="134"/>
        <scheme val="minor"/>
      </rPr>
      <t>库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行(个体工商</t>
    </r>
    <r>
      <rPr>
        <sz val="11"/>
        <rFont val="ＭＳ Ｐゴシック"/>
        <family val="3"/>
        <charset val="134"/>
        <scheme val="minor"/>
      </rPr>
      <t>户</t>
    </r>
    <r>
      <rPr>
        <sz val="11"/>
        <rFont val="ＭＳ Ｐゴシック"/>
        <family val="3"/>
        <charset val="128"/>
        <scheme val="minor"/>
      </rPr>
      <t>)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</si>
  <si>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世光</t>
    </r>
  </si>
  <si>
    <r>
      <t xml:space="preserve"> 伏特加酒; 果酒(含酒精); 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</si>
  <si>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威海</t>
    </r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住酒店管理有限公司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</si>
  <si>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</si>
  <si>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鄢</t>
    </r>
    <r>
      <rPr>
        <sz val="11"/>
        <rFont val="ＭＳ Ｐゴシック"/>
        <family val="3"/>
        <charset val="134"/>
        <scheme val="minor"/>
      </rPr>
      <t>岗</t>
    </r>
    <r>
      <rPr>
        <sz val="11"/>
        <rFont val="ＭＳ Ｐゴシック"/>
        <family val="3"/>
        <charset val="128"/>
        <scheme val="minor"/>
      </rPr>
      <t>之星</t>
    </r>
  </si>
  <si>
    <r>
      <t>河南商</t>
    </r>
    <r>
      <rPr>
        <sz val="11"/>
        <rFont val="ＭＳ Ｐゴシック"/>
        <family val="3"/>
        <charset val="134"/>
        <scheme val="minor"/>
      </rPr>
      <t>亿鸣</t>
    </r>
    <r>
      <rPr>
        <sz val="11"/>
        <rFont val="ＭＳ Ｐゴシック"/>
        <family val="3"/>
        <charset val="128"/>
        <scheme val="minor"/>
      </rPr>
      <t>食品有限公司</t>
    </r>
  </si>
  <si>
    <r>
      <t xml:space="preserve"> 威士忌;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</si>
  <si>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徐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彬</t>
    </r>
  </si>
  <si>
    <r>
      <t xml:space="preserve">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露酒; 餐后酒(利口酒和烈酒); 高粱酒; 黄酒</t>
    </r>
  </si>
  <si>
    <r>
      <t>孝</t>
    </r>
    <r>
      <rPr>
        <sz val="11"/>
        <rFont val="ＭＳ Ｐゴシック"/>
        <family val="3"/>
        <charset val="134"/>
        <scheme val="minor"/>
      </rPr>
      <t>为贵</t>
    </r>
  </si>
  <si>
    <r>
      <t>宜</t>
    </r>
    <r>
      <rPr>
        <sz val="11"/>
        <rFont val="ＭＳ Ｐゴシック"/>
        <family val="3"/>
        <charset val="134"/>
        <scheme val="minor"/>
      </rPr>
      <t>宾</t>
    </r>
    <r>
      <rPr>
        <sz val="11"/>
        <rFont val="ＭＳ Ｐゴシック"/>
        <family val="3"/>
        <charset val="128"/>
        <scheme val="minor"/>
      </rPr>
      <t>酒股份有限公司</t>
    </r>
  </si>
  <si>
    <r>
      <t xml:space="preserve"> 含酒精的气泡水;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</si>
  <si>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>双</t>
    </r>
    <r>
      <rPr>
        <sz val="11"/>
        <rFont val="ＭＳ Ｐゴシック"/>
        <family val="3"/>
        <charset val="134"/>
        <scheme val="minor"/>
      </rPr>
      <t>龙戏</t>
    </r>
    <r>
      <rPr>
        <sz val="11"/>
        <rFont val="ＭＳ Ｐゴシック"/>
        <family val="3"/>
        <charset val="128"/>
        <scheme val="minor"/>
      </rPr>
      <t>珠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行天下</t>
    </r>
  </si>
  <si>
    <r>
      <t>福建双</t>
    </r>
    <r>
      <rPr>
        <sz val="11"/>
        <rFont val="ＭＳ Ｐゴシック"/>
        <family val="3"/>
        <charset val="134"/>
        <scheme val="minor"/>
      </rPr>
      <t>龙戏</t>
    </r>
    <r>
      <rPr>
        <sz val="11"/>
        <rFont val="ＭＳ Ｐゴシック"/>
        <family val="3"/>
        <charset val="128"/>
        <scheme val="minor"/>
      </rPr>
      <t>珠酒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</si>
  <si>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汽酒;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黄酒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</si>
  <si>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</si>
  <si>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植谷</t>
    </r>
    <r>
      <rPr>
        <sz val="11"/>
        <rFont val="ＭＳ Ｐゴシック"/>
        <family val="3"/>
        <charset val="134"/>
        <scheme val="minor"/>
      </rPr>
      <t>乐</t>
    </r>
  </si>
  <si>
    <r>
      <t>广</t>
    </r>
    <r>
      <rPr>
        <sz val="11"/>
        <rFont val="ＭＳ Ｐゴシック"/>
        <family val="3"/>
        <charset val="134"/>
        <scheme val="minor"/>
      </rPr>
      <t>东润</t>
    </r>
    <r>
      <rPr>
        <sz val="11"/>
        <rFont val="ＭＳ Ｐゴシック"/>
        <family val="3"/>
        <charset val="128"/>
        <scheme val="minor"/>
      </rPr>
      <t>康</t>
    </r>
    <r>
      <rPr>
        <sz val="11"/>
        <rFont val="ＭＳ Ｐゴシック"/>
        <family val="3"/>
        <charset val="134"/>
        <scheme val="minor"/>
      </rPr>
      <t>药业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</si>
  <si>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威士忌; 汽酒;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</si>
  <si>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吉林省御鹿源参茸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</si>
  <si>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利口酒;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蜂蜜酒;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</si>
  <si>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媛怡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阳光</t>
    </r>
  </si>
  <si>
    <r>
      <t>平阳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怡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水果种植</t>
    </r>
    <r>
      <rPr>
        <sz val="11"/>
        <rFont val="ＭＳ Ｐゴシック"/>
        <family val="3"/>
        <charset val="134"/>
        <scheme val="minor"/>
      </rPr>
      <t>专业</t>
    </r>
    <r>
      <rPr>
        <sz val="11"/>
        <rFont val="ＭＳ Ｐゴシック"/>
        <family val="3"/>
        <charset val="128"/>
        <scheme val="minor"/>
      </rPr>
      <t>合作社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</si>
  <si>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</si>
  <si>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松桃苗萃瑞康养服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</si>
  <si>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果酒(含酒精);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制好的葡萄酒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食用酒精; 黄酒</t>
    </r>
  </si>
  <si>
    <r>
      <rPr>
        <sz val="11"/>
        <rFont val="ＭＳ Ｐゴシック"/>
        <family val="3"/>
        <charset val="134"/>
        <scheme val="minor"/>
      </rPr>
      <t>义诚</t>
    </r>
    <r>
      <rPr>
        <sz val="11"/>
        <rFont val="ＭＳ Ｐゴシック"/>
        <family val="3"/>
        <charset val="128"/>
        <scheme val="minor"/>
      </rPr>
      <t>王</t>
    </r>
  </si>
  <si>
    <r>
      <t>味</t>
    </r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天下酒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</si>
  <si>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高粱酒; 黄酒</t>
    </r>
  </si>
  <si>
    <r>
      <t>君九</t>
    </r>
    <r>
      <rPr>
        <sz val="11"/>
        <rFont val="ＭＳ Ｐゴシック"/>
        <family val="3"/>
        <charset val="134"/>
        <scheme val="minor"/>
      </rPr>
      <t>赐</t>
    </r>
  </si>
  <si>
    <r>
      <t>古曲</t>
    </r>
    <r>
      <rPr>
        <sz val="11"/>
        <rFont val="ＭＳ Ｐゴシック"/>
        <family val="3"/>
        <charset val="134"/>
        <scheme val="minor"/>
      </rPr>
      <t>飞</t>
    </r>
    <r>
      <rPr>
        <sz val="11"/>
        <rFont val="ＭＳ Ｐゴシック"/>
        <family val="3"/>
        <charset val="128"/>
        <scheme val="minor"/>
      </rPr>
      <t>花府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</si>
  <si>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网能企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</si>
  <si>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</si>
  <si>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品;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</si>
  <si>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 xml:space="preserve"> 开胃酒; 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</si>
  <si>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人明</t>
    </r>
    <r>
      <rPr>
        <sz val="11"/>
        <rFont val="ＭＳ Ｐゴシック"/>
        <family val="3"/>
        <charset val="134"/>
        <scheme val="minor"/>
      </rPr>
      <t>桥</t>
    </r>
  </si>
  <si>
    <r>
      <t>姑</t>
    </r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区</t>
    </r>
    <r>
      <rPr>
        <sz val="11"/>
        <rFont val="ＭＳ Ｐゴシック"/>
        <family val="3"/>
        <charset val="134"/>
        <scheme val="minor"/>
      </rPr>
      <t>帅</t>
    </r>
    <r>
      <rPr>
        <sz val="11"/>
        <rFont val="ＭＳ Ｐゴシック"/>
        <family val="3"/>
        <charset val="128"/>
        <scheme val="minor"/>
      </rPr>
      <t>杰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味品商行</t>
    </r>
  </si>
  <si>
    <r>
      <t xml:space="preserve"> 果酒;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高粱酒</t>
    </r>
  </si>
  <si>
    <r>
      <rPr>
        <sz val="11"/>
        <rFont val="ＭＳ Ｐゴシック"/>
        <family val="3"/>
        <charset val="134"/>
        <scheme val="minor"/>
      </rPr>
      <t>龙飞</t>
    </r>
    <r>
      <rPr>
        <sz val="11"/>
        <rFont val="ＭＳ Ｐゴシック"/>
        <family val="3"/>
        <charset val="128"/>
        <scheme val="minor"/>
      </rPr>
      <t>帝</t>
    </r>
    <r>
      <rPr>
        <sz val="11"/>
        <rFont val="ＭＳ Ｐゴシック"/>
        <family val="3"/>
        <charset val="134"/>
        <scheme val="minor"/>
      </rPr>
      <t>阙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</si>
  <si>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嘉玲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</si>
  <si>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</si>
  <si>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rPr>
        <sz val="11"/>
        <rFont val="ＭＳ Ｐゴシック"/>
        <family val="3"/>
        <charset val="134"/>
        <scheme val="minor"/>
      </rPr>
      <t>陕</t>
    </r>
    <r>
      <rPr>
        <sz val="11"/>
        <rFont val="ＭＳ Ｐゴシック"/>
        <family val="3"/>
        <charset val="128"/>
        <scheme val="minor"/>
      </rPr>
      <t>西好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意</t>
    </r>
    <r>
      <rPr>
        <sz val="11"/>
        <rFont val="ＭＳ Ｐゴシック"/>
        <family val="3"/>
        <charset val="134"/>
        <scheme val="minor"/>
      </rPr>
      <t>设计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</si>
  <si>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水果汽酒; 白酒; 米酒; 苹果酒; 葡萄酒;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青稞酒; 黄酒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</si>
  <si>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少余</t>
    </r>
  </si>
  <si>
    <r>
      <t>西子</t>
    </r>
    <r>
      <rPr>
        <sz val="11"/>
        <rFont val="ＭＳ Ｐゴシック"/>
        <family val="3"/>
        <charset val="134"/>
        <scheme val="minor"/>
      </rPr>
      <t>绿</t>
    </r>
  </si>
  <si>
    <r>
      <t xml:space="preserve"> 果酒(含酒精); 水果汽酒;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</si>
  <si>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t>瑞禧</t>
    </r>
    <r>
      <rPr>
        <sz val="11"/>
        <rFont val="ＭＳ Ｐゴシック"/>
        <family val="3"/>
        <charset val="134"/>
        <scheme val="minor"/>
      </rPr>
      <t>荟</t>
    </r>
  </si>
  <si>
    <r>
      <t>徐建</t>
    </r>
    <r>
      <rPr>
        <sz val="11"/>
        <rFont val="ＭＳ Ｐゴシック"/>
        <family val="3"/>
        <charset val="134"/>
        <scheme val="minor"/>
      </rPr>
      <t>华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</si>
  <si>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食用酒精; 黄酒</t>
    </r>
  </si>
  <si>
    <r>
      <t>海南步多健中医投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</si>
  <si>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伏特加酒; 威士忌; 果酒; 烈酒; 白酒; 米酒; 苦艾酒;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</si>
  <si>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景阳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</si>
  <si>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黄酒</t>
    </r>
  </si>
  <si>
    <r>
      <t>果</t>
    </r>
    <r>
      <rPr>
        <sz val="11"/>
        <rFont val="ＭＳ Ｐゴシック"/>
        <family val="3"/>
        <charset val="134"/>
        <scheme val="minor"/>
      </rPr>
      <t>酝东</t>
    </r>
    <r>
      <rPr>
        <sz val="11"/>
        <rFont val="ＭＳ Ｐゴシック"/>
        <family val="3"/>
        <charset val="128"/>
        <scheme val="minor"/>
      </rPr>
      <t>方</t>
    </r>
  </si>
  <si>
    <r>
      <t>国楂酒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(江</t>
    </r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)有限公司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</si>
  <si>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果酒; 果酒(含酒精); 甜酒; 苹果酒;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</si>
  <si>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墨香</t>
    </r>
    <r>
      <rPr>
        <sz val="11"/>
        <rFont val="ＭＳ Ｐゴシック"/>
        <family val="3"/>
        <charset val="134"/>
        <scheme val="minor"/>
      </rPr>
      <t>书</t>
    </r>
    <r>
      <rPr>
        <sz val="11"/>
        <rFont val="ＭＳ Ｐゴシック"/>
        <family val="3"/>
        <charset val="128"/>
        <scheme val="minor"/>
      </rPr>
      <t>韵</t>
    </r>
  </si>
  <si>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清平</t>
    </r>
  </si>
  <si>
    <r>
      <t xml:space="preserve"> 威士忌; 开胃酒;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</si>
  <si>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岚</t>
    </r>
    <r>
      <rPr>
        <sz val="11"/>
        <rFont val="ＭＳ Ｐゴシック"/>
        <family val="3"/>
        <charset val="128"/>
        <scheme val="minor"/>
      </rPr>
      <t>中</t>
    </r>
    <r>
      <rPr>
        <sz val="11"/>
        <rFont val="ＭＳ Ｐゴシック"/>
        <family val="3"/>
        <charset val="134"/>
        <scheme val="minor"/>
      </rPr>
      <t>饮</t>
    </r>
  </si>
  <si>
    <r>
      <t>上海言中</t>
    </r>
    <r>
      <rPr>
        <sz val="11"/>
        <rFont val="ＭＳ Ｐゴシック"/>
        <family val="3"/>
        <charset val="134"/>
        <scheme val="minor"/>
      </rPr>
      <t>饮贸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</si>
  <si>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伏特加酒;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</si>
  <si>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宋</t>
    </r>
    <r>
      <rPr>
        <sz val="11"/>
        <rFont val="ＭＳ Ｐゴシック"/>
        <family val="3"/>
        <charset val="134"/>
        <scheme val="minor"/>
      </rPr>
      <t>绪</t>
    </r>
    <r>
      <rPr>
        <sz val="11"/>
        <rFont val="ＭＳ Ｐゴシック"/>
        <family val="3"/>
        <charset val="128"/>
        <scheme val="minor"/>
      </rPr>
      <t>磊</t>
    </r>
  </si>
  <si>
    <r>
      <t>界首市果多宝酒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</si>
  <si>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青稞酒; 食用酒精; 黄酒</t>
    </r>
  </si>
  <si>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酎礼</t>
    </r>
    <r>
      <rPr>
        <sz val="11"/>
        <rFont val="ＭＳ Ｐゴシック"/>
        <family val="3"/>
        <charset val="134"/>
        <scheme val="minor"/>
      </rPr>
      <t>乐</t>
    </r>
  </si>
  <si>
    <r>
      <t>北京礼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天下酒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</si>
  <si>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</si>
  <si>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帝王水</t>
    </r>
    <r>
      <rPr>
        <sz val="11"/>
        <rFont val="ＭＳ Ｐゴシック"/>
        <family val="3"/>
        <charset val="134"/>
        <scheme val="minor"/>
      </rPr>
      <t>浒</t>
    </r>
  </si>
  <si>
    <r>
      <rPr>
        <sz val="11"/>
        <rFont val="ＭＳ Ｐゴシック"/>
        <family val="3"/>
        <charset val="134"/>
        <scheme val="minor"/>
      </rPr>
      <t>郓</t>
    </r>
    <r>
      <rPr>
        <sz val="11"/>
        <rFont val="ＭＳ Ｐゴシック"/>
        <family val="3"/>
        <charset val="128"/>
        <scheme val="minor"/>
      </rPr>
      <t>城盛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玻璃制品有限公司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</si>
  <si>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清酒(日本米酒); 白酒; 苦味酒; 茴香酒(利口酒); 蜂蜜酒; 青稞酒; 黄酒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</si>
  <si>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潭湖</t>
    </r>
  </si>
  <si>
    <r>
      <t>曹</t>
    </r>
    <r>
      <rPr>
        <sz val="11"/>
        <rFont val="ＭＳ Ｐゴシック"/>
        <family val="3"/>
        <charset val="134"/>
        <scheme val="minor"/>
      </rPr>
      <t>鲒</t>
    </r>
  </si>
  <si>
    <r>
      <t xml:space="preserve"> 开胃酒;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葡萄酒; 蜂蜜酒;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</si>
  <si>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会</t>
    </r>
    <r>
      <rPr>
        <sz val="11"/>
        <rFont val="ＭＳ Ｐゴシック"/>
        <family val="3"/>
        <charset val="134"/>
        <scheme val="minor"/>
      </rPr>
      <t>强</t>
    </r>
  </si>
  <si>
    <r>
      <t>深圳一</t>
    </r>
    <r>
      <rPr>
        <sz val="11"/>
        <rFont val="ＭＳ Ｐゴシック"/>
        <family val="3"/>
        <charset val="134"/>
        <scheme val="minor"/>
      </rPr>
      <t>驷</t>
    </r>
    <r>
      <rPr>
        <sz val="11"/>
        <rFont val="ＭＳ Ｐゴシック"/>
        <family val="3"/>
        <charset val="128"/>
        <scheme val="minor"/>
      </rPr>
      <t>一</t>
    </r>
    <r>
      <rPr>
        <sz val="11"/>
        <rFont val="ＭＳ Ｐゴシック"/>
        <family val="3"/>
        <charset val="134"/>
        <scheme val="minor"/>
      </rPr>
      <t>铭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</si>
  <si>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佐餐酒; 利口酒; 威士忌; 果酒; 梅酒; 汽酒; 甜酒;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</si>
  <si>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御</t>
    </r>
    <r>
      <rPr>
        <sz val="11"/>
        <rFont val="ＭＳ Ｐゴシック"/>
        <family val="3"/>
        <charset val="134"/>
        <scheme val="minor"/>
      </rPr>
      <t>鸿</t>
    </r>
    <r>
      <rPr>
        <sz val="11"/>
        <rFont val="ＭＳ Ｐゴシック"/>
        <family val="3"/>
        <charset val="128"/>
        <scheme val="minor"/>
      </rPr>
      <t>承</t>
    </r>
  </si>
  <si>
    <r>
      <t>中</t>
    </r>
    <r>
      <rPr>
        <sz val="11"/>
        <rFont val="ＭＳ Ｐゴシック"/>
        <family val="3"/>
        <charset val="134"/>
        <scheme val="minor"/>
      </rPr>
      <t>轴</t>
    </r>
    <r>
      <rPr>
        <sz val="11"/>
        <rFont val="ＭＳ Ｐゴシック"/>
        <family val="3"/>
        <charset val="128"/>
        <scheme val="minor"/>
      </rPr>
      <t>萃</t>
    </r>
  </si>
  <si>
    <r>
      <t>北京首</t>
    </r>
    <r>
      <rPr>
        <sz val="11"/>
        <rFont val="ＭＳ Ｐゴシック"/>
        <family val="3"/>
        <charset val="134"/>
        <scheme val="minor"/>
      </rPr>
      <t>邮实业</t>
    </r>
    <r>
      <rPr>
        <sz val="11"/>
        <rFont val="ＭＳ Ｐゴシック"/>
        <family val="3"/>
        <charset val="128"/>
        <scheme val="minor"/>
      </rPr>
      <t>有限公司</t>
    </r>
    <r>
      <rPr>
        <sz val="11"/>
        <rFont val="ＭＳ Ｐゴシック"/>
        <family val="3"/>
        <charset val="134"/>
        <scheme val="minor"/>
      </rPr>
      <t>邮</t>
    </r>
    <r>
      <rPr>
        <sz val="11"/>
        <rFont val="ＭＳ Ｐゴシック"/>
        <family val="3"/>
        <charset val="128"/>
        <scheme val="minor"/>
      </rPr>
      <t>政器材分公司</t>
    </r>
  </si>
  <si>
    <r>
      <t>广州市双翼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</si>
  <si>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果酒(含酒精); 甜果酒; 白干酒(中国白酒);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麦芽威士忌</t>
    </r>
  </si>
  <si>
    <r>
      <rPr>
        <sz val="11"/>
        <rFont val="ＭＳ Ｐゴシック"/>
        <family val="3"/>
        <charset val="134"/>
        <scheme val="minor"/>
      </rPr>
      <t>宽</t>
    </r>
    <r>
      <rPr>
        <sz val="11"/>
        <rFont val="ＭＳ Ｐゴシック"/>
        <family val="3"/>
        <charset val="128"/>
        <scheme val="minor"/>
      </rPr>
      <t>御</t>
    </r>
  </si>
  <si>
    <r>
      <t>王</t>
    </r>
    <r>
      <rPr>
        <sz val="11"/>
        <rFont val="ＭＳ Ｐゴシック"/>
        <family val="3"/>
        <charset val="134"/>
        <scheme val="minor"/>
      </rPr>
      <t>跃</t>
    </r>
  </si>
  <si>
    <r>
      <t xml:space="preserve"> 利口酒; 开胃酒; 果酒(含酒精);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</si>
  <si>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肇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市北望文化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</si>
  <si>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</si>
  <si>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鸽</t>
    </r>
    <r>
      <rPr>
        <sz val="11"/>
        <rFont val="ＭＳ Ｐゴシック"/>
        <family val="3"/>
        <charset val="128"/>
        <scheme val="minor"/>
      </rPr>
      <t>友</t>
    </r>
    <r>
      <rPr>
        <sz val="11"/>
        <rFont val="ＭＳ Ｐゴシック"/>
        <family val="3"/>
        <charset val="134"/>
        <scheme val="minor"/>
      </rPr>
      <t>缘</t>
    </r>
  </si>
  <si>
    <r>
      <t>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</t>
    </r>
    <r>
      <rPr>
        <sz val="11"/>
        <rFont val="ＭＳ Ｐゴシック"/>
        <family val="3"/>
        <charset val="134"/>
        <scheme val="minor"/>
      </rPr>
      <t>鸽</t>
    </r>
    <r>
      <rPr>
        <sz val="11"/>
        <rFont val="ＭＳ Ｐゴシック"/>
        <family val="3"/>
        <charset val="128"/>
        <scheme val="minor"/>
      </rPr>
      <t>友酒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</si>
  <si>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</si>
  <si>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</si>
  <si>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掌</t>
    </r>
    <r>
      <rPr>
        <sz val="11"/>
        <rFont val="ＭＳ Ｐゴシック"/>
        <family val="3"/>
        <charset val="134"/>
        <scheme val="minor"/>
      </rPr>
      <t>门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</si>
  <si>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氏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坊酒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</si>
  <si>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周</t>
    </r>
    <r>
      <rPr>
        <sz val="11"/>
        <rFont val="ＭＳ Ｐゴシック"/>
        <family val="3"/>
        <charset val="134"/>
        <scheme val="minor"/>
      </rPr>
      <t>荧荧</t>
    </r>
  </si>
  <si>
    <r>
      <t xml:space="preserve"> 利口酒;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</si>
  <si>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 xml:space="preserve"> 威士忌; 果酒; 甜酒;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</t>
    </r>
  </si>
  <si>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运黄金叶</t>
    </r>
  </si>
  <si>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运酒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沭阳有限公司</t>
    </r>
  </si>
  <si>
    <r>
      <t xml:space="preserve"> 开胃酒; 果酒;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清酒;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</si>
  <si>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颐</t>
    </r>
    <r>
      <rPr>
        <sz val="11"/>
        <rFont val="ＭＳ Ｐゴシック"/>
        <family val="3"/>
        <charset val="128"/>
        <scheme val="minor"/>
      </rPr>
      <t>萃鼎</t>
    </r>
  </si>
  <si>
    <r>
      <t>甘</t>
    </r>
    <r>
      <rPr>
        <sz val="11"/>
        <rFont val="ＭＳ Ｐゴシック"/>
        <family val="3"/>
        <charset val="134"/>
        <scheme val="minor"/>
      </rPr>
      <t>肃颐</t>
    </r>
    <r>
      <rPr>
        <sz val="11"/>
        <rFont val="ＭＳ Ｐゴシック"/>
        <family val="3"/>
        <charset val="128"/>
        <scheme val="minor"/>
      </rPr>
      <t>萃鼎健康管理有限公司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</si>
  <si>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</si>
  <si>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郭志</t>
    </r>
    <r>
      <rPr>
        <sz val="11"/>
        <rFont val="ＭＳ Ｐゴシック"/>
        <family val="3"/>
        <charset val="134"/>
        <scheme val="minor"/>
      </rPr>
      <t>远</t>
    </r>
  </si>
  <si>
    <r>
      <t xml:space="preserve">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青稞酒;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</si>
  <si>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崔</t>
    </r>
    <r>
      <rPr>
        <sz val="11"/>
        <rFont val="ＭＳ Ｐゴシック"/>
        <family val="3"/>
        <charset val="134"/>
        <scheme val="minor"/>
      </rPr>
      <t>远强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</si>
  <si>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</si>
  <si>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尽</t>
    </r>
    <r>
      <rPr>
        <sz val="11"/>
        <rFont val="ＭＳ Ｐゴシック"/>
        <family val="3"/>
        <charset val="134"/>
        <scheme val="minor"/>
      </rPr>
      <t>欢</t>
    </r>
  </si>
  <si>
    <r>
      <t>李俊</t>
    </r>
    <r>
      <rPr>
        <sz val="11"/>
        <rFont val="ＭＳ Ｐゴシック"/>
        <family val="3"/>
        <charset val="134"/>
        <scheme val="minor"/>
      </rPr>
      <t>书</t>
    </r>
  </si>
  <si>
    <r>
      <rPr>
        <sz val="11"/>
        <rFont val="ＭＳ Ｐゴシック"/>
        <family val="3"/>
        <charset val="134"/>
        <scheme val="minor"/>
      </rPr>
      <t>谢</t>
    </r>
    <r>
      <rPr>
        <sz val="11"/>
        <rFont val="ＭＳ Ｐゴシック"/>
        <family val="3"/>
        <charset val="128"/>
        <scheme val="minor"/>
      </rPr>
      <t>老怪川味</t>
    </r>
    <r>
      <rPr>
        <sz val="11"/>
        <rFont val="ＭＳ Ｐゴシック"/>
        <family val="3"/>
        <charset val="134"/>
        <scheme val="minor"/>
      </rPr>
      <t>飘</t>
    </r>
    <r>
      <rPr>
        <sz val="11"/>
        <rFont val="ＭＳ Ｐゴシック"/>
        <family val="3"/>
        <charset val="128"/>
        <scheme val="minor"/>
      </rPr>
      <t>香</t>
    </r>
  </si>
  <si>
    <r>
      <t>四川川味</t>
    </r>
    <r>
      <rPr>
        <sz val="11"/>
        <rFont val="ＭＳ Ｐゴシック"/>
        <family val="3"/>
        <charset val="134"/>
        <scheme val="minor"/>
      </rPr>
      <t>飘</t>
    </r>
    <r>
      <rPr>
        <sz val="11"/>
        <rFont val="ＭＳ Ｐゴシック"/>
        <family val="3"/>
        <charset val="128"/>
        <scheme val="minor"/>
      </rPr>
      <t>香餐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</si>
  <si>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餐后酒(利口酒和烈酒)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</si>
  <si>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一台供</t>
    </r>
    <r>
      <rPr>
        <sz val="11"/>
        <rFont val="ＭＳ Ｐゴシック"/>
        <family val="3"/>
        <charset val="134"/>
        <scheme val="minor"/>
      </rPr>
      <t>销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业销</t>
    </r>
    <r>
      <rPr>
        <sz val="11"/>
        <rFont val="ＭＳ Ｐゴシック"/>
        <family val="3"/>
        <charset val="128"/>
        <scheme val="minor"/>
      </rPr>
      <t>售有限公司</t>
    </r>
  </si>
  <si>
    <r>
      <t xml:space="preserve"> 威士忌; 开胃酒; 杜松子酒;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餐后酒(利口酒和烈酒)</t>
    </r>
  </si>
  <si>
    <r>
      <rPr>
        <sz val="11"/>
        <rFont val="ＭＳ Ｐゴシック"/>
        <family val="3"/>
        <charset val="134"/>
        <scheme val="minor"/>
      </rPr>
      <t>须润</t>
    </r>
  </si>
  <si>
    <r>
      <t>商丘市睢阳区</t>
    </r>
    <r>
      <rPr>
        <sz val="11"/>
        <rFont val="ＭＳ Ｐゴシック"/>
        <family val="3"/>
        <charset val="134"/>
        <scheme val="minor"/>
      </rPr>
      <t>须润</t>
    </r>
    <r>
      <rPr>
        <sz val="11"/>
        <rFont val="ＭＳ Ｐゴシック"/>
        <family val="3"/>
        <charset val="128"/>
        <scheme val="minor"/>
      </rPr>
      <t>食品厂</t>
    </r>
  </si>
  <si>
    <r>
      <t xml:space="preserve"> 朗姆酒;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苹果酒;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</si>
  <si>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 xml:space="preserve"> 伏特加酒;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</si>
  <si>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四川中科</t>
    </r>
    <r>
      <rPr>
        <sz val="11"/>
        <rFont val="ＭＳ Ｐゴシック"/>
        <family val="3"/>
        <charset val="134"/>
        <scheme val="minor"/>
      </rPr>
      <t>华软</t>
    </r>
    <r>
      <rPr>
        <sz val="11"/>
        <rFont val="ＭＳ Ｐゴシック"/>
        <family val="3"/>
        <charset val="128"/>
        <scheme val="minor"/>
      </rPr>
      <t>信息技</t>
    </r>
    <r>
      <rPr>
        <sz val="11"/>
        <rFont val="ＭＳ Ｐゴシック"/>
        <family val="3"/>
        <charset val="134"/>
        <scheme val="minor"/>
      </rPr>
      <t>术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</si>
  <si>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青稞酒; 高粱酒; 黄酒</t>
    </r>
  </si>
  <si>
    <r>
      <t>董福</t>
    </r>
    <r>
      <rPr>
        <sz val="11"/>
        <rFont val="ＭＳ Ｐゴシック"/>
        <family val="3"/>
        <charset val="134"/>
        <scheme val="minor"/>
      </rPr>
      <t>缘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</si>
  <si>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州董酒股份有限公司</t>
    </r>
  </si>
  <si>
    <r>
      <t xml:space="preserve"> 开胃酒; 果酒(含酒精); 梨酒;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餐后酒(利口酒和烈酒)</t>
    </r>
  </si>
  <si>
    <r>
      <t>一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醉山河</t>
    </r>
  </si>
  <si>
    <r>
      <rPr>
        <sz val="11"/>
        <rFont val="ＭＳ Ｐゴシック"/>
        <family val="3"/>
        <charset val="134"/>
        <scheme val="minor"/>
      </rPr>
      <t>单县</t>
    </r>
    <r>
      <rPr>
        <sz val="11"/>
        <rFont val="ＭＳ Ｐゴシック"/>
        <family val="3"/>
        <charset val="128"/>
        <scheme val="minor"/>
      </rPr>
      <t>天方夜</t>
    </r>
    <r>
      <rPr>
        <sz val="11"/>
        <rFont val="ＭＳ Ｐゴシック"/>
        <family val="3"/>
        <charset val="134"/>
        <scheme val="minor"/>
      </rPr>
      <t>谭</t>
    </r>
    <r>
      <rPr>
        <sz val="11"/>
        <rFont val="ＭＳ Ｐゴシック"/>
        <family val="3"/>
        <charset val="128"/>
        <scheme val="minor"/>
      </rPr>
      <t>塑料制品有限公司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</si>
  <si>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青稞酒;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</si>
  <si>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盈</t>
    </r>
    <r>
      <rPr>
        <sz val="11"/>
        <rFont val="ＭＳ Ｐゴシック"/>
        <family val="3"/>
        <charset val="134"/>
        <scheme val="minor"/>
      </rPr>
      <t>宾</t>
    </r>
    <r>
      <rPr>
        <sz val="11"/>
        <rFont val="ＭＳ Ｐゴシック"/>
        <family val="3"/>
        <charset val="128"/>
        <scheme val="minor"/>
      </rPr>
      <t>董</t>
    </r>
  </si>
  <si>
    <r>
      <t>王</t>
    </r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平</t>
    </r>
  </si>
  <si>
    <r>
      <rPr>
        <sz val="11"/>
        <rFont val="ＭＳ Ｐゴシック"/>
        <family val="3"/>
        <charset val="134"/>
        <scheme val="minor"/>
      </rPr>
      <t>钦</t>
    </r>
    <r>
      <rPr>
        <sz val="11"/>
        <rFont val="ＭＳ Ｐゴシック"/>
        <family val="3"/>
        <charset val="128"/>
        <scheme val="minor"/>
      </rPr>
      <t>百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</si>
  <si>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</si>
  <si>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冯</t>
    </r>
    <r>
      <rPr>
        <sz val="11"/>
        <rFont val="ＭＳ Ｐゴシック"/>
        <family val="3"/>
        <charset val="128"/>
        <scheme val="minor"/>
      </rPr>
      <t>静静</t>
    </r>
  </si>
  <si>
    <r>
      <t xml:space="preserve"> 利口酒;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威士忌;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</t>
    </r>
  </si>
  <si>
    <r>
      <t>泉州市森畾生</t>
    </r>
    <r>
      <rPr>
        <sz val="11"/>
        <rFont val="ＭＳ Ｐゴシック"/>
        <family val="3"/>
        <charset val="134"/>
        <scheme val="minor"/>
      </rPr>
      <t>态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</si>
  <si>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</si>
  <si>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t>鹿</t>
    </r>
    <r>
      <rPr>
        <sz val="11"/>
        <rFont val="ＭＳ Ｐゴシック"/>
        <family val="3"/>
        <charset val="134"/>
        <scheme val="minor"/>
      </rPr>
      <t>红尘</t>
    </r>
  </si>
  <si>
    <r>
      <t>刘</t>
    </r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玲</t>
    </r>
  </si>
  <si>
    <r>
      <t xml:space="preserve"> 威士忌;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高粱酒; 黄酒</t>
    </r>
  </si>
  <si>
    <r>
      <t>三</t>
    </r>
    <r>
      <rPr>
        <sz val="11"/>
        <rFont val="ＭＳ Ｐゴシック"/>
        <family val="3"/>
        <charset val="134"/>
        <scheme val="minor"/>
      </rPr>
      <t>顾</t>
    </r>
    <r>
      <rPr>
        <sz val="11"/>
        <rFont val="ＭＳ Ｐゴシック"/>
        <family val="3"/>
        <charset val="128"/>
        <scheme val="minor"/>
      </rPr>
      <t>城</t>
    </r>
  </si>
  <si>
    <r>
      <t xml:space="preserve"> 威士忌; 果酒; 烈酒; 白干酒(中国白酒);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高粱酒; 黄酒</t>
    </r>
  </si>
  <si>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忠</t>
    </r>
    <r>
      <rPr>
        <sz val="11"/>
        <rFont val="ＭＳ Ｐゴシック"/>
        <family val="3"/>
        <charset val="134"/>
        <scheme val="minor"/>
      </rPr>
      <t>东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</si>
  <si>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白酒; 米酒; 苹果酒;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</si>
  <si>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t>黔稻</t>
    </r>
    <r>
      <rPr>
        <sz val="11"/>
        <rFont val="ＭＳ Ｐゴシック"/>
        <family val="3"/>
        <charset val="134"/>
        <scheme val="minor"/>
      </rPr>
      <t>赋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</si>
  <si>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春文</t>
    </r>
  </si>
  <si>
    <r>
      <t xml:space="preserve"> 伏特加酒; 威士忌; 朗姆酒;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黄酒</t>
    </r>
  </si>
  <si>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穗</t>
    </r>
    <r>
      <rPr>
        <sz val="11"/>
        <rFont val="ＭＳ Ｐゴシック"/>
        <family val="3"/>
        <charset val="134"/>
        <scheme val="minor"/>
      </rPr>
      <t>乡</t>
    </r>
  </si>
  <si>
    <r>
      <t>厦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大衍行食品有限公司</t>
    </r>
  </si>
  <si>
    <r>
      <t xml:space="preserve"> 伏特加酒; 威士忌;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青稞酒; 黄酒</t>
    </r>
  </si>
  <si>
    <r>
      <t>樽中</t>
    </r>
    <r>
      <rPr>
        <sz val="11"/>
        <rFont val="ＭＳ Ｐゴシック"/>
        <family val="3"/>
        <charset val="134"/>
        <scheme val="minor"/>
      </rPr>
      <t>锦</t>
    </r>
  </si>
  <si>
    <r>
      <t xml:space="preserve"> 威士忌; 开胃酒;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蜂蜜酒;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</si>
  <si>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喜</t>
    </r>
    <r>
      <rPr>
        <sz val="11"/>
        <rFont val="ＭＳ Ｐゴシック"/>
        <family val="3"/>
        <charset val="134"/>
        <scheme val="minor"/>
      </rPr>
      <t>顺</t>
    </r>
    <r>
      <rPr>
        <sz val="11"/>
        <rFont val="ＭＳ Ｐゴシック"/>
        <family val="3"/>
        <charset val="128"/>
        <scheme val="minor"/>
      </rPr>
      <t>意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</si>
  <si>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</si>
  <si>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三古融</t>
    </r>
    <r>
      <rPr>
        <sz val="11"/>
        <rFont val="ＭＳ Ｐゴシック"/>
        <family val="3"/>
        <charset val="134"/>
        <scheme val="minor"/>
      </rPr>
      <t>绍</t>
    </r>
  </si>
  <si>
    <r>
      <t>遥</t>
    </r>
    <r>
      <rPr>
        <sz val="11"/>
        <rFont val="ＭＳ Ｐゴシック"/>
        <family val="3"/>
        <charset val="134"/>
        <scheme val="minor"/>
      </rPr>
      <t>对</t>
    </r>
    <r>
      <rPr>
        <sz val="11"/>
        <rFont val="ＭＳ Ｐゴシック"/>
        <family val="3"/>
        <charset val="128"/>
        <scheme val="minor"/>
      </rPr>
      <t>酒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</si>
  <si>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省老品牌管理有限公司</t>
    </r>
  </si>
  <si>
    <r>
      <t xml:space="preserve"> 伏特加酒; 威士忌; 朗姆酒;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食用酒精; 黄酒</t>
    </r>
  </si>
  <si>
    <r>
      <t>扑扑耳</t>
    </r>
    <r>
      <rPr>
        <sz val="11"/>
        <rFont val="ＭＳ Ｐゴシック"/>
        <family val="3"/>
        <charset val="134"/>
        <scheme val="minor"/>
      </rPr>
      <t>朵</t>
    </r>
  </si>
  <si>
    <r>
      <t>易</t>
    </r>
    <r>
      <rPr>
        <sz val="11"/>
        <rFont val="ＭＳ Ｐゴシック"/>
        <family val="3"/>
        <charset val="134"/>
        <scheme val="minor"/>
      </rPr>
      <t>宠</t>
    </r>
    <r>
      <rPr>
        <sz val="11"/>
        <rFont val="ＭＳ Ｐゴシック"/>
        <family val="3"/>
        <charset val="128"/>
        <scheme val="minor"/>
      </rPr>
      <t>(杭州)互</t>
    </r>
    <r>
      <rPr>
        <sz val="11"/>
        <rFont val="ＭＳ Ｐゴシック"/>
        <family val="3"/>
        <charset val="134"/>
        <scheme val="minor"/>
      </rPr>
      <t>联</t>
    </r>
    <r>
      <rPr>
        <sz val="11"/>
        <rFont val="ＭＳ Ｐゴシック"/>
        <family val="3"/>
        <charset val="128"/>
        <scheme val="minor"/>
      </rPr>
      <t>网科技有限公司</t>
    </r>
  </si>
  <si>
    <r>
      <t xml:space="preserve"> 伏特加酒; 利口酒;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</si>
  <si>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广州君</t>
    </r>
    <r>
      <rPr>
        <sz val="11"/>
        <rFont val="ＭＳ Ｐゴシック"/>
        <family val="3"/>
        <charset val="134"/>
        <scheme val="minor"/>
      </rPr>
      <t>谦电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</si>
  <si>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</si>
  <si>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曲度紫</t>
    </r>
    <r>
      <rPr>
        <sz val="11"/>
        <rFont val="ＭＳ Ｐゴシック"/>
        <family val="3"/>
        <charset val="134"/>
        <scheme val="minor"/>
      </rPr>
      <t>鸳</t>
    </r>
  </si>
  <si>
    <r>
      <t>萍</t>
    </r>
    <r>
      <rPr>
        <sz val="11"/>
        <rFont val="ＭＳ Ｐゴシック"/>
        <family val="3"/>
        <charset val="134"/>
        <scheme val="minor"/>
      </rPr>
      <t>乡</t>
    </r>
    <r>
      <rPr>
        <sz val="11"/>
        <rFont val="ＭＳ Ｐゴシック"/>
        <family val="3"/>
        <charset val="128"/>
        <scheme val="minor"/>
      </rPr>
      <t>市</t>
    </r>
    <r>
      <rPr>
        <sz val="11"/>
        <rFont val="ＭＳ Ｐゴシック"/>
        <family val="3"/>
        <charset val="134"/>
        <scheme val="minor"/>
      </rPr>
      <t>枫</t>
    </r>
    <r>
      <rPr>
        <sz val="11"/>
        <rFont val="ＭＳ Ｐゴシック"/>
        <family val="3"/>
        <charset val="128"/>
        <scheme val="minor"/>
      </rPr>
      <t>男物</t>
    </r>
    <r>
      <rPr>
        <sz val="11"/>
        <rFont val="ＭＳ Ｐゴシック"/>
        <family val="3"/>
        <charset val="134"/>
        <scheme val="minor"/>
      </rPr>
      <t>语</t>
    </r>
    <r>
      <rPr>
        <sz val="11"/>
        <rFont val="ＭＳ Ｐゴシック"/>
        <family val="3"/>
        <charset val="128"/>
        <scheme val="minor"/>
      </rPr>
      <t>网</t>
    </r>
    <r>
      <rPr>
        <sz val="11"/>
        <rFont val="ＭＳ Ｐゴシック"/>
        <family val="3"/>
        <charset val="134"/>
        <scheme val="minor"/>
      </rPr>
      <t>络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</si>
  <si>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</si>
  <si>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星河尽</t>
    </r>
    <r>
      <rPr>
        <sz val="11"/>
        <rFont val="ＭＳ Ｐゴシック"/>
        <family val="3"/>
        <charset val="134"/>
        <scheme val="minor"/>
      </rPr>
      <t>览</t>
    </r>
  </si>
  <si>
    <r>
      <t>和</t>
    </r>
    <r>
      <rPr>
        <sz val="11"/>
        <rFont val="ＭＳ Ｐゴシック"/>
        <family val="3"/>
        <charset val="134"/>
        <scheme val="minor"/>
      </rPr>
      <t>艺</t>
    </r>
    <r>
      <rPr>
        <sz val="11"/>
        <rFont val="ＭＳ Ｐゴシック"/>
        <family val="3"/>
        <charset val="128"/>
        <scheme val="minor"/>
      </rPr>
      <t>人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</si>
  <si>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州手</t>
    </r>
    <r>
      <rPr>
        <sz val="11"/>
        <rFont val="ＭＳ Ｐゴシック"/>
        <family val="3"/>
        <charset val="134"/>
        <scheme val="minor"/>
      </rPr>
      <t>艺</t>
    </r>
    <r>
      <rPr>
        <sz val="11"/>
        <rFont val="ＭＳ Ｐゴシック"/>
        <family val="3"/>
        <charset val="128"/>
        <scheme val="minor"/>
      </rPr>
      <t>人酒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</si>
  <si>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青</t>
    </r>
    <r>
      <rPr>
        <sz val="11"/>
        <rFont val="ＭＳ Ｐゴシック"/>
        <family val="3"/>
        <charset val="134"/>
        <scheme val="minor"/>
      </rPr>
      <t>岛</t>
    </r>
    <r>
      <rPr>
        <sz val="11"/>
        <rFont val="ＭＳ Ｐゴシック"/>
        <family val="3"/>
        <charset val="128"/>
        <scheme val="minor"/>
      </rPr>
      <t>海浪明星</t>
    </r>
    <r>
      <rPr>
        <sz val="11"/>
        <rFont val="ＭＳ Ｐゴシック"/>
        <family val="3"/>
        <charset val="134"/>
        <scheme val="minor"/>
      </rPr>
      <t>联</t>
    </r>
    <r>
      <rPr>
        <sz val="11"/>
        <rFont val="ＭＳ Ｐゴシック"/>
        <family val="3"/>
        <charset val="128"/>
        <scheme val="minor"/>
      </rPr>
      <t>足球俱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部有限公司</t>
    </r>
  </si>
  <si>
    <r>
      <t xml:space="preserve"> 以蒸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伏特加酒;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甜果酒;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</t>
    </r>
  </si>
  <si>
    <r>
      <t xml:space="preserve"> 佐餐酒;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</t>
    </r>
  </si>
  <si>
    <r>
      <t>五</t>
    </r>
    <r>
      <rPr>
        <sz val="11"/>
        <rFont val="ＭＳ Ｐゴシック"/>
        <family val="3"/>
        <charset val="134"/>
        <scheme val="minor"/>
      </rPr>
      <t>缘鹭岛</t>
    </r>
  </si>
  <si>
    <r>
      <t>流</t>
    </r>
    <r>
      <rPr>
        <sz val="11"/>
        <rFont val="ＭＳ Ｐゴシック"/>
        <family val="3"/>
        <charset val="134"/>
        <scheme val="minor"/>
      </rPr>
      <t>动创艺</t>
    </r>
    <r>
      <rPr>
        <sz val="11"/>
        <rFont val="ＭＳ Ｐゴシック"/>
        <family val="3"/>
        <charset val="128"/>
        <scheme val="minor"/>
      </rPr>
      <t>(厦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)酒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</si>
  <si>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葡萄酒; 高粱酒; 黄酒</t>
    </r>
  </si>
  <si>
    <r>
      <t>醇古良</t>
    </r>
    <r>
      <rPr>
        <sz val="11"/>
        <rFont val="ＭＳ Ｐゴシック"/>
        <family val="3"/>
        <charset val="134"/>
        <scheme val="minor"/>
      </rPr>
      <t>缘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</si>
  <si>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桂</t>
    </r>
    <r>
      <rPr>
        <sz val="11"/>
        <rFont val="ＭＳ Ｐゴシック"/>
        <family val="3"/>
        <charset val="134"/>
        <scheme val="minor"/>
      </rPr>
      <t>仪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</si>
  <si>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</si>
  <si>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杨华业</t>
    </r>
  </si>
  <si>
    <r>
      <t>四川新源</t>
    </r>
    <r>
      <rPr>
        <sz val="11"/>
        <rFont val="ＭＳ Ｐゴシック"/>
        <family val="3"/>
        <charset val="134"/>
        <scheme val="minor"/>
      </rPr>
      <t>华泽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</si>
  <si>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于</t>
    </r>
    <r>
      <rPr>
        <sz val="11"/>
        <rFont val="ＭＳ Ｐゴシック"/>
        <family val="3"/>
        <charset val="134"/>
        <scheme val="minor"/>
      </rPr>
      <t>艺</t>
    </r>
    <r>
      <rPr>
        <sz val="11"/>
        <rFont val="ＭＳ Ｐゴシック"/>
        <family val="3"/>
        <charset val="128"/>
        <scheme val="minor"/>
      </rPr>
      <t>人</t>
    </r>
  </si>
  <si>
    <r>
      <t>桂平市木</t>
    </r>
    <r>
      <rPr>
        <sz val="11"/>
        <rFont val="ＭＳ Ｐゴシック"/>
        <family val="3"/>
        <charset val="134"/>
        <scheme val="minor"/>
      </rPr>
      <t>乐镇</t>
    </r>
    <r>
      <rPr>
        <sz val="11"/>
        <rFont val="ＭＳ Ｐゴシック"/>
        <family val="3"/>
        <charset val="128"/>
        <scheme val="minor"/>
      </rPr>
      <t>甜香酒坊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</si>
  <si>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青梅酒;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</si>
  <si>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皓</t>
    </r>
    <r>
      <rPr>
        <sz val="11"/>
        <rFont val="ＭＳ Ｐゴシック"/>
        <family val="3"/>
        <charset val="134"/>
        <scheme val="minor"/>
      </rPr>
      <t>尔</t>
    </r>
    <r>
      <rPr>
        <sz val="11"/>
        <rFont val="ＭＳ Ｐゴシック"/>
        <family val="3"/>
        <charset val="128"/>
        <scheme val="minor"/>
      </rPr>
      <t>琅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</si>
  <si>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州京</t>
    </r>
    <r>
      <rPr>
        <sz val="11"/>
        <rFont val="ＭＳ Ｐゴシック"/>
        <family val="3"/>
        <charset val="134"/>
        <scheme val="minor"/>
      </rPr>
      <t>谭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</si>
  <si>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</si>
  <si>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四</t>
    </r>
    <r>
      <rPr>
        <sz val="11"/>
        <rFont val="ＭＳ Ｐゴシック"/>
        <family val="3"/>
        <charset val="134"/>
        <scheme val="minor"/>
      </rPr>
      <t>为贤</t>
    </r>
    <r>
      <rPr>
        <sz val="11"/>
        <rFont val="ＭＳ Ｐゴシック"/>
        <family val="3"/>
        <charset val="128"/>
        <scheme val="minor"/>
      </rPr>
      <t>能</t>
    </r>
  </si>
  <si>
    <r>
      <t>史</t>
    </r>
    <r>
      <rPr>
        <sz val="11"/>
        <rFont val="ＭＳ Ｐゴシック"/>
        <family val="3"/>
        <charset val="134"/>
        <scheme val="minor"/>
      </rPr>
      <t>跃华</t>
    </r>
  </si>
  <si>
    <r>
      <t xml:space="preserve">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</si>
  <si>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t>禾食牧</t>
    </r>
    <r>
      <rPr>
        <sz val="11"/>
        <rFont val="ＭＳ Ｐゴシック"/>
        <family val="3"/>
        <charset val="134"/>
        <scheme val="minor"/>
      </rPr>
      <t>语</t>
    </r>
  </si>
  <si>
    <r>
      <t>上海恒</t>
    </r>
    <r>
      <rPr>
        <sz val="11"/>
        <rFont val="ＭＳ Ｐゴシック"/>
        <family val="3"/>
        <charset val="134"/>
        <scheme val="minor"/>
      </rPr>
      <t>优</t>
    </r>
    <r>
      <rPr>
        <sz val="11"/>
        <rFont val="ＭＳ Ｐゴシック"/>
        <family val="3"/>
        <charset val="128"/>
        <scheme val="minor"/>
      </rPr>
      <t>食品有限公司</t>
    </r>
  </si>
  <si>
    <r>
      <t xml:space="preserve"> 威士忌; 果酒; 汽酒; 烈酒;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</si>
  <si>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历</t>
    </r>
    <r>
      <rPr>
        <sz val="11"/>
        <rFont val="ＭＳ Ｐゴシック"/>
        <family val="3"/>
        <charset val="128"/>
        <scheme val="minor"/>
      </rPr>
      <t>如松</t>
    </r>
  </si>
  <si>
    <r>
      <t>五原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蒙湘</t>
    </r>
    <r>
      <rPr>
        <sz val="11"/>
        <rFont val="ＭＳ Ｐゴシック"/>
        <family val="3"/>
        <charset val="134"/>
        <scheme val="minor"/>
      </rPr>
      <t>锁</t>
    </r>
    <r>
      <rPr>
        <sz val="11"/>
        <rFont val="ＭＳ Ｐゴシック"/>
        <family val="3"/>
        <charset val="128"/>
        <scheme val="minor"/>
      </rPr>
      <t>阳酒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</si>
  <si>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威士忌;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</si>
  <si>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花冠酒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</si>
  <si>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</si>
  <si>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意威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奇</t>
    </r>
  </si>
  <si>
    <r>
      <t xml:space="preserve"> 利口酒;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酸酒(低等葡萄酒); 黄酒</t>
    </r>
  </si>
  <si>
    <r>
      <t>内蒙古五十六</t>
    </r>
    <r>
      <rPr>
        <sz val="11"/>
        <rFont val="ＭＳ Ｐゴシック"/>
        <family val="3"/>
        <charset val="134"/>
        <scheme val="minor"/>
      </rPr>
      <t>顶</t>
    </r>
    <r>
      <rPr>
        <sz val="11"/>
        <rFont val="ＭＳ Ｐゴシック"/>
        <family val="3"/>
        <charset val="128"/>
        <scheme val="minor"/>
      </rPr>
      <t>毡房酒店管理有限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</si>
  <si>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</si>
  <si>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陕乡</t>
    </r>
    <r>
      <rPr>
        <sz val="11"/>
        <rFont val="ＭＳ Ｐゴシック"/>
        <family val="3"/>
        <charset val="128"/>
        <scheme val="minor"/>
      </rPr>
      <t>客</t>
    </r>
  </si>
  <si>
    <r>
      <rPr>
        <sz val="11"/>
        <rFont val="ＭＳ Ｐゴシック"/>
        <family val="3"/>
        <charset val="134"/>
        <scheme val="minor"/>
      </rPr>
      <t>榆</t>
    </r>
    <r>
      <rPr>
        <sz val="11"/>
        <rFont val="ＭＳ Ｐゴシック"/>
        <family val="3"/>
        <charset val="128"/>
        <scheme val="minor"/>
      </rPr>
      <t>林市横山区科益养殖有限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</si>
  <si>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>筑城</t>
    </r>
    <r>
      <rPr>
        <sz val="11"/>
        <rFont val="ＭＳ Ｐゴシック"/>
        <family val="3"/>
        <charset val="134"/>
        <scheme val="minor"/>
      </rPr>
      <t>书</t>
    </r>
    <r>
      <rPr>
        <sz val="11"/>
        <rFont val="ＭＳ Ｐゴシック"/>
        <family val="3"/>
        <charset val="128"/>
        <scheme val="minor"/>
      </rPr>
      <t>香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</si>
  <si>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鱼</t>
    </r>
    <r>
      <rPr>
        <sz val="11"/>
        <rFont val="ＭＳ Ｐゴシック"/>
        <family val="3"/>
        <charset val="128"/>
        <scheme val="minor"/>
      </rPr>
      <t>儿回沙酒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</si>
  <si>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</si>
  <si>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储</t>
    </r>
    <r>
      <rPr>
        <sz val="11"/>
        <rFont val="ＭＳ Ｐゴシック"/>
        <family val="3"/>
        <charset val="128"/>
        <scheme val="minor"/>
      </rPr>
      <t>年春</t>
    </r>
  </si>
  <si>
    <r>
      <rPr>
        <sz val="11"/>
        <rFont val="ＭＳ Ｐゴシック"/>
        <family val="3"/>
        <charset val="134"/>
        <scheme val="minor"/>
      </rPr>
      <t>优</t>
    </r>
    <r>
      <rPr>
        <sz val="11"/>
        <rFont val="ＭＳ Ｐゴシック"/>
        <family val="3"/>
        <charset val="128"/>
        <scheme val="minor"/>
      </rPr>
      <t>可柔</t>
    </r>
  </si>
  <si>
    <r>
      <t>安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市嘉欣医</t>
    </r>
    <r>
      <rPr>
        <sz val="11"/>
        <rFont val="ＭＳ Ｐゴシック"/>
        <family val="3"/>
        <charset val="134"/>
        <scheme val="minor"/>
      </rPr>
      <t>疗</t>
    </r>
    <r>
      <rPr>
        <sz val="11"/>
        <rFont val="ＭＳ Ｐゴシック"/>
        <family val="3"/>
        <charset val="128"/>
        <scheme val="minor"/>
      </rPr>
      <t>用品科技股份有限公司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</si>
  <si>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白酒; 米酒; 葡萄酒; 蜂蜜酒;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</si>
  <si>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</si>
  <si>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rPr>
        <sz val="11"/>
        <rFont val="ＭＳ Ｐゴシック"/>
        <family val="3"/>
        <charset val="134"/>
        <scheme val="minor"/>
      </rPr>
      <t>滨</t>
    </r>
    <r>
      <rPr>
        <sz val="11"/>
        <rFont val="ＭＳ Ｐゴシック"/>
        <family val="3"/>
        <charset val="128"/>
        <scheme val="minor"/>
      </rPr>
      <t>首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</si>
  <si>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文亮</t>
    </r>
  </si>
  <si>
    <r>
      <t xml:space="preserve"> 开胃酒;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</si>
  <si>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友</t>
    </r>
    <r>
      <rPr>
        <sz val="11"/>
        <rFont val="ＭＳ Ｐゴシック"/>
        <family val="3"/>
        <charset val="134"/>
        <scheme val="minor"/>
      </rPr>
      <t>龙</t>
    </r>
  </si>
  <si>
    <r>
      <t xml:space="preserve"> 佐餐酒;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水果汽酒; 烈酒; 白酒; 葡萄酒</t>
    </r>
  </si>
  <si>
    <r>
      <t>南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金</t>
    </r>
    <r>
      <rPr>
        <sz val="11"/>
        <rFont val="ＭＳ Ｐゴシック"/>
        <family val="3"/>
        <charset val="134"/>
        <scheme val="minor"/>
      </rPr>
      <t>诺农业发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</si>
  <si>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果酒(含酒精); 清酒;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高粱酒</t>
    </r>
  </si>
  <si>
    <r>
      <t>熊猫大</t>
    </r>
    <r>
      <rPr>
        <sz val="11"/>
        <rFont val="ＭＳ Ｐゴシック"/>
        <family val="3"/>
        <charset val="134"/>
        <scheme val="minor"/>
      </rPr>
      <t>师</t>
    </r>
    <r>
      <rPr>
        <sz val="11"/>
        <rFont val="ＭＳ Ｐゴシック"/>
        <family val="3"/>
        <charset val="128"/>
        <scheme val="minor"/>
      </rPr>
      <t>·知心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</si>
  <si>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州熊猫大</t>
    </r>
    <r>
      <rPr>
        <sz val="11"/>
        <rFont val="ＭＳ Ｐゴシック"/>
        <family val="3"/>
        <charset val="134"/>
        <scheme val="minor"/>
      </rPr>
      <t>师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</si>
  <si>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</si>
  <si>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郭排</t>
    </r>
    <r>
      <rPr>
        <sz val="11"/>
        <rFont val="ＭＳ Ｐゴシック"/>
        <family val="3"/>
        <charset val="134"/>
        <scheme val="minor"/>
      </rPr>
      <t>场</t>
    </r>
  </si>
  <si>
    <r>
      <rPr>
        <sz val="11"/>
        <rFont val="ＭＳ Ｐゴシック"/>
        <family val="3"/>
        <charset val="134"/>
        <scheme val="minor"/>
      </rPr>
      <t>满</t>
    </r>
    <r>
      <rPr>
        <sz val="11"/>
        <rFont val="ＭＳ Ｐゴシック"/>
        <family val="3"/>
        <charset val="128"/>
        <scheme val="minor"/>
      </rPr>
      <t>福清花</t>
    </r>
  </si>
  <si>
    <r>
      <rPr>
        <sz val="11"/>
        <rFont val="ＭＳ Ｐゴシック"/>
        <family val="3"/>
        <charset val="134"/>
        <scheme val="minor"/>
      </rPr>
      <t>汤</t>
    </r>
    <r>
      <rPr>
        <sz val="11"/>
        <rFont val="ＭＳ Ｐゴシック"/>
        <family val="3"/>
        <charset val="128"/>
        <scheme val="minor"/>
      </rPr>
      <t>瑞如</t>
    </r>
  </si>
  <si>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运草</t>
    </r>
  </si>
  <si>
    <r>
      <t>四川鑫福</t>
    </r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生物科技有限公司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</si>
  <si>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</si>
  <si>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高粱酒</t>
    </r>
  </si>
  <si>
    <r>
      <rPr>
        <sz val="11"/>
        <rFont val="ＭＳ Ｐゴシック"/>
        <family val="3"/>
        <charset val="134"/>
        <scheme val="minor"/>
      </rPr>
      <t>谭</t>
    </r>
    <r>
      <rPr>
        <sz val="11"/>
        <rFont val="ＭＳ Ｐゴシック"/>
        <family val="3"/>
        <charset val="128"/>
        <scheme val="minor"/>
      </rPr>
      <t>志牛</t>
    </r>
  </si>
  <si>
    <r>
      <t xml:space="preserve"> 果酒(含酒精); 汽酒;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</si>
  <si>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rPr>
        <sz val="11"/>
        <rFont val="ＭＳ Ｐゴシック"/>
        <family val="3"/>
        <charset val="134"/>
        <scheme val="minor"/>
      </rPr>
      <t>潇</t>
    </r>
    <r>
      <rPr>
        <sz val="11"/>
        <rFont val="ＭＳ Ｐゴシック"/>
        <family val="3"/>
        <charset val="128"/>
        <scheme val="minor"/>
      </rPr>
      <t>卓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</si>
  <si>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阳一味餐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</si>
  <si>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甜酒; 白葡萄酒;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葡萄酒; 青稞酒; 高粱酒</t>
    </r>
  </si>
  <si>
    <r>
      <t>粮</t>
    </r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主</t>
    </r>
  </si>
  <si>
    <r>
      <rPr>
        <sz val="11"/>
        <rFont val="ＭＳ Ｐゴシック"/>
        <family val="3"/>
        <charset val="134"/>
        <scheme val="minor"/>
      </rPr>
      <t>吕</t>
    </r>
    <r>
      <rPr>
        <sz val="11"/>
        <rFont val="ＭＳ Ｐゴシック"/>
        <family val="3"/>
        <charset val="128"/>
        <scheme val="minor"/>
      </rPr>
      <t>宗金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</si>
  <si>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酱</t>
    </r>
    <r>
      <rPr>
        <sz val="11"/>
        <rFont val="ＭＳ Ｐゴシック"/>
        <family val="3"/>
        <charset val="128"/>
        <scheme val="minor"/>
      </rPr>
      <t>心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</si>
  <si>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苦味酒; 蜂蜜酒</t>
    </r>
  </si>
  <si>
    <r>
      <t>于</t>
    </r>
    <r>
      <rPr>
        <sz val="11"/>
        <rFont val="ＭＳ Ｐゴシック"/>
        <family val="3"/>
        <charset val="134"/>
        <scheme val="minor"/>
      </rPr>
      <t>红</t>
    </r>
  </si>
  <si>
    <r>
      <t xml:space="preserve">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</si>
  <si>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易楚</t>
    </r>
    <r>
      <rPr>
        <sz val="11"/>
        <rFont val="ＭＳ Ｐゴシック"/>
        <family val="3"/>
        <charset val="134"/>
        <scheme val="minor"/>
      </rPr>
      <t>优</t>
    </r>
    <r>
      <rPr>
        <sz val="11"/>
        <rFont val="ＭＳ Ｐゴシック"/>
        <family val="3"/>
        <charset val="128"/>
        <scheme val="minor"/>
      </rPr>
      <t>品</t>
    </r>
  </si>
  <si>
    <r>
      <t>中国石化</t>
    </r>
    <r>
      <rPr>
        <sz val="11"/>
        <rFont val="ＭＳ Ｐゴシック"/>
        <family val="3"/>
        <charset val="134"/>
        <scheme val="minor"/>
      </rPr>
      <t>销</t>
    </r>
    <r>
      <rPr>
        <sz val="11"/>
        <rFont val="ＭＳ Ｐゴシック"/>
        <family val="3"/>
        <charset val="128"/>
        <scheme val="minor"/>
      </rPr>
      <t>售股份有限公司湖北易捷分公司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</si>
  <si>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力酒;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伏特加酒; 利口酒; 含酒精的气泡水; 威士忌;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开胃酒; 朗姆酒; 朝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 xml:space="preserve">族米酒; 杜松子酒; 柑香酒; 梨酒;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苦味酒; 苹果酒; 茴芹酒(利口酒); 茴香酒(利口酒);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酸酒(低等葡萄酒);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食用酒精; 餐后酒(利口酒和烈酒); 黄酒</t>
    </r>
  </si>
  <si>
    <r>
      <t>宜将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之子</t>
    </r>
  </si>
  <si>
    <r>
      <t>宜</t>
    </r>
    <r>
      <rPr>
        <sz val="11"/>
        <rFont val="ＭＳ Ｐゴシック"/>
        <family val="3"/>
        <charset val="134"/>
        <scheme val="minor"/>
      </rPr>
      <t>宾</t>
    </r>
    <r>
      <rPr>
        <sz val="11"/>
        <rFont val="ＭＳ Ｐゴシック"/>
        <family val="3"/>
        <charset val="128"/>
        <scheme val="minor"/>
      </rPr>
      <t>市将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之</t>
    </r>
    <r>
      <rPr>
        <sz val="11"/>
        <rFont val="ＭＳ Ｐゴシック"/>
        <family val="3"/>
        <charset val="134"/>
        <scheme val="minor"/>
      </rPr>
      <t>风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</si>
  <si>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</si>
  <si>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浃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</si>
  <si>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</si>
  <si>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景芝白酒有限公司</t>
    </r>
  </si>
  <si>
    <r>
      <t xml:space="preserve">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黄酒</t>
    </r>
  </si>
  <si>
    <r>
      <t>冶</t>
    </r>
    <r>
      <rPr>
        <sz val="11"/>
        <rFont val="ＭＳ Ｐゴシック"/>
        <family val="3"/>
        <charset val="134"/>
        <scheme val="minor"/>
      </rPr>
      <t>马</t>
    </r>
  </si>
  <si>
    <r>
      <t>黑</t>
    </r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(漳州)食品有限公司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</si>
  <si>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果酒; 烈酒; 甜酒;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</si>
  <si>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泸</t>
    </r>
    <r>
      <rPr>
        <sz val="11"/>
        <rFont val="ＭＳ Ｐゴシック"/>
        <family val="3"/>
        <charset val="128"/>
        <scheme val="minor"/>
      </rPr>
      <t>白泉</t>
    </r>
  </si>
  <si>
    <r>
      <t>国品</t>
    </r>
    <r>
      <rPr>
        <sz val="11"/>
        <rFont val="ＭＳ Ｐゴシック"/>
        <family val="3"/>
        <charset val="134"/>
        <scheme val="minor"/>
      </rPr>
      <t>优选</t>
    </r>
    <r>
      <rPr>
        <sz val="11"/>
        <rFont val="ＭＳ Ｐゴシック"/>
        <family val="3"/>
        <charset val="128"/>
        <scheme val="minor"/>
      </rPr>
      <t>(北京)品牌管理有限公司</t>
    </r>
  </si>
  <si>
    <r>
      <t xml:space="preserve">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起泡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黄酒</t>
    </r>
  </si>
  <si>
    <r>
      <rPr>
        <sz val="11"/>
        <rFont val="ＭＳ Ｐゴシック"/>
        <family val="3"/>
        <charset val="134"/>
        <scheme val="minor"/>
      </rPr>
      <t>冯</t>
    </r>
    <r>
      <rPr>
        <sz val="11"/>
        <rFont val="ＭＳ Ｐゴシック"/>
        <family val="3"/>
        <charset val="128"/>
        <scheme val="minor"/>
      </rPr>
      <t>加杰</t>
    </r>
  </si>
  <si>
    <r>
      <rPr>
        <sz val="11"/>
        <rFont val="ＭＳ Ｐゴシック"/>
        <family val="3"/>
        <charset val="134"/>
        <scheme val="minor"/>
      </rPr>
      <t>图</t>
    </r>
    <r>
      <rPr>
        <sz val="11"/>
        <rFont val="ＭＳ Ｐゴシック"/>
        <family val="3"/>
        <charset val="128"/>
        <scheme val="minor"/>
      </rPr>
      <t>汗杰</t>
    </r>
  </si>
  <si>
    <r>
      <t>新疆</t>
    </r>
    <r>
      <rPr>
        <sz val="11"/>
        <rFont val="ＭＳ Ｐゴシック"/>
        <family val="3"/>
        <charset val="134"/>
        <scheme val="minor"/>
      </rPr>
      <t>顺</t>
    </r>
    <r>
      <rPr>
        <sz val="11"/>
        <rFont val="ＭＳ Ｐゴシック"/>
        <family val="3"/>
        <charset val="128"/>
        <scheme val="minor"/>
      </rPr>
      <t>源商</t>
    </r>
    <r>
      <rPr>
        <sz val="11"/>
        <rFont val="ＭＳ Ｐゴシック"/>
        <family val="3"/>
        <charset val="134"/>
        <scheme val="minor"/>
      </rPr>
      <t>贸发</t>
    </r>
    <r>
      <rPr>
        <sz val="11"/>
        <rFont val="ＭＳ Ｐゴシック"/>
        <family val="3"/>
        <charset val="128"/>
        <scheme val="minor"/>
      </rPr>
      <t>展有限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</si>
  <si>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</si>
  <si>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 xml:space="preserve">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烈酒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</si>
  <si>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新疆咪喇思服</t>
    </r>
    <r>
      <rPr>
        <sz val="11"/>
        <rFont val="ＭＳ Ｐゴシック"/>
        <family val="3"/>
        <charset val="134"/>
        <scheme val="minor"/>
      </rPr>
      <t>饰</t>
    </r>
    <r>
      <rPr>
        <sz val="11"/>
        <rFont val="ＭＳ Ｐゴシック"/>
        <family val="3"/>
        <charset val="128"/>
        <scheme val="minor"/>
      </rPr>
      <t>文化有限公司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</si>
  <si>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果酒(含酒精);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</t>
    </r>
  </si>
  <si>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芝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</si>
  <si>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佳豪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</si>
  <si>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高粱酒</t>
    </r>
  </si>
  <si>
    <r>
      <t>百雅</t>
    </r>
    <r>
      <rPr>
        <sz val="11"/>
        <rFont val="ＭＳ Ｐゴシック"/>
        <family val="3"/>
        <charset val="134"/>
        <scheme val="minor"/>
      </rPr>
      <t>轩</t>
    </r>
  </si>
  <si>
    <r>
      <t>北京礼物商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</si>
  <si>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威士忌; 清酒(日本米酒);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</si>
  <si>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</si>
  <si>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</si>
  <si>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杏花村</t>
    </r>
    <r>
      <rPr>
        <sz val="11"/>
        <rFont val="ＭＳ Ｐゴシック"/>
        <family val="3"/>
        <charset val="134"/>
        <scheme val="minor"/>
      </rPr>
      <t>诗</t>
    </r>
    <r>
      <rPr>
        <sz val="11"/>
        <rFont val="ＭＳ Ｐゴシック"/>
        <family val="3"/>
        <charset val="128"/>
        <scheme val="minor"/>
      </rPr>
      <t>·瓷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</si>
  <si>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</si>
  <si>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</si>
  <si>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觥筹星</t>
    </r>
    <r>
      <rPr>
        <sz val="11"/>
        <rFont val="ＭＳ Ｐゴシック"/>
        <family val="3"/>
        <charset val="134"/>
        <scheme val="minor"/>
      </rPr>
      <t>辉</t>
    </r>
  </si>
  <si>
    <r>
      <t>江</t>
    </r>
    <r>
      <rPr>
        <sz val="11"/>
        <rFont val="ＭＳ Ｐゴシック"/>
        <family val="3"/>
        <charset val="134"/>
        <scheme val="minor"/>
      </rPr>
      <t>苏苏萨</t>
    </r>
    <r>
      <rPr>
        <sz val="11"/>
        <rFont val="ＭＳ Ｐゴシック"/>
        <family val="3"/>
        <charset val="128"/>
        <scheme val="minor"/>
      </rPr>
      <t>食品有限公司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</si>
  <si>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梨酒;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白酒; 葡萄酒; 薄荷酒;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</si>
  <si>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rPr>
        <sz val="11"/>
        <rFont val="ＭＳ Ｐゴシック"/>
        <family val="3"/>
        <charset val="134"/>
        <scheme val="minor"/>
      </rPr>
      <t>邬</t>
    </r>
    <r>
      <rPr>
        <sz val="11"/>
        <rFont val="ＭＳ Ｐゴシック"/>
        <family val="3"/>
        <charset val="128"/>
        <scheme val="minor"/>
      </rPr>
      <t>仙</t>
    </r>
    <r>
      <rPr>
        <sz val="11"/>
        <rFont val="ＭＳ Ｐゴシック"/>
        <family val="3"/>
        <charset val="134"/>
        <scheme val="minor"/>
      </rPr>
      <t>宫</t>
    </r>
    <r>
      <rPr>
        <sz val="11"/>
        <rFont val="ＭＳ Ｐゴシック"/>
        <family val="3"/>
        <charset val="128"/>
        <scheme val="minor"/>
      </rPr>
      <t>客醇黄</t>
    </r>
  </si>
  <si>
    <r>
      <t>广州医美医</t>
    </r>
    <r>
      <rPr>
        <sz val="11"/>
        <rFont val="ＭＳ Ｐゴシック"/>
        <family val="3"/>
        <charset val="134"/>
        <scheme val="minor"/>
      </rPr>
      <t>药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</si>
  <si>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</si>
  <si>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>巍酩</t>
    </r>
    <r>
      <rPr>
        <sz val="11"/>
        <rFont val="ＭＳ Ｐゴシック"/>
        <family val="3"/>
        <charset val="134"/>
        <scheme val="minor"/>
      </rPr>
      <t>远扬</t>
    </r>
  </si>
  <si>
    <r>
      <t>沈国</t>
    </r>
    <r>
      <rPr>
        <sz val="11"/>
        <rFont val="ＭＳ Ｐゴシック"/>
        <family val="3"/>
        <charset val="134"/>
        <scheme val="minor"/>
      </rPr>
      <t>华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</si>
  <si>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</si>
  <si>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商萌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</si>
  <si>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州大唐包装物</t>
    </r>
    <r>
      <rPr>
        <sz val="11"/>
        <rFont val="ＭＳ Ｐゴシック"/>
        <family val="3"/>
        <charset val="134"/>
        <scheme val="minor"/>
      </rPr>
      <t>资总汇</t>
    </r>
  </si>
  <si>
    <r>
      <t xml:space="preserve"> 开胃酒;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高粱酒; 黄酒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</si>
  <si>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佳</t>
    </r>
    <r>
      <rPr>
        <sz val="11"/>
        <rFont val="ＭＳ Ｐゴシック"/>
        <family val="3"/>
        <charset val="134"/>
        <scheme val="minor"/>
      </rPr>
      <t>兴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</si>
  <si>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餐后酒(利口酒和烈酒); 黄酒</t>
    </r>
  </si>
  <si>
    <r>
      <t>梵</t>
    </r>
    <r>
      <rPr>
        <sz val="11"/>
        <rFont val="ＭＳ Ｐゴシック"/>
        <family val="3"/>
        <charset val="134"/>
        <scheme val="minor"/>
      </rPr>
      <t>净</t>
    </r>
    <r>
      <rPr>
        <sz val="11"/>
        <rFont val="ＭＳ Ｐゴシック"/>
        <family val="3"/>
        <charset val="128"/>
        <scheme val="minor"/>
      </rPr>
      <t>山扶</t>
    </r>
    <r>
      <rPr>
        <sz val="11"/>
        <rFont val="ＭＳ Ｐゴシック"/>
        <family val="3"/>
        <charset val="134"/>
        <scheme val="minor"/>
      </rPr>
      <t>摇</t>
    </r>
  </si>
  <si>
    <r>
      <rPr>
        <sz val="11"/>
        <rFont val="ＭＳ Ｐゴシック"/>
        <family val="3"/>
        <charset val="134"/>
        <scheme val="minor"/>
      </rPr>
      <t>铜</t>
    </r>
    <r>
      <rPr>
        <sz val="11"/>
        <rFont val="ＭＳ Ｐゴシック"/>
        <family val="3"/>
        <charset val="128"/>
        <scheme val="minor"/>
      </rPr>
      <t>仁市</t>
    </r>
    <r>
      <rPr>
        <sz val="11"/>
        <rFont val="ＭＳ Ｐゴシック"/>
        <family val="3"/>
        <charset val="134"/>
        <scheme val="minor"/>
      </rPr>
      <t>鸿发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</si>
  <si>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</si>
  <si>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崇州市人生酒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</si>
  <si>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高粱酒</t>
    </r>
  </si>
  <si>
    <r>
      <t>廉</t>
    </r>
    <r>
      <rPr>
        <sz val="11"/>
        <rFont val="ＭＳ Ｐゴシック"/>
        <family val="3"/>
        <charset val="134"/>
        <scheme val="minor"/>
      </rPr>
      <t>颇</t>
    </r>
    <r>
      <rPr>
        <sz val="11"/>
        <rFont val="ＭＳ Ｐゴシック"/>
        <family val="3"/>
        <charset val="128"/>
        <scheme val="minor"/>
      </rPr>
      <t>将</t>
    </r>
    <r>
      <rPr>
        <sz val="11"/>
        <rFont val="ＭＳ Ｐゴシック"/>
        <family val="3"/>
        <charset val="134"/>
        <scheme val="minor"/>
      </rPr>
      <t>军</t>
    </r>
    <r>
      <rPr>
        <sz val="11"/>
        <rFont val="ＭＳ Ｐゴシック"/>
        <family val="3"/>
        <charset val="128"/>
        <scheme val="minor"/>
      </rPr>
      <t>府</t>
    </r>
  </si>
  <si>
    <r>
      <rPr>
        <sz val="11"/>
        <rFont val="ＭＳ Ｐゴシック"/>
        <family val="3"/>
        <charset val="134"/>
        <scheme val="minor"/>
      </rPr>
      <t>陈红</t>
    </r>
    <r>
      <rPr>
        <sz val="11"/>
        <rFont val="ＭＳ Ｐゴシック"/>
        <family val="3"/>
        <charset val="128"/>
        <scheme val="minor"/>
      </rPr>
      <t>侠</t>
    </r>
  </si>
  <si>
    <r>
      <t xml:space="preserve"> 果酒; 梨酒;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</si>
  <si>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麦</t>
    </r>
    <r>
      <rPr>
        <sz val="11"/>
        <rFont val="ＭＳ Ｐゴシック"/>
        <family val="3"/>
        <charset val="134"/>
        <scheme val="minor"/>
      </rPr>
      <t>恳</t>
    </r>
    <r>
      <rPr>
        <sz val="11"/>
        <rFont val="ＭＳ Ｐゴシック"/>
        <family val="3"/>
        <charset val="128"/>
        <scheme val="minor"/>
      </rPr>
      <t>麦昂</t>
    </r>
  </si>
  <si>
    <r>
      <t xml:space="preserve"> 威士忌;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苹果酒; 青梅酒; 高粱酒; 黄酒</t>
    </r>
  </si>
  <si>
    <r>
      <t>广州晶</t>
    </r>
    <r>
      <rPr>
        <sz val="11"/>
        <rFont val="ＭＳ Ｐゴシック"/>
        <family val="3"/>
        <charset val="134"/>
        <scheme val="minor"/>
      </rPr>
      <t>娱实业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</si>
  <si>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</si>
  <si>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醉云</t>
    </r>
    <r>
      <rPr>
        <sz val="11"/>
        <rFont val="ＭＳ Ｐゴシック"/>
        <family val="3"/>
        <charset val="134"/>
        <scheme val="minor"/>
      </rPr>
      <t>坛</t>
    </r>
  </si>
  <si>
    <r>
      <rPr>
        <sz val="11"/>
        <rFont val="ＭＳ Ｐゴシック"/>
        <family val="3"/>
        <charset val="134"/>
        <scheme val="minor"/>
      </rPr>
      <t>东营</t>
    </r>
    <r>
      <rPr>
        <sz val="11"/>
        <rFont val="ＭＳ Ｐゴシック"/>
        <family val="3"/>
        <charset val="128"/>
        <scheme val="minor"/>
      </rPr>
      <t>玥卓商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</si>
  <si>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青稞酒; 黄酒</t>
    </r>
  </si>
  <si>
    <r>
      <rPr>
        <sz val="11"/>
        <rFont val="ＭＳ Ｐゴシック"/>
        <family val="3"/>
        <charset val="134"/>
        <scheme val="minor"/>
      </rPr>
      <t>谊</t>
    </r>
    <r>
      <rPr>
        <sz val="11"/>
        <rFont val="ＭＳ Ｐゴシック"/>
        <family val="3"/>
        <charset val="128"/>
        <scheme val="minor"/>
      </rPr>
      <t>庄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</si>
  <si>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黄酒</t>
    </r>
  </si>
  <si>
    <r>
      <t>守</t>
    </r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者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</si>
  <si>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翱</t>
    </r>
    <r>
      <rPr>
        <sz val="11"/>
        <rFont val="ＭＳ Ｐゴシック"/>
        <family val="3"/>
        <charset val="128"/>
        <scheme val="minor"/>
      </rPr>
      <t>承酒</t>
    </r>
    <r>
      <rPr>
        <sz val="11"/>
        <rFont val="ＭＳ Ｐゴシック"/>
        <family val="3"/>
        <charset val="134"/>
        <scheme val="minor"/>
      </rPr>
      <t>业销</t>
    </r>
    <r>
      <rPr>
        <sz val="11"/>
        <rFont val="ＭＳ Ｐゴシック"/>
        <family val="3"/>
        <charset val="128"/>
        <scheme val="minor"/>
      </rPr>
      <t>售有限公司</t>
    </r>
  </si>
  <si>
    <r>
      <t xml:space="preserve"> 梨酒; 甜果酒;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苹果酒; 草莓酒; 青梅酒; 高粱酒</t>
    </r>
  </si>
  <si>
    <r>
      <t>京涪真</t>
    </r>
    <r>
      <rPr>
        <sz val="11"/>
        <rFont val="ＭＳ Ｐゴシック"/>
        <family val="3"/>
        <charset val="134"/>
        <scheme val="minor"/>
      </rPr>
      <t>语</t>
    </r>
  </si>
  <si>
    <r>
      <rPr>
        <sz val="11"/>
        <rFont val="ＭＳ Ｐゴシック"/>
        <family val="3"/>
        <charset val="134"/>
        <scheme val="minor"/>
      </rPr>
      <t>赵</t>
    </r>
    <r>
      <rPr>
        <sz val="11"/>
        <rFont val="ＭＳ Ｐゴシック"/>
        <family val="3"/>
        <charset val="128"/>
        <scheme val="minor"/>
      </rPr>
      <t>占勇</t>
    </r>
  </si>
  <si>
    <r>
      <t xml:space="preserve">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高粱酒</t>
    </r>
  </si>
  <si>
    <r>
      <t>嘉禾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稻缸酒厂(普通合伙)</t>
    </r>
  </si>
  <si>
    <r>
      <t xml:space="preserve">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米酒; 黄酒</t>
    </r>
  </si>
  <si>
    <r>
      <t>八</t>
    </r>
    <r>
      <rPr>
        <sz val="11"/>
        <rFont val="ＭＳ Ｐゴシック"/>
        <family val="3"/>
        <charset val="134"/>
        <scheme val="minor"/>
      </rPr>
      <t>马</t>
    </r>
  </si>
  <si>
    <r>
      <t>福建八</t>
    </r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茶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</si>
  <si>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开胃酒; 果酒(含酒精);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</si>
  <si>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再堂</t>
    </r>
  </si>
  <si>
    <r>
      <t>北京格子供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</si>
  <si>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威士忌; 朗姆酒(酒精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</t>
    </r>
  </si>
  <si>
    <r>
      <t>北京市中山公园管理</t>
    </r>
    <r>
      <rPr>
        <sz val="11"/>
        <rFont val="ＭＳ Ｐゴシック"/>
        <family val="3"/>
        <charset val="134"/>
        <scheme val="minor"/>
      </rPr>
      <t>处</t>
    </r>
  </si>
  <si>
    <r>
      <t xml:space="preserve"> 伏特加酒;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米酒;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</si>
  <si>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酒</t>
    </r>
    <r>
      <rPr>
        <sz val="11"/>
        <rFont val="ＭＳ Ｐゴシック"/>
        <family val="3"/>
        <charset val="134"/>
        <scheme val="minor"/>
      </rPr>
      <t>赛</t>
    </r>
    <r>
      <rPr>
        <sz val="11"/>
        <rFont val="ＭＳ Ｐゴシック"/>
        <family val="3"/>
        <charset val="128"/>
        <scheme val="minor"/>
      </rPr>
      <t>网</t>
    </r>
  </si>
  <si>
    <r>
      <t>徐州君</t>
    </r>
    <r>
      <rPr>
        <sz val="11"/>
        <rFont val="ＭＳ Ｐゴシック"/>
        <family val="3"/>
        <charset val="134"/>
        <scheme val="minor"/>
      </rPr>
      <t>钻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</si>
  <si>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威士忌; 开胃酒; 梨酒;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青稞酒; 黄酒</t>
    </r>
  </si>
  <si>
    <r>
      <t>北京世</t>
    </r>
    <r>
      <rPr>
        <sz val="11"/>
        <rFont val="ＭＳ Ｐゴシック"/>
        <family val="3"/>
        <charset val="134"/>
        <scheme val="minor"/>
      </rPr>
      <t>纪</t>
    </r>
    <r>
      <rPr>
        <sz val="11"/>
        <rFont val="ＭＳ Ｐゴシック"/>
        <family val="3"/>
        <charset val="128"/>
        <scheme val="minor"/>
      </rPr>
      <t>金尊科技有限公司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</si>
  <si>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</si>
  <si>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深圳市化商</t>
    </r>
    <r>
      <rPr>
        <sz val="11"/>
        <rFont val="ＭＳ Ｐゴシック"/>
        <family val="3"/>
        <charset val="134"/>
        <scheme val="minor"/>
      </rPr>
      <t>汇实业发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</si>
  <si>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青稞酒; 黄酒</t>
    </r>
  </si>
  <si>
    <r>
      <t>未来之</t>
    </r>
    <r>
      <rPr>
        <sz val="11"/>
        <rFont val="ＭＳ Ｐゴシック"/>
        <family val="3"/>
        <charset val="134"/>
        <scheme val="minor"/>
      </rPr>
      <t>妞</t>
    </r>
  </si>
  <si>
    <r>
      <t>上海注力网</t>
    </r>
    <r>
      <rPr>
        <sz val="11"/>
        <rFont val="ＭＳ Ｐゴシック"/>
        <family val="3"/>
        <charset val="134"/>
        <scheme val="minor"/>
      </rPr>
      <t>络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</si>
  <si>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</si>
  <si>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蓝</t>
    </r>
    <r>
      <rPr>
        <sz val="11"/>
        <rFont val="ＭＳ Ｐゴシック"/>
        <family val="3"/>
        <charset val="128"/>
        <scheme val="minor"/>
      </rPr>
      <t>双囍 ·</t>
    </r>
    <r>
      <rPr>
        <sz val="11"/>
        <rFont val="ＭＳ Ｐゴシック"/>
        <family val="3"/>
        <charset val="134"/>
        <scheme val="minor"/>
      </rPr>
      <t>蓝</t>
    </r>
    <r>
      <rPr>
        <sz val="11"/>
        <rFont val="ＭＳ Ｐゴシック"/>
        <family val="3"/>
        <charset val="128"/>
        <scheme val="minor"/>
      </rPr>
      <t xml:space="preserve">双憙 紫双喜 </t>
    </r>
    <r>
      <rPr>
        <sz val="11"/>
        <rFont val="ＭＳ Ｐゴシック"/>
        <family val="3"/>
        <charset val="134"/>
        <scheme val="minor"/>
      </rPr>
      <t>绿</t>
    </r>
    <r>
      <rPr>
        <sz val="11"/>
        <rFont val="ＭＳ Ｐゴシック"/>
        <family val="3"/>
        <charset val="128"/>
        <scheme val="minor"/>
      </rPr>
      <t>双憙·</t>
    </r>
  </si>
  <si>
    <r>
      <t>中国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双喜集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</si>
  <si>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清酒; 烈酒;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</si>
  <si>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伏特加酒; 威士忌;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</si>
  <si>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美味</t>
    </r>
    <r>
      <rPr>
        <sz val="11"/>
        <rFont val="ＭＳ Ｐゴシック"/>
        <family val="3"/>
        <charset val="134"/>
        <scheme val="minor"/>
      </rPr>
      <t>鲜调</t>
    </r>
    <r>
      <rPr>
        <sz val="11"/>
        <rFont val="ＭＳ Ｐゴシック"/>
        <family val="3"/>
        <charset val="128"/>
        <scheme val="minor"/>
      </rPr>
      <t>味食品有限公司</t>
    </r>
  </si>
  <si>
    <r>
      <t xml:space="preserve"> 果酒(含酒精); 清酒(日本米酒); 白酒; 米酒; 蒸煮提取物(利口酒和烈酒);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食用酒精; 黄酒</t>
    </r>
  </si>
  <si>
    <r>
      <rPr>
        <sz val="11"/>
        <rFont val="ＭＳ Ｐゴシック"/>
        <family val="3"/>
        <charset val="134"/>
        <scheme val="minor"/>
      </rPr>
      <t>纯</t>
    </r>
    <r>
      <rPr>
        <sz val="11"/>
        <rFont val="ＭＳ Ｐゴシック"/>
        <family val="3"/>
        <charset val="128"/>
        <scheme val="minor"/>
      </rPr>
      <t>湾</t>
    </r>
  </si>
  <si>
    <r>
      <t>德翰文化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媒(深圳)有限公司</t>
    </r>
  </si>
  <si>
    <r>
      <t xml:space="preserve"> 伏特加酒; 威士忌; 朗姆酒;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餐后酒(利口酒和烈酒)</t>
    </r>
  </si>
  <si>
    <r>
      <rPr>
        <sz val="11"/>
        <rFont val="ＭＳ Ｐゴシック"/>
        <family val="3"/>
        <charset val="134"/>
        <scheme val="minor"/>
      </rPr>
      <t>查银</t>
    </r>
    <r>
      <rPr>
        <sz val="11"/>
        <rFont val="ＭＳ Ｐゴシック"/>
        <family val="3"/>
        <charset val="128"/>
        <scheme val="minor"/>
      </rPr>
      <t>桃</t>
    </r>
  </si>
  <si>
    <r>
      <t xml:space="preserve"> 果酒(含酒精);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露酒; 高粱酒; 黄酒</t>
    </r>
  </si>
  <si>
    <r>
      <t>典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大</t>
    </r>
    <r>
      <rPr>
        <sz val="11"/>
        <rFont val="ＭＳ Ｐゴシック"/>
        <family val="3"/>
        <charset val="134"/>
        <scheme val="minor"/>
      </rPr>
      <t>师</t>
    </r>
  </si>
  <si>
    <r>
      <t>楚云</t>
    </r>
    <r>
      <rPr>
        <sz val="11"/>
        <rFont val="ＭＳ Ｐゴシック"/>
        <family val="3"/>
        <charset val="134"/>
        <scheme val="minor"/>
      </rPr>
      <t>强</t>
    </r>
  </si>
  <si>
    <r>
      <t xml:space="preserve">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葡萄酒; 露酒; 高粱酒; 黄酒</t>
    </r>
  </si>
  <si>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平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老厂</t>
    </r>
    <r>
      <rPr>
        <sz val="11"/>
        <rFont val="ＭＳ Ｐゴシック"/>
        <family val="3"/>
        <charset val="134"/>
        <scheme val="minor"/>
      </rPr>
      <t>乡</t>
    </r>
    <r>
      <rPr>
        <sz val="11"/>
        <rFont val="ＭＳ Ｐゴシック"/>
        <family val="3"/>
        <charset val="128"/>
        <scheme val="minor"/>
      </rPr>
      <t>留香酒坊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</si>
  <si>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白酒; 米酒;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</si>
  <si>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rPr>
        <sz val="11"/>
        <rFont val="ＭＳ Ｐゴシック"/>
        <family val="3"/>
        <charset val="134"/>
        <scheme val="minor"/>
      </rPr>
      <t>观鸿</t>
    </r>
  </si>
  <si>
    <r>
      <t>山西</t>
    </r>
    <r>
      <rPr>
        <sz val="11"/>
        <rFont val="ＭＳ Ｐゴシック"/>
        <family val="3"/>
        <charset val="134"/>
        <scheme val="minor"/>
      </rPr>
      <t>观鸿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</si>
  <si>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蒸煮提取物(利口酒和烈酒); 食用酒精; 高粱酒; 黄酒</t>
    </r>
  </si>
  <si>
    <r>
      <t>北京意无意餐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</si>
  <si>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果酒;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</si>
  <si>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朋杰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</si>
  <si>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梨酒;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白干酒(中国白酒); 白酒; 米酒; 苹果酒;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</si>
  <si>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川府</t>
    </r>
    <r>
      <rPr>
        <sz val="11"/>
        <rFont val="ＭＳ Ｐゴシック"/>
        <family val="3"/>
        <charset val="134"/>
        <scheme val="minor"/>
      </rPr>
      <t>蔺</t>
    </r>
    <r>
      <rPr>
        <sz val="11"/>
        <rFont val="ＭＳ Ｐゴシック"/>
        <family val="3"/>
        <charset val="128"/>
        <scheme val="minor"/>
      </rPr>
      <t>萃</t>
    </r>
  </si>
  <si>
    <r>
      <t>四川</t>
    </r>
    <r>
      <rPr>
        <sz val="11"/>
        <rFont val="ＭＳ Ｐゴシック"/>
        <family val="3"/>
        <charset val="134"/>
        <scheme val="minor"/>
      </rPr>
      <t>蔺</t>
    </r>
    <r>
      <rPr>
        <sz val="11"/>
        <rFont val="ＭＳ Ｐゴシック"/>
        <family val="3"/>
        <charset val="128"/>
        <scheme val="minor"/>
      </rPr>
      <t>州川府酒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</si>
  <si>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高粱酒</t>
    </r>
  </si>
  <si>
    <r>
      <t>西子若</t>
    </r>
    <r>
      <rPr>
        <sz val="11"/>
        <rFont val="ＭＳ Ｐゴシック"/>
        <family val="3"/>
        <charset val="134"/>
        <scheme val="minor"/>
      </rPr>
      <t>隐</t>
    </r>
  </si>
  <si>
    <r>
      <t>杭州若</t>
    </r>
    <r>
      <rPr>
        <sz val="11"/>
        <rFont val="ＭＳ Ｐゴシック"/>
        <family val="3"/>
        <charset val="134"/>
        <scheme val="minor"/>
      </rPr>
      <t>隐</t>
    </r>
    <r>
      <rPr>
        <sz val="11"/>
        <rFont val="ＭＳ Ｐゴシック"/>
        <family val="3"/>
        <charset val="128"/>
        <scheme val="minor"/>
      </rPr>
      <t>度假酒店有限公司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</si>
  <si>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果酒; 水果汽酒;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</si>
  <si>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t>富水云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山</t>
    </r>
  </si>
  <si>
    <r>
      <rPr>
        <sz val="11"/>
        <rFont val="ＭＳ Ｐゴシック"/>
        <family val="3"/>
        <charset val="134"/>
        <scheme val="minor"/>
      </rPr>
      <t>谭</t>
    </r>
    <r>
      <rPr>
        <sz val="11"/>
        <rFont val="ＭＳ Ｐゴシック"/>
        <family val="3"/>
        <charset val="128"/>
        <scheme val="minor"/>
      </rPr>
      <t>康</t>
    </r>
    <r>
      <rPr>
        <sz val="11"/>
        <rFont val="ＭＳ Ｐゴシック"/>
        <family val="3"/>
        <charset val="134"/>
        <scheme val="minor"/>
      </rPr>
      <t>银</t>
    </r>
  </si>
  <si>
    <r>
      <t xml:space="preserve"> 伏特加酒;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蜂蜜酒;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</si>
  <si>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肥城君邑建筑</t>
    </r>
    <r>
      <rPr>
        <sz val="11"/>
        <rFont val="ＭＳ Ｐゴシック"/>
        <family val="3"/>
        <charset val="134"/>
        <scheme val="minor"/>
      </rPr>
      <t>劳务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</si>
  <si>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果酒(含酒精); 梅酒;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露酒;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</si>
  <si>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瀑布</t>
    </r>
  </si>
  <si>
    <r>
      <t>庄</t>
    </r>
    <r>
      <rPr>
        <sz val="11"/>
        <rFont val="ＭＳ Ｐゴシック"/>
        <family val="3"/>
        <charset val="134"/>
        <scheme val="minor"/>
      </rPr>
      <t>户</t>
    </r>
    <r>
      <rPr>
        <sz val="11"/>
        <rFont val="ＭＳ Ｐゴシック"/>
        <family val="3"/>
        <charset val="128"/>
        <scheme val="minor"/>
      </rPr>
      <t>仁</t>
    </r>
  </si>
  <si>
    <r>
      <rPr>
        <sz val="11"/>
        <rFont val="ＭＳ Ｐゴシック"/>
        <family val="3"/>
        <charset val="134"/>
        <scheme val="minor"/>
      </rPr>
      <t>临</t>
    </r>
    <r>
      <rPr>
        <sz val="11"/>
        <rFont val="ＭＳ Ｐゴシック"/>
        <family val="3"/>
        <charset val="128"/>
        <scheme val="minor"/>
      </rPr>
      <t>沂福礼到家供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</si>
  <si>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</si>
  <si>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主</t>
    </r>
    <r>
      <rPr>
        <sz val="11"/>
        <rFont val="ＭＳ Ｐゴシック"/>
        <family val="3"/>
        <charset val="134"/>
        <scheme val="minor"/>
      </rPr>
      <t>贵</t>
    </r>
  </si>
  <si>
    <r>
      <t>无</t>
    </r>
    <r>
      <rPr>
        <sz val="11"/>
        <rFont val="ＭＳ Ｐゴシック"/>
        <family val="3"/>
        <charset val="134"/>
        <scheme val="minor"/>
      </rPr>
      <t>锡</t>
    </r>
    <r>
      <rPr>
        <sz val="11"/>
        <rFont val="ＭＳ Ｐゴシック"/>
        <family val="3"/>
        <charset val="128"/>
        <scheme val="minor"/>
      </rPr>
      <t>市富瑞数字科技有限公司</t>
    </r>
  </si>
  <si>
    <r>
      <t xml:space="preserve"> 威士忌; 开胃酒; 朗姆酒;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烈酒; 白酒; 露酒; 青稞酒; 食用酒精; 黄酒</t>
    </r>
  </si>
  <si>
    <r>
      <t>北京两只蜜蜂餐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</si>
  <si>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威士忌; 开胃酒;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</si>
  <si>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白</t>
    </r>
    <r>
      <rPr>
        <sz val="11"/>
        <rFont val="ＭＳ Ｐゴシック"/>
        <family val="3"/>
        <charset val="134"/>
        <scheme val="minor"/>
      </rPr>
      <t>荆</t>
    </r>
    <r>
      <rPr>
        <sz val="11"/>
        <rFont val="ＭＳ Ｐゴシック"/>
        <family val="3"/>
        <charset val="128"/>
        <scheme val="minor"/>
      </rPr>
      <t>(</t>
    </r>
    <r>
      <rPr>
        <sz val="11"/>
        <rFont val="ＭＳ Ｐゴシック"/>
        <family val="3"/>
        <charset val="134"/>
        <scheme val="minor"/>
      </rPr>
      <t>滨</t>
    </r>
    <r>
      <rPr>
        <sz val="11"/>
        <rFont val="ＭＳ Ｐゴシック"/>
        <family val="3"/>
        <charset val="128"/>
        <scheme val="minor"/>
      </rPr>
      <t>州)文化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意有限公司</t>
    </r>
  </si>
  <si>
    <r>
      <t>甄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多</t>
    </r>
  </si>
  <si>
    <r>
      <rPr>
        <sz val="11"/>
        <rFont val="ＭＳ Ｐゴシック"/>
        <family val="3"/>
        <charset val="134"/>
        <scheme val="minor"/>
      </rPr>
      <t>创导</t>
    </r>
    <r>
      <rPr>
        <sz val="11"/>
        <rFont val="ＭＳ Ｐゴシック"/>
        <family val="3"/>
        <charset val="128"/>
        <scheme val="minor"/>
      </rPr>
      <t>万喜</t>
    </r>
  </si>
  <si>
    <r>
      <rPr>
        <sz val="11"/>
        <rFont val="ＭＳ Ｐゴシック"/>
        <family val="3"/>
        <charset val="134"/>
        <scheme val="minor"/>
      </rPr>
      <t>创导</t>
    </r>
    <r>
      <rPr>
        <sz val="11"/>
        <rFont val="ＭＳ Ｐゴシック"/>
        <family val="3"/>
        <charset val="128"/>
        <scheme val="minor"/>
      </rPr>
      <t>(江</t>
    </r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)</t>
    </r>
    <r>
      <rPr>
        <sz val="11"/>
        <rFont val="ＭＳ Ｐゴシック"/>
        <family val="3"/>
        <charset val="134"/>
        <scheme val="minor"/>
      </rPr>
      <t>泵阀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</si>
  <si>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高粱酒</t>
    </r>
  </si>
  <si>
    <r>
      <t>北京酒海沐歌文化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</si>
  <si>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开胃酒;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</si>
  <si>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吕</t>
    </r>
    <r>
      <rPr>
        <sz val="11"/>
        <rFont val="ＭＳ Ｐゴシック"/>
        <family val="3"/>
        <charset val="128"/>
        <scheme val="minor"/>
      </rPr>
      <t>松</t>
    </r>
  </si>
  <si>
    <r>
      <t>曲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王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</si>
  <si>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</si>
  <si>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乌</t>
    </r>
    <r>
      <rPr>
        <sz val="11"/>
        <rFont val="ＭＳ Ｐゴシック"/>
        <family val="3"/>
        <charset val="128"/>
        <scheme val="minor"/>
      </rPr>
      <t>昂王</t>
    </r>
  </si>
  <si>
    <r>
      <t xml:space="preserve"> 利口酒;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酒(烈酒); 白酒; 米酒; 葡萄酒;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</si>
  <si>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市古</t>
    </r>
    <r>
      <rPr>
        <sz val="11"/>
        <rFont val="ＭＳ Ｐゴシック"/>
        <family val="3"/>
        <charset val="134"/>
        <scheme val="minor"/>
      </rPr>
      <t>纯</t>
    </r>
    <r>
      <rPr>
        <sz val="11"/>
        <rFont val="ＭＳ Ｐゴシック"/>
        <family val="3"/>
        <charset val="128"/>
        <scheme val="minor"/>
      </rPr>
      <t>百酒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</si>
  <si>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梨酒;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苦味酒; 苹果酒; 茴香酒(利口酒); 葡萄酒;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</si>
  <si>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杜松子酒; 汽酒; 清酒; 清酒(日本米酒);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</si>
  <si>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t>吉林省梅始原鹿鹿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</si>
  <si>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</si>
  <si>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鹏</t>
    </r>
    <r>
      <rPr>
        <sz val="11"/>
        <rFont val="ＭＳ Ｐゴシック"/>
        <family val="3"/>
        <charset val="128"/>
        <scheme val="minor"/>
      </rPr>
      <t>祥洞</t>
    </r>
    <r>
      <rPr>
        <sz val="11"/>
        <rFont val="ＭＳ Ｐゴシック"/>
        <family val="3"/>
        <charset val="134"/>
        <scheme val="minor"/>
      </rPr>
      <t>储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</si>
  <si>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黄酒</t>
    </r>
  </si>
  <si>
    <r>
      <t>四川</t>
    </r>
    <r>
      <rPr>
        <sz val="11"/>
        <rFont val="ＭＳ Ｐゴシック"/>
        <family val="3"/>
        <charset val="134"/>
        <scheme val="minor"/>
      </rPr>
      <t>闲</t>
    </r>
    <r>
      <rPr>
        <sz val="11"/>
        <rFont val="ＭＳ Ｐゴシック"/>
        <family val="3"/>
        <charset val="128"/>
        <scheme val="minor"/>
      </rPr>
      <t>酒品牌管理有限公司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</si>
  <si>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</si>
  <si>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心</t>
    </r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王</t>
    </r>
  </si>
  <si>
    <r>
      <rPr>
        <sz val="11"/>
        <rFont val="ＭＳ Ｐゴシック"/>
        <family val="3"/>
        <charset val="134"/>
        <scheme val="minor"/>
      </rPr>
      <t>迟辉</t>
    </r>
  </si>
  <si>
    <r>
      <t>于</t>
    </r>
    <r>
      <rPr>
        <sz val="11"/>
        <rFont val="ＭＳ Ｐゴシック"/>
        <family val="3"/>
        <charset val="134"/>
        <scheme val="minor"/>
      </rPr>
      <t>亚辉</t>
    </r>
  </si>
  <si>
    <r>
      <t xml:space="preserve"> 利口酒;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</si>
  <si>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宿迁市多分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</si>
  <si>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桃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青稞酒; 高粱酒; 黄酒</t>
    </r>
  </si>
  <si>
    <r>
      <t>娄底市煜坤生</t>
    </r>
    <r>
      <rPr>
        <sz val="11"/>
        <rFont val="ＭＳ Ｐゴシック"/>
        <family val="3"/>
        <charset val="134"/>
        <scheme val="minor"/>
      </rPr>
      <t>态农业发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</si>
  <si>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伏特加酒; 开胃酒; 朗姆酒; 果酒(含酒精);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</si>
  <si>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皇</t>
    </r>
    <r>
      <rPr>
        <sz val="11"/>
        <rFont val="ＭＳ Ｐゴシック"/>
        <family val="3"/>
        <charset val="134"/>
        <scheme val="minor"/>
      </rPr>
      <t>经</t>
    </r>
    <r>
      <rPr>
        <sz val="11"/>
        <rFont val="ＭＳ Ｐゴシック"/>
        <family val="3"/>
        <charset val="128"/>
        <scheme val="minor"/>
      </rPr>
      <t>正元酒</t>
    </r>
  </si>
  <si>
    <r>
      <t>极色</t>
    </r>
    <r>
      <rPr>
        <sz val="11"/>
        <rFont val="ＭＳ Ｐゴシック"/>
        <family val="3"/>
        <charset val="134"/>
        <scheme val="minor"/>
      </rPr>
      <t>妆婳</t>
    </r>
  </si>
  <si>
    <r>
      <t>温州极色美</t>
    </r>
    <r>
      <rPr>
        <sz val="11"/>
        <rFont val="ＭＳ Ｐゴシック"/>
        <family val="3"/>
        <charset val="134"/>
        <scheme val="minor"/>
      </rPr>
      <t>妆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</si>
  <si>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含酒精的气泡水;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</si>
  <si>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>珍品</t>
    </r>
    <r>
      <rPr>
        <sz val="11"/>
        <rFont val="ＭＳ Ｐゴシック"/>
        <family val="3"/>
        <charset val="134"/>
        <scheme val="minor"/>
      </rPr>
      <t>颂</t>
    </r>
  </si>
  <si>
    <r>
      <t>天方健集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</si>
  <si>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</si>
  <si>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荆</t>
    </r>
    <r>
      <rPr>
        <sz val="11"/>
        <rFont val="ＭＳ Ｐゴシック"/>
        <family val="3"/>
        <charset val="128"/>
        <scheme val="minor"/>
      </rPr>
      <t>楚八戒</t>
    </r>
  </si>
  <si>
    <r>
      <t>孟</t>
    </r>
    <r>
      <rPr>
        <sz val="11"/>
        <rFont val="ＭＳ Ｐゴシック"/>
        <family val="3"/>
        <charset val="134"/>
        <scheme val="minor"/>
      </rPr>
      <t>聪</t>
    </r>
  </si>
  <si>
    <r>
      <t xml:space="preserve"> 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力酒; 伏特加酒; 威士忌; 朗姆酒; 梨酒;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葡萄酒; 青稞酒</t>
    </r>
  </si>
  <si>
    <r>
      <t>梁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国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</si>
  <si>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日本梅子酒;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甜酒; 白酒; 米酒;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</si>
  <si>
    <r>
      <t>后</t>
    </r>
    <r>
      <rPr>
        <sz val="11"/>
        <rFont val="ＭＳ Ｐゴシック"/>
        <family val="3"/>
        <charset val="134"/>
        <scheme val="minor"/>
      </rPr>
      <t>辉</t>
    </r>
    <r>
      <rPr>
        <sz val="11"/>
        <rFont val="ＭＳ Ｐゴシック"/>
        <family val="3"/>
        <charset val="128"/>
        <scheme val="minor"/>
      </rPr>
      <t>有柒</t>
    </r>
  </si>
  <si>
    <r>
      <t>李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广</t>
    </r>
  </si>
  <si>
    <r>
      <t xml:space="preserve"> 伏特加酒;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</si>
  <si>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四川沛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仁</t>
    </r>
    <r>
      <rPr>
        <sz val="11"/>
        <rFont val="ＭＳ Ｐゴシック"/>
        <family val="3"/>
        <charset val="134"/>
        <scheme val="minor"/>
      </rPr>
      <t>艺</t>
    </r>
    <r>
      <rPr>
        <sz val="11"/>
        <rFont val="ＭＳ Ｐゴシック"/>
        <family val="3"/>
        <charset val="128"/>
        <scheme val="minor"/>
      </rPr>
      <t>食品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</si>
  <si>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</si>
  <si>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 xml:space="preserve"> 利口酒; 威士忌; 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</si>
  <si>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深圳市奥斯卡国</t>
    </r>
    <r>
      <rPr>
        <sz val="11"/>
        <rFont val="ＭＳ Ｐゴシック"/>
        <family val="3"/>
        <charset val="134"/>
        <scheme val="minor"/>
      </rPr>
      <t>际</t>
    </r>
    <r>
      <rPr>
        <sz val="11"/>
        <rFont val="ＭＳ Ｐゴシック"/>
        <family val="3"/>
        <charset val="128"/>
        <scheme val="minor"/>
      </rPr>
      <t>酒店管理有限公司</t>
    </r>
  </si>
  <si>
    <r>
      <t xml:space="preserve"> 伏特加酒; 威士忌; 朗姆酒; 朝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 xml:space="preserve">族米酒;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葡萄酒; 阿蒙蒂拉多白葡萄酒;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</si>
  <si>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李氏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呈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</si>
  <si>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州中</t>
    </r>
    <r>
      <rPr>
        <sz val="11"/>
        <rFont val="ＭＳ Ｐゴシック"/>
        <family val="3"/>
        <charset val="134"/>
        <scheme val="minor"/>
      </rPr>
      <t>岙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</si>
  <si>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高粱酒</t>
    </r>
  </si>
  <si>
    <r>
      <t>云南那些年酒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</si>
  <si>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果酒(含酒精); 梅酒;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青梅酒; 青稞酒; 高粱酒</t>
    </r>
  </si>
  <si>
    <r>
      <t>深圳市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品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</si>
  <si>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品; 果酒(含酒精); 甜果酒; 白酒;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</t>
    </r>
  </si>
  <si>
    <r>
      <t>扎</t>
    </r>
    <r>
      <rPr>
        <sz val="11"/>
        <rFont val="ＭＳ Ｐゴシック"/>
        <family val="3"/>
        <charset val="134"/>
        <scheme val="minor"/>
      </rPr>
      <t>赉</t>
    </r>
    <r>
      <rPr>
        <sz val="11"/>
        <rFont val="ＭＳ Ｐゴシック"/>
        <family val="3"/>
        <charset val="128"/>
        <scheme val="minor"/>
      </rPr>
      <t>特旗瑞茂酒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</si>
  <si>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</t>
    </r>
  </si>
  <si>
    <r>
      <rPr>
        <sz val="11"/>
        <rFont val="ＭＳ Ｐゴシック"/>
        <family val="3"/>
        <charset val="134"/>
        <scheme val="minor"/>
      </rPr>
      <t>龙衔</t>
    </r>
    <r>
      <rPr>
        <sz val="11"/>
        <rFont val="ＭＳ Ｐゴシック"/>
        <family val="3"/>
        <charset val="128"/>
        <scheme val="minor"/>
      </rPr>
      <t>宝盖</t>
    </r>
  </si>
  <si>
    <r>
      <t>湖南</t>
    </r>
    <r>
      <rPr>
        <sz val="11"/>
        <rFont val="ＭＳ Ｐゴシック"/>
        <family val="3"/>
        <charset val="134"/>
        <scheme val="minor"/>
      </rPr>
      <t>财</t>
    </r>
    <r>
      <rPr>
        <sz val="11"/>
        <rFont val="ＭＳ Ｐゴシック"/>
        <family val="3"/>
        <charset val="128"/>
        <scheme val="minor"/>
      </rPr>
      <t>智有道网</t>
    </r>
    <r>
      <rPr>
        <sz val="11"/>
        <rFont val="ＭＳ Ｐゴシック"/>
        <family val="3"/>
        <charset val="134"/>
        <scheme val="minor"/>
      </rPr>
      <t>络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</si>
  <si>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伏特加酒; 威士忌;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食用酒精; 黄酒</t>
    </r>
  </si>
  <si>
    <r>
      <t>麦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洲臻</t>
    </r>
    <r>
      <rPr>
        <sz val="11"/>
        <rFont val="ＭＳ Ｐゴシック"/>
        <family val="3"/>
        <charset val="134"/>
        <scheme val="minor"/>
      </rPr>
      <t>选</t>
    </r>
  </si>
  <si>
    <r>
      <t>廖盛</t>
    </r>
    <r>
      <rPr>
        <sz val="11"/>
        <rFont val="ＭＳ Ｐゴシック"/>
        <family val="3"/>
        <charset val="134"/>
        <scheme val="minor"/>
      </rPr>
      <t>晓</t>
    </r>
  </si>
  <si>
    <r>
      <t xml:space="preserve"> 威士忌; 开胃酒;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高粱酒</t>
    </r>
  </si>
  <si>
    <r>
      <rPr>
        <sz val="11"/>
        <rFont val="ＭＳ Ｐゴシック"/>
        <family val="3"/>
        <charset val="134"/>
        <scheme val="minor"/>
      </rPr>
      <t>浔</t>
    </r>
    <r>
      <rPr>
        <sz val="11"/>
        <rFont val="ＭＳ Ｐゴシック"/>
        <family val="3"/>
        <charset val="128"/>
        <scheme val="minor"/>
      </rPr>
      <t>村</t>
    </r>
    <r>
      <rPr>
        <sz val="11"/>
        <rFont val="ＭＳ Ｐゴシック"/>
        <family val="3"/>
        <charset val="134"/>
        <scheme val="minor"/>
      </rPr>
      <t>头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</si>
  <si>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府将</t>
    </r>
    <r>
      <rPr>
        <sz val="11"/>
        <rFont val="ＭＳ Ｐゴシック"/>
        <family val="3"/>
        <charset val="134"/>
        <scheme val="minor"/>
      </rPr>
      <t>帅</t>
    </r>
  </si>
  <si>
    <r>
      <t>山西一品青花酒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</si>
  <si>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</si>
  <si>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山西玉如泉酒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</si>
  <si>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高粱酒; 黄酒</t>
    </r>
  </si>
  <si>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君台酒都梦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</si>
  <si>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君台酒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</si>
  <si>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</si>
  <si>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rPr>
        <sz val="11"/>
        <rFont val="ＭＳ Ｐゴシック"/>
        <family val="3"/>
        <charset val="134"/>
        <scheme val="minor"/>
      </rPr>
      <t>侬</t>
    </r>
    <r>
      <rPr>
        <sz val="11"/>
        <rFont val="ＭＳ Ｐゴシック"/>
        <family val="3"/>
        <charset val="128"/>
        <scheme val="minor"/>
      </rPr>
      <t>富祥</t>
    </r>
  </si>
  <si>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世捷(北京)商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</si>
  <si>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</si>
  <si>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岳阳醒</t>
    </r>
    <r>
      <rPr>
        <sz val="11"/>
        <rFont val="ＭＳ Ｐゴシック"/>
        <family val="3"/>
        <charset val="134"/>
        <scheme val="minor"/>
      </rPr>
      <t>狮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</si>
  <si>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威士忌;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青梅酒;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</si>
  <si>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高凉</t>
    </r>
    <r>
      <rPr>
        <sz val="11"/>
        <rFont val="ＭＳ Ｐゴシック"/>
        <family val="3"/>
        <charset val="134"/>
        <scheme val="minor"/>
      </rPr>
      <t>邹鲁</t>
    </r>
  </si>
  <si>
    <r>
      <t>高州市</t>
    </r>
    <r>
      <rPr>
        <sz val="11"/>
        <rFont val="ＭＳ Ｐゴシック"/>
        <family val="3"/>
        <charset val="134"/>
        <scheme val="minor"/>
      </rPr>
      <t>邹鲁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</si>
  <si>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的白酒;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黄酒</t>
    </r>
  </si>
  <si>
    <r>
      <rPr>
        <sz val="11"/>
        <rFont val="ＭＳ Ｐゴシック"/>
        <family val="3"/>
        <charset val="134"/>
        <scheme val="minor"/>
      </rPr>
      <t>进连</t>
    </r>
    <r>
      <rPr>
        <sz val="11"/>
        <rFont val="ＭＳ Ｐゴシック"/>
        <family val="3"/>
        <charset val="128"/>
        <scheme val="minor"/>
      </rPr>
      <t>有限公司</t>
    </r>
  </si>
  <si>
    <r>
      <t>童金</t>
    </r>
    <r>
      <rPr>
        <sz val="11"/>
        <rFont val="ＭＳ Ｐゴシック"/>
        <family val="3"/>
        <charset val="134"/>
        <scheme val="minor"/>
      </rPr>
      <t>华</t>
    </r>
  </si>
  <si>
    <r>
      <rPr>
        <sz val="11"/>
        <rFont val="ＭＳ Ｐゴシック"/>
        <family val="3"/>
        <charset val="134"/>
        <scheme val="minor"/>
      </rPr>
      <t>寻</t>
    </r>
    <r>
      <rPr>
        <sz val="11"/>
        <rFont val="ＭＳ Ｐゴシック"/>
        <family val="3"/>
        <charset val="128"/>
        <scheme val="minor"/>
      </rPr>
      <t>豆</t>
    </r>
    <r>
      <rPr>
        <sz val="11"/>
        <rFont val="ＭＳ Ｐゴシック"/>
        <family val="3"/>
        <charset val="134"/>
        <scheme val="minor"/>
      </rPr>
      <t>师</t>
    </r>
  </si>
  <si>
    <r>
      <t>名</t>
    </r>
    <r>
      <rPr>
        <sz val="11"/>
        <rFont val="ＭＳ Ｐゴシック"/>
        <family val="3"/>
        <charset val="134"/>
        <scheme val="minor"/>
      </rPr>
      <t>飞</t>
    </r>
    <r>
      <rPr>
        <sz val="11"/>
        <rFont val="ＭＳ Ｐゴシック"/>
        <family val="3"/>
        <charset val="128"/>
        <scheme val="minor"/>
      </rPr>
      <t>(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莞)品牌管理有限公司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</si>
  <si>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酸酒(低等葡萄酒);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</si>
  <si>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五峰雪</t>
    </r>
    <r>
      <rPr>
        <sz val="11"/>
        <rFont val="ＭＳ Ｐゴシック"/>
        <family val="3"/>
        <charset val="134"/>
        <scheme val="minor"/>
      </rPr>
      <t>酿</t>
    </r>
  </si>
  <si>
    <r>
      <t>衡山野莓谷休</t>
    </r>
    <r>
      <rPr>
        <sz val="11"/>
        <rFont val="ＭＳ Ｐゴシック"/>
        <family val="3"/>
        <charset val="134"/>
        <scheme val="minor"/>
      </rPr>
      <t>闲</t>
    </r>
    <r>
      <rPr>
        <sz val="11"/>
        <rFont val="ＭＳ Ｐゴシック"/>
        <family val="3"/>
        <charset val="128"/>
        <scheme val="minor"/>
      </rPr>
      <t>旅游有限公司</t>
    </r>
  </si>
  <si>
    <r>
      <t xml:space="preserve"> 含酒精的充气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果酒; 甜酒;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黄酒</t>
    </r>
  </si>
  <si>
    <r>
      <t>拳酒</t>
    </r>
    <r>
      <rPr>
        <sz val="11"/>
        <rFont val="ＭＳ Ｐゴシック"/>
        <family val="3"/>
        <charset val="134"/>
        <scheme val="minor"/>
      </rPr>
      <t>谱</t>
    </r>
  </si>
  <si>
    <r>
      <t>泉州市</t>
    </r>
    <r>
      <rPr>
        <sz val="11"/>
        <rFont val="ＭＳ Ｐゴシック"/>
        <family val="3"/>
        <charset val="134"/>
        <scheme val="minor"/>
      </rPr>
      <t>鲤</t>
    </r>
    <r>
      <rPr>
        <sz val="11"/>
        <rFont val="ＭＳ Ｐゴシック"/>
        <family val="3"/>
        <charset val="128"/>
        <scheme val="minor"/>
      </rPr>
      <t>城</t>
    </r>
    <r>
      <rPr>
        <sz val="11"/>
        <rFont val="ＭＳ Ｐゴシック"/>
        <family val="3"/>
        <charset val="134"/>
        <scheme val="minor"/>
      </rPr>
      <t>贤</t>
    </r>
    <r>
      <rPr>
        <sz val="11"/>
        <rFont val="ＭＳ Ｐゴシック"/>
        <family val="3"/>
        <charset val="128"/>
        <scheme val="minor"/>
      </rPr>
      <t>永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</si>
  <si>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青稞酒; 餐后酒(利口酒和烈酒); 黄酒</t>
    </r>
  </si>
  <si>
    <r>
      <t>怡</t>
    </r>
    <r>
      <rPr>
        <sz val="11"/>
        <rFont val="ＭＳ Ｐゴシック"/>
        <family val="3"/>
        <charset val="134"/>
        <scheme val="minor"/>
      </rPr>
      <t>陕</t>
    </r>
    <r>
      <rPr>
        <sz val="11"/>
        <rFont val="ＭＳ Ｐゴシック"/>
        <family val="3"/>
        <charset val="128"/>
        <scheme val="minor"/>
      </rPr>
      <t>香</t>
    </r>
  </si>
  <si>
    <r>
      <t xml:space="preserve"> 开胃酒;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</si>
  <si>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 xml:space="preserve"> 开胃酒;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黄酒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</si>
  <si>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韵甄朝</t>
    </r>
  </si>
  <si>
    <r>
      <t xml:space="preserve"> 威士忌;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黄酒</t>
    </r>
  </si>
  <si>
    <r>
      <rPr>
        <sz val="11"/>
        <rFont val="ＭＳ Ｐゴシック"/>
        <family val="3"/>
        <charset val="134"/>
        <scheme val="minor"/>
      </rPr>
      <t>陇</t>
    </r>
    <r>
      <rPr>
        <sz val="11"/>
        <rFont val="ＭＳ Ｐゴシック"/>
        <family val="3"/>
        <charset val="128"/>
        <scheme val="minor"/>
      </rPr>
      <t>山魂</t>
    </r>
  </si>
  <si>
    <r>
      <t>固原市</t>
    </r>
    <r>
      <rPr>
        <sz val="11"/>
        <rFont val="ＭＳ Ｐゴシック"/>
        <family val="3"/>
        <charset val="134"/>
        <scheme val="minor"/>
      </rPr>
      <t>产业</t>
    </r>
    <r>
      <rPr>
        <sz val="11"/>
        <rFont val="ＭＳ Ｐゴシック"/>
        <family val="3"/>
        <charset val="128"/>
        <scheme val="minor"/>
      </rPr>
      <t>技</t>
    </r>
    <r>
      <rPr>
        <sz val="11"/>
        <rFont val="ＭＳ Ｐゴシック"/>
        <family val="3"/>
        <charset val="134"/>
        <scheme val="minor"/>
      </rPr>
      <t>术创</t>
    </r>
    <r>
      <rPr>
        <sz val="11"/>
        <rFont val="ＭＳ Ｐゴシック"/>
        <family val="3"/>
        <charset val="128"/>
        <scheme val="minor"/>
      </rPr>
      <t>新研究院有限公司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</si>
  <si>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梅酒; 烈酒;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</si>
  <si>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帅</t>
    </r>
    <r>
      <rPr>
        <sz val="11"/>
        <rFont val="ＭＳ Ｐゴシック"/>
        <family val="3"/>
        <charset val="128"/>
        <scheme val="minor"/>
      </rPr>
      <t>功夫</t>
    </r>
  </si>
  <si>
    <r>
      <t>伍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杰</t>
    </r>
  </si>
  <si>
    <r>
      <t xml:space="preserve"> 利口酒; 威士忌;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食用酒精; 高粱酒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</si>
  <si>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甘蔗制烈酒;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</si>
  <si>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肖</t>
    </r>
    <r>
      <rPr>
        <sz val="11"/>
        <rFont val="ＭＳ Ｐゴシック"/>
        <family val="3"/>
        <charset val="134"/>
        <scheme val="minor"/>
      </rPr>
      <t>东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</si>
  <si>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清酒(日本米酒);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</si>
  <si>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北京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夏</t>
    </r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峰品牌管理有限公司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</si>
  <si>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果酒; 果酒(含酒精); 白酒; 米酒; 薄荷酒; 青稞酒; 黄酒</t>
    </r>
  </si>
  <si>
    <r>
      <t>衡昌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坊福大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</si>
  <si>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市茅台</t>
    </r>
    <r>
      <rPr>
        <sz val="11"/>
        <rFont val="ＭＳ Ｐゴシック"/>
        <family val="3"/>
        <charset val="134"/>
        <scheme val="minor"/>
      </rPr>
      <t>镇</t>
    </r>
    <r>
      <rPr>
        <sz val="11"/>
        <rFont val="ＭＳ Ｐゴシック"/>
        <family val="3"/>
        <charset val="128"/>
        <scheme val="minor"/>
      </rPr>
      <t>衡昌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坊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酒有限公司</t>
    </r>
  </si>
  <si>
    <r>
      <t xml:space="preserve"> 五加皮酒(中国混合烈酒); 开胃酒;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蒸煮提取物(利口酒和烈酒); 高粱酒; 黄酒</t>
    </r>
  </si>
  <si>
    <r>
      <t>正通</t>
    </r>
    <r>
      <rPr>
        <sz val="11"/>
        <rFont val="ＭＳ Ｐゴシック"/>
        <family val="3"/>
        <charset val="134"/>
        <scheme val="minor"/>
      </rPr>
      <t>蓝</t>
    </r>
    <r>
      <rPr>
        <sz val="11"/>
        <rFont val="ＭＳ Ｐゴシック"/>
        <family val="3"/>
        <charset val="128"/>
        <scheme val="minor"/>
      </rPr>
      <t>精灵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</si>
  <si>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</si>
  <si>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留余子</t>
    </r>
    <r>
      <rPr>
        <sz val="11"/>
        <rFont val="ＭＳ Ｐゴシック"/>
        <family val="3"/>
        <charset val="134"/>
        <scheme val="minor"/>
      </rPr>
      <t>孙</t>
    </r>
  </si>
  <si>
    <r>
      <t>希言至</t>
    </r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(北京)咨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</si>
  <si>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果酒; 清酒; 白葡萄酒;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黄酒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</si>
  <si>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四季粤菜有限公司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</si>
  <si>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烈酒; 甜果酒;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蜂蜜酒</t>
    </r>
  </si>
  <si>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家</t>
    </r>
    <r>
      <rPr>
        <sz val="11"/>
        <rFont val="ＭＳ Ｐゴシック"/>
        <family val="3"/>
        <charset val="134"/>
        <scheme val="minor"/>
      </rPr>
      <t>创库</t>
    </r>
    <r>
      <rPr>
        <sz val="11"/>
        <rFont val="ＭＳ Ｐゴシック"/>
        <family val="3"/>
        <charset val="128"/>
        <scheme val="minor"/>
      </rPr>
      <t>(深圳)供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</si>
  <si>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</si>
  <si>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州周茅酒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</si>
  <si>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青稞酒; 高粱酒; 黄酒</t>
    </r>
  </si>
  <si>
    <r>
      <t>麦法特(海口)投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</si>
  <si>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>朝阳老窖酒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</si>
  <si>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白干酒(中国白酒); 白酒; 葡萄酒; 蜂蜜酒;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</si>
  <si>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崔</t>
    </r>
    <r>
      <rPr>
        <sz val="11"/>
        <rFont val="ＭＳ Ｐゴシック"/>
        <family val="3"/>
        <charset val="134"/>
        <scheme val="minor"/>
      </rPr>
      <t>凯</t>
    </r>
  </si>
  <si>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工</t>
    </r>
  </si>
  <si>
    <r>
      <t>胡舒</t>
    </r>
    <r>
      <rPr>
        <sz val="11"/>
        <rFont val="ＭＳ Ｐゴシック"/>
        <family val="3"/>
        <charset val="134"/>
        <scheme val="minor"/>
      </rPr>
      <t>娴</t>
    </r>
  </si>
  <si>
    <r>
      <t xml:space="preserve"> 威士忌; 开胃酒;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</si>
  <si>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内蒙古掌上非</t>
    </r>
    <r>
      <rPr>
        <sz val="11"/>
        <rFont val="ＭＳ Ｐゴシック"/>
        <family val="3"/>
        <charset val="134"/>
        <scheme val="minor"/>
      </rPr>
      <t>遗</t>
    </r>
    <r>
      <rPr>
        <sz val="11"/>
        <rFont val="ＭＳ Ｐゴシック"/>
        <family val="3"/>
        <charset val="128"/>
        <scheme val="minor"/>
      </rPr>
      <t>数字科技有限公司</t>
    </r>
  </si>
  <si>
    <r>
      <t xml:space="preserve"> 伏特加酒; 果酒(含酒精); 梨酒;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青稞酒; 食用酒精; 黄酒</t>
    </r>
  </si>
  <si>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旺</t>
    </r>
    <r>
      <rPr>
        <sz val="11"/>
        <rFont val="ＭＳ Ｐゴシック"/>
        <family val="3"/>
        <charset val="134"/>
        <scheme val="minor"/>
      </rPr>
      <t>龘</t>
    </r>
  </si>
  <si>
    <r>
      <t>遵</t>
    </r>
    <r>
      <rPr>
        <sz val="11"/>
        <rFont val="ＭＳ Ｐゴシック"/>
        <family val="3"/>
        <charset val="134"/>
        <scheme val="minor"/>
      </rPr>
      <t>义兴</t>
    </r>
    <r>
      <rPr>
        <sz val="11"/>
        <rFont val="ＭＳ Ｐゴシック"/>
        <family val="3"/>
        <charset val="128"/>
        <scheme val="minor"/>
      </rPr>
      <t>旺达汽</t>
    </r>
    <r>
      <rPr>
        <sz val="11"/>
        <rFont val="ＭＳ Ｐゴシック"/>
        <family val="3"/>
        <charset val="134"/>
        <scheme val="minor"/>
      </rPr>
      <t>车</t>
    </r>
    <r>
      <rPr>
        <sz val="11"/>
        <rFont val="ＭＳ Ｐゴシック"/>
        <family val="3"/>
        <charset val="128"/>
        <scheme val="minor"/>
      </rPr>
      <t>运</t>
    </r>
    <r>
      <rPr>
        <sz val="11"/>
        <rFont val="ＭＳ Ｐゴシック"/>
        <family val="3"/>
        <charset val="134"/>
        <scheme val="minor"/>
      </rPr>
      <t>输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</si>
  <si>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利口酒;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</si>
  <si>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喀什昆</t>
    </r>
    <r>
      <rPr>
        <sz val="11"/>
        <rFont val="ＭＳ Ｐゴシック"/>
        <family val="3"/>
        <charset val="134"/>
        <scheme val="minor"/>
      </rPr>
      <t>仑</t>
    </r>
    <r>
      <rPr>
        <sz val="11"/>
        <rFont val="ＭＳ Ｐゴシック"/>
        <family val="3"/>
        <charset val="128"/>
        <scheme val="minor"/>
      </rPr>
      <t>雪源活力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生物科技有限公司</t>
    </r>
  </si>
  <si>
    <r>
      <t xml:space="preserve"> 开胃酒; 果酒(含酒精); 烈酒; 甜果酒; 白酒; 米酒;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</si>
  <si>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茶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方仲景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</si>
  <si>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黄酒</t>
    </r>
  </si>
  <si>
    <r>
      <t>青海十城香青稞酩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</si>
  <si>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</si>
  <si>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半生接待壹号</t>
    </r>
  </si>
  <si>
    <r>
      <rPr>
        <sz val="11"/>
        <rFont val="ＭＳ Ｐゴシック"/>
        <family val="3"/>
        <charset val="134"/>
        <scheme val="minor"/>
      </rPr>
      <t>觉</t>
    </r>
    <r>
      <rPr>
        <sz val="11"/>
        <rFont val="ＭＳ Ｐゴシック"/>
        <family val="3"/>
        <charset val="128"/>
        <scheme val="minor"/>
      </rPr>
      <t>喜文化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媒(曲阜)有限公司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</si>
  <si>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</si>
  <si>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</si>
  <si>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谷窑</t>
    </r>
    <r>
      <rPr>
        <sz val="11"/>
        <rFont val="ＭＳ Ｐゴシック"/>
        <family val="3"/>
        <charset val="134"/>
        <scheme val="minor"/>
      </rPr>
      <t>飨</t>
    </r>
    <r>
      <rPr>
        <sz val="11"/>
        <rFont val="ＭＳ Ｐゴシック"/>
        <family val="3"/>
        <charset val="128"/>
        <scheme val="minor"/>
      </rPr>
      <t>食</t>
    </r>
  </si>
  <si>
    <r>
      <t>曲靖谷窑数</t>
    </r>
    <r>
      <rPr>
        <sz val="11"/>
        <rFont val="ＭＳ Ｐゴシック"/>
        <family val="3"/>
        <charset val="134"/>
        <scheme val="minor"/>
      </rPr>
      <t>艺</t>
    </r>
    <r>
      <rPr>
        <sz val="11"/>
        <rFont val="ＭＳ Ｐゴシック"/>
        <family val="3"/>
        <charset val="128"/>
        <scheme val="minor"/>
      </rPr>
      <t>文旅有限公司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</si>
  <si>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</si>
  <si>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中山市广开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子科技有限公司</t>
    </r>
  </si>
  <si>
    <r>
      <t xml:space="preserve"> 伏特加酒; 威士忌; 开胃酒;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</si>
  <si>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州名公酒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</si>
  <si>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</si>
  <si>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富</t>
    </r>
    <r>
      <rPr>
        <sz val="11"/>
        <rFont val="ＭＳ Ｐゴシック"/>
        <family val="3"/>
        <charset val="134"/>
        <scheme val="minor"/>
      </rPr>
      <t>润</t>
    </r>
    <r>
      <rPr>
        <sz val="11"/>
        <rFont val="ＭＳ Ｐゴシック"/>
        <family val="3"/>
        <charset val="128"/>
        <scheme val="minor"/>
      </rPr>
      <t>世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</si>
  <si>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齐</t>
    </r>
    <r>
      <rPr>
        <sz val="11"/>
        <rFont val="ＭＳ Ｐゴシック"/>
        <family val="3"/>
        <charset val="128"/>
        <scheme val="minor"/>
      </rPr>
      <t>平酒文化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展中心(个人独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)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</si>
  <si>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白酒; 米酒;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高粱酒; 黄酒</t>
    </r>
  </si>
  <si>
    <r>
      <t>蒙</t>
    </r>
    <r>
      <rPr>
        <sz val="11"/>
        <rFont val="ＭＳ Ｐゴシック"/>
        <family val="3"/>
        <charset val="134"/>
        <scheme val="minor"/>
      </rPr>
      <t>馚</t>
    </r>
  </si>
  <si>
    <r>
      <t>呼</t>
    </r>
    <r>
      <rPr>
        <sz val="11"/>
        <rFont val="ＭＳ Ｐゴシック"/>
        <family val="3"/>
        <charset val="134"/>
        <scheme val="minor"/>
      </rPr>
      <t>伦贝尔</t>
    </r>
    <r>
      <rPr>
        <sz val="11"/>
        <rFont val="ＭＳ Ｐゴシック"/>
        <family val="3"/>
        <charset val="128"/>
        <scheme val="minor"/>
      </rPr>
      <t>手工坊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</si>
  <si>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</si>
  <si>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凤</t>
    </r>
    <r>
      <rPr>
        <sz val="11"/>
        <rFont val="ＭＳ Ｐゴシック"/>
        <family val="3"/>
        <charset val="128"/>
        <scheme val="minor"/>
      </rPr>
      <t>礼</t>
    </r>
    <r>
      <rPr>
        <sz val="11"/>
        <rFont val="ＭＳ Ｐゴシック"/>
        <family val="3"/>
        <charset val="134"/>
        <scheme val="minor"/>
      </rPr>
      <t>玺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</si>
  <si>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烈酒; 白干酒(中国白酒); 白酒;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露酒; 青梅酒; 青稞酒; 高粱酒; 黄酒</t>
    </r>
  </si>
  <si>
    <r>
      <t>世</t>
    </r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份</t>
    </r>
  </si>
  <si>
    <r>
      <t>山西汾阳市杏花村宴会汾酒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</si>
  <si>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苹果酒;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</si>
  <si>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霐</t>
    </r>
    <r>
      <rPr>
        <sz val="11"/>
        <rFont val="ＭＳ Ｐゴシック"/>
        <family val="3"/>
        <charset val="128"/>
        <scheme val="minor"/>
      </rPr>
      <t>䲜</t>
    </r>
  </si>
  <si>
    <r>
      <rPr>
        <sz val="11"/>
        <rFont val="ＭＳ Ｐゴシック"/>
        <family val="3"/>
        <charset val="134"/>
        <scheme val="minor"/>
      </rPr>
      <t>赵</t>
    </r>
    <r>
      <rPr>
        <sz val="11"/>
        <rFont val="ＭＳ Ｐゴシック"/>
        <family val="3"/>
        <charset val="128"/>
        <scheme val="minor"/>
      </rPr>
      <t>浩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</si>
  <si>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朝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族米酒;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食用酒精; 餐后酒(利口酒和烈酒); 黄酒</t>
    </r>
  </si>
  <si>
    <r>
      <t>十三朝</t>
    </r>
    <r>
      <rPr>
        <sz val="11"/>
        <rFont val="ＭＳ Ｐゴシック"/>
        <family val="3"/>
        <charset val="134"/>
        <scheme val="minor"/>
      </rPr>
      <t>锦</t>
    </r>
    <r>
      <rPr>
        <sz val="11"/>
        <rFont val="ＭＳ Ｐゴシック"/>
        <family val="3"/>
        <charset val="128"/>
        <scheme val="minor"/>
      </rPr>
      <t>上添花</t>
    </r>
  </si>
  <si>
    <r>
      <rPr>
        <sz val="11"/>
        <rFont val="ＭＳ Ｐゴシック"/>
        <family val="3"/>
        <charset val="134"/>
        <scheme val="minor"/>
      </rPr>
      <t>陕</t>
    </r>
    <r>
      <rPr>
        <sz val="11"/>
        <rFont val="ＭＳ Ｐゴシック"/>
        <family val="3"/>
        <charset val="128"/>
        <scheme val="minor"/>
      </rPr>
      <t>西酒聖品牌运</t>
    </r>
    <r>
      <rPr>
        <sz val="11"/>
        <rFont val="ＭＳ Ｐゴシック"/>
        <family val="3"/>
        <charset val="134"/>
        <scheme val="minor"/>
      </rPr>
      <t>营</t>
    </r>
    <r>
      <rPr>
        <sz val="11"/>
        <rFont val="ＭＳ Ｐゴシック"/>
        <family val="3"/>
        <charset val="128"/>
        <scheme val="minor"/>
      </rPr>
      <t>管理有限公司</t>
    </r>
  </si>
  <si>
    <r>
      <t>湖南三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</si>
  <si>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水果汽酒;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</si>
  <si>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光助</t>
    </r>
    <r>
      <rPr>
        <sz val="11"/>
        <rFont val="ＭＳ Ｐゴシック"/>
        <family val="3"/>
        <charset val="134"/>
        <scheme val="minor"/>
      </rPr>
      <t>阵</t>
    </r>
    <r>
      <rPr>
        <sz val="11"/>
        <rFont val="ＭＳ Ｐゴシック"/>
        <family val="3"/>
        <charset val="128"/>
        <scheme val="minor"/>
      </rPr>
      <t>地(上海)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媒科技有限公司</t>
    </r>
  </si>
  <si>
    <r>
      <t xml:space="preserve"> 果酒; 汽酒;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餐后酒(利口酒和烈酒); 黄酒</t>
    </r>
  </si>
  <si>
    <r>
      <t>洋河文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定制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</si>
  <si>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州唐庄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</si>
  <si>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</si>
  <si>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rPr>
        <sz val="11"/>
        <rFont val="ＭＳ Ｐゴシック"/>
        <family val="3"/>
        <charset val="134"/>
        <scheme val="minor"/>
      </rPr>
      <t>邓</t>
    </r>
    <r>
      <rPr>
        <sz val="11"/>
        <rFont val="ＭＳ Ｐゴシック"/>
        <family val="3"/>
        <charset val="128"/>
        <scheme val="minor"/>
      </rPr>
      <t>柏福</t>
    </r>
  </si>
  <si>
    <r>
      <t xml:space="preserve"> 五加皮酒(中国混合烈酒); 刺五加酒; 开胃酒; 果酒; 白酒; 米酒;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露酒; 黄酒</t>
    </r>
  </si>
  <si>
    <r>
      <t>省大</t>
    </r>
    <r>
      <rPr>
        <sz val="11"/>
        <rFont val="ＭＳ Ｐゴシック"/>
        <family val="3"/>
        <charset val="134"/>
        <scheme val="minor"/>
      </rPr>
      <t>师龙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</si>
  <si>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州天地乾坤品牌管理有限公司</t>
    </r>
  </si>
  <si>
    <r>
      <t xml:space="preserve">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葡萄酒;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</si>
  <si>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省大</t>
    </r>
    <r>
      <rPr>
        <sz val="11"/>
        <rFont val="ＭＳ Ｐゴシック"/>
        <family val="3"/>
        <charset val="134"/>
        <scheme val="minor"/>
      </rPr>
      <t>师</t>
    </r>
    <r>
      <rPr>
        <sz val="11"/>
        <rFont val="ＭＳ Ｐゴシック"/>
        <family val="3"/>
        <charset val="128"/>
        <scheme val="minor"/>
      </rPr>
      <t>基</t>
    </r>
  </si>
  <si>
    <r>
      <t>久圣酒</t>
    </r>
    <r>
      <rPr>
        <sz val="11"/>
        <rFont val="ＭＳ Ｐゴシック"/>
        <family val="3"/>
        <charset val="134"/>
        <scheme val="minor"/>
      </rPr>
      <t>满仓</t>
    </r>
  </si>
  <si>
    <r>
      <t>上海久圣酒</t>
    </r>
    <r>
      <rPr>
        <sz val="11"/>
        <rFont val="ＭＳ Ｐゴシック"/>
        <family val="3"/>
        <charset val="134"/>
        <scheme val="minor"/>
      </rPr>
      <t>类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</si>
  <si>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黄酒</t>
    </r>
  </si>
  <si>
    <r>
      <t>久女</t>
    </r>
    <r>
      <rPr>
        <sz val="11"/>
        <rFont val="ＭＳ Ｐゴシック"/>
        <family val="3"/>
        <charset val="134"/>
        <scheme val="minor"/>
      </rPr>
      <t>仓</t>
    </r>
  </si>
  <si>
    <r>
      <t>吉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隆控股(山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)集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</si>
  <si>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</si>
  <si>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庆东</t>
    </r>
    <r>
      <rPr>
        <sz val="11"/>
        <rFont val="ＭＳ Ｐゴシック"/>
        <family val="3"/>
        <charset val="128"/>
        <scheme val="minor"/>
      </rPr>
      <t>方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</si>
  <si>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玺贵</t>
    </r>
    <r>
      <rPr>
        <sz val="11"/>
        <rFont val="ＭＳ Ｐゴシック"/>
        <family val="3"/>
        <charset val="128"/>
        <scheme val="minor"/>
      </rPr>
      <t>台酒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</si>
  <si>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蚨</t>
    </r>
    <r>
      <rPr>
        <sz val="11"/>
        <rFont val="ＭＳ Ｐゴシック"/>
        <family val="3"/>
        <charset val="134"/>
        <scheme val="minor"/>
      </rPr>
      <t>兴馆</t>
    </r>
    <r>
      <rPr>
        <sz val="11"/>
        <rFont val="ＭＳ Ｐゴシック"/>
        <family val="3"/>
        <charset val="128"/>
        <scheme val="minor"/>
      </rPr>
      <t xml:space="preserve"> 小缸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酵口感更醇厚</t>
    </r>
  </si>
  <si>
    <r>
      <t>青</t>
    </r>
    <r>
      <rPr>
        <sz val="11"/>
        <rFont val="ＭＳ Ｐゴシック"/>
        <family val="3"/>
        <charset val="134"/>
        <scheme val="minor"/>
      </rPr>
      <t>岛</t>
    </r>
    <r>
      <rPr>
        <sz val="11"/>
        <rFont val="ＭＳ Ｐゴシック"/>
        <family val="3"/>
        <charset val="128"/>
        <scheme val="minor"/>
      </rPr>
      <t>蚨</t>
    </r>
    <r>
      <rPr>
        <sz val="11"/>
        <rFont val="ＭＳ Ｐゴシック"/>
        <family val="3"/>
        <charset val="134"/>
        <scheme val="minor"/>
      </rPr>
      <t>兴馆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</si>
  <si>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</si>
  <si>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蒂</t>
    </r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宗</t>
    </r>
  </si>
  <si>
    <r>
      <t>李</t>
    </r>
    <r>
      <rPr>
        <sz val="11"/>
        <rFont val="ＭＳ Ｐゴシック"/>
        <family val="3"/>
        <charset val="134"/>
        <scheme val="minor"/>
      </rPr>
      <t>显</t>
    </r>
    <r>
      <rPr>
        <sz val="11"/>
        <rFont val="ＭＳ Ｐゴシック"/>
        <family val="3"/>
        <charset val="128"/>
        <scheme val="minor"/>
      </rPr>
      <t>忠</t>
    </r>
  </si>
  <si>
    <r>
      <t xml:space="preserve"> 伏特加酒;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</si>
  <si>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成</t>
    </r>
    <r>
      <rPr>
        <sz val="11"/>
        <rFont val="ＭＳ Ｐゴシック"/>
        <family val="3"/>
        <charset val="134"/>
        <scheme val="minor"/>
      </rPr>
      <t>语</t>
    </r>
    <r>
      <rPr>
        <sz val="11"/>
        <rFont val="ＭＳ Ｐゴシック"/>
        <family val="3"/>
        <charset val="128"/>
        <scheme val="minor"/>
      </rPr>
      <t>三千年</t>
    </r>
  </si>
  <si>
    <r>
      <t>成都厚德升酒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</si>
  <si>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餐后酒(利口酒和烈酒); 黄酒</t>
    </r>
  </si>
  <si>
    <r>
      <t>四川省崇阳酒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</si>
  <si>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酒; 开胃酒; 果酒; 汽酒; 烈性干酒;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米酒;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</si>
  <si>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石河子城投泰盛城市服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</si>
  <si>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朗姆酒;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</si>
  <si>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马泽</t>
    </r>
    <r>
      <rPr>
        <sz val="11"/>
        <rFont val="ＭＳ Ｐゴシック"/>
        <family val="3"/>
        <charset val="128"/>
        <scheme val="minor"/>
      </rPr>
      <t>洪</t>
    </r>
  </si>
  <si>
    <r>
      <t xml:space="preserve"> 佐餐酒; 果酒(含酒精); 甜酒; 白酒; 米酒; 葡萄酒; 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制好的葡萄酒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</t>
    </r>
  </si>
  <si>
    <r>
      <t>听</t>
    </r>
    <r>
      <rPr>
        <sz val="11"/>
        <rFont val="ＭＳ Ｐゴシック"/>
        <family val="3"/>
        <charset val="134"/>
        <scheme val="minor"/>
      </rPr>
      <t>书</t>
    </r>
  </si>
  <si>
    <r>
      <t>哈</t>
    </r>
    <r>
      <rPr>
        <sz val="11"/>
        <rFont val="ＭＳ Ｐゴシック"/>
        <family val="3"/>
        <charset val="134"/>
        <scheme val="minor"/>
      </rPr>
      <t>尔滨</t>
    </r>
    <r>
      <rPr>
        <sz val="11"/>
        <rFont val="ＭＳ Ｐゴシック"/>
        <family val="3"/>
        <charset val="128"/>
        <scheme val="minor"/>
      </rPr>
      <t>听</t>
    </r>
    <r>
      <rPr>
        <sz val="11"/>
        <rFont val="ＭＳ Ｐゴシック"/>
        <family val="3"/>
        <charset val="134"/>
        <scheme val="minor"/>
      </rPr>
      <t>书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</si>
  <si>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蒸煮提取物(利口酒和烈酒); 食用酒精; 黄酒</t>
    </r>
  </si>
  <si>
    <r>
      <rPr>
        <sz val="11"/>
        <rFont val="ＭＳ Ｐゴシック"/>
        <family val="3"/>
        <charset val="134"/>
        <scheme val="minor"/>
      </rPr>
      <t>绿</t>
    </r>
    <r>
      <rPr>
        <sz val="11"/>
        <rFont val="ＭＳ Ｐゴシック"/>
        <family val="3"/>
        <charset val="128"/>
        <scheme val="minor"/>
      </rPr>
      <t>冠星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</si>
  <si>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玺</t>
    </r>
    <r>
      <rPr>
        <sz val="11"/>
        <rFont val="ＭＳ Ｐゴシック"/>
        <family val="3"/>
        <charset val="128"/>
        <scheme val="minor"/>
      </rPr>
      <t>酒酒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</si>
  <si>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</si>
  <si>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花池</t>
    </r>
  </si>
  <si>
    <r>
      <rPr>
        <sz val="11"/>
        <rFont val="ＭＳ Ｐゴシック"/>
        <family val="3"/>
        <charset val="134"/>
        <scheme val="minor"/>
      </rPr>
      <t>赵</t>
    </r>
    <r>
      <rPr>
        <sz val="11"/>
        <rFont val="ＭＳ Ｐゴシック"/>
        <family val="3"/>
        <charset val="128"/>
        <scheme val="minor"/>
      </rPr>
      <t>小</t>
    </r>
    <r>
      <rPr>
        <sz val="11"/>
        <rFont val="ＭＳ Ｐゴシック"/>
        <family val="3"/>
        <charset val="134"/>
        <scheme val="minor"/>
      </rPr>
      <t>丽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</si>
  <si>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薄荷酒;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</si>
  <si>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湖北清大中</t>
    </r>
    <r>
      <rPr>
        <sz val="11"/>
        <rFont val="ＭＳ Ｐゴシック"/>
        <family val="3"/>
        <charset val="134"/>
        <scheme val="minor"/>
      </rPr>
      <t>药饮</t>
    </r>
    <r>
      <rPr>
        <sz val="11"/>
        <rFont val="ＭＳ Ｐゴシック"/>
        <family val="3"/>
        <charset val="128"/>
        <scheme val="minor"/>
      </rPr>
      <t>片有限公司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</si>
  <si>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</si>
  <si>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t>四川世</t>
    </r>
    <r>
      <rPr>
        <sz val="11"/>
        <rFont val="ＭＳ Ｐゴシック"/>
        <family val="3"/>
        <charset val="134"/>
        <scheme val="minor"/>
      </rPr>
      <t>纪</t>
    </r>
    <r>
      <rPr>
        <sz val="11"/>
        <rFont val="ＭＳ Ｐゴシック"/>
        <family val="3"/>
        <charset val="128"/>
        <scheme val="minor"/>
      </rPr>
      <t>山水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</si>
  <si>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</si>
  <si>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璨</t>
    </r>
  </si>
  <si>
    <r>
      <t>翟</t>
    </r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普</t>
    </r>
  </si>
  <si>
    <r>
      <rPr>
        <sz val="11"/>
        <rFont val="ＭＳ Ｐゴシック"/>
        <family val="3"/>
        <charset val="134"/>
        <scheme val="minor"/>
      </rPr>
      <t>凤</t>
    </r>
    <r>
      <rPr>
        <sz val="11"/>
        <rFont val="ＭＳ Ｐゴシック"/>
        <family val="3"/>
        <charset val="128"/>
        <scheme val="minor"/>
      </rPr>
      <t>游天下</t>
    </r>
  </si>
  <si>
    <r>
      <t>四川</t>
    </r>
    <r>
      <rPr>
        <sz val="11"/>
        <rFont val="ＭＳ Ｐゴシック"/>
        <family val="3"/>
        <charset val="134"/>
        <scheme val="minor"/>
      </rPr>
      <t>凤</t>
    </r>
    <r>
      <rPr>
        <sz val="11"/>
        <rFont val="ＭＳ Ｐゴシック"/>
        <family val="3"/>
        <charset val="128"/>
        <scheme val="minor"/>
      </rPr>
      <t>游天下文化旅游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</si>
  <si>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威士忌;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</si>
  <si>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北大荒</t>
    </r>
    <r>
      <rPr>
        <sz val="11"/>
        <rFont val="ＭＳ Ｐゴシック"/>
        <family val="3"/>
        <charset val="134"/>
        <scheme val="minor"/>
      </rPr>
      <t>农垦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</si>
  <si>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</si>
  <si>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>潘文</t>
    </r>
    <r>
      <rPr>
        <sz val="11"/>
        <rFont val="ＭＳ Ｐゴシック"/>
        <family val="3"/>
        <charset val="134"/>
        <scheme val="minor"/>
      </rPr>
      <t>军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</si>
  <si>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桃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酸酒(低等葡萄酒)</t>
    </r>
  </si>
  <si>
    <r>
      <rPr>
        <sz val="11"/>
        <rFont val="ＭＳ Ｐゴシック"/>
        <family val="3"/>
        <charset val="134"/>
        <scheme val="minor"/>
      </rPr>
      <t>别</t>
    </r>
    <r>
      <rPr>
        <sz val="11"/>
        <rFont val="ＭＳ Ｐゴシック"/>
        <family val="3"/>
        <charset val="128"/>
        <scheme val="minor"/>
      </rPr>
      <t>山南</t>
    </r>
  </si>
  <si>
    <r>
      <t>合肥嘉</t>
    </r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建筑装</t>
    </r>
    <r>
      <rPr>
        <sz val="11"/>
        <rFont val="ＭＳ Ｐゴシック"/>
        <family val="3"/>
        <charset val="134"/>
        <scheme val="minor"/>
      </rPr>
      <t>饰</t>
    </r>
    <r>
      <rPr>
        <sz val="11"/>
        <rFont val="ＭＳ Ｐゴシック"/>
        <family val="3"/>
        <charset val="128"/>
        <scheme val="minor"/>
      </rPr>
      <t>工程有限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</si>
  <si>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利口酒;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</si>
  <si>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钟</t>
    </r>
    <r>
      <rPr>
        <sz val="11"/>
        <rFont val="ＭＳ Ｐゴシック"/>
        <family val="3"/>
        <charset val="128"/>
        <scheme val="minor"/>
      </rPr>
      <t>博后</t>
    </r>
  </si>
  <si>
    <r>
      <rPr>
        <sz val="11"/>
        <rFont val="ＭＳ Ｐゴシック"/>
        <family val="3"/>
        <charset val="134"/>
        <scheme val="minor"/>
      </rPr>
      <t>钟</t>
    </r>
    <r>
      <rPr>
        <sz val="11"/>
        <rFont val="ＭＳ Ｐゴシック"/>
        <family val="3"/>
        <charset val="128"/>
        <scheme val="minor"/>
      </rPr>
      <t>治</t>
    </r>
    <r>
      <rPr>
        <sz val="11"/>
        <rFont val="ＭＳ Ｐゴシック"/>
        <family val="3"/>
        <charset val="134"/>
        <scheme val="minor"/>
      </rPr>
      <t>军</t>
    </r>
  </si>
  <si>
    <r>
      <t xml:space="preserve">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</t>
    </r>
  </si>
  <si>
    <r>
      <t>北京猫猫家文化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</si>
  <si>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利口酒;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</si>
  <si>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董新</t>
    </r>
    <r>
      <rPr>
        <sz val="11"/>
        <rFont val="ＭＳ Ｐゴシック"/>
        <family val="3"/>
        <charset val="134"/>
        <scheme val="minor"/>
      </rPr>
      <t>伟</t>
    </r>
  </si>
  <si>
    <r>
      <t xml:space="preserve"> 含酒精的充气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</si>
  <si>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rPr>
        <sz val="11"/>
        <rFont val="ＭＳ Ｐゴシック"/>
        <family val="3"/>
        <charset val="134"/>
        <scheme val="minor"/>
      </rPr>
      <t>赢</t>
    </r>
    <r>
      <rPr>
        <sz val="11"/>
        <rFont val="ＭＳ Ｐゴシック"/>
        <family val="3"/>
        <charset val="128"/>
        <scheme val="minor"/>
      </rPr>
      <t>家沐心堂</t>
    </r>
  </si>
  <si>
    <r>
      <t>北海市原亨利</t>
    </r>
    <r>
      <rPr>
        <sz val="11"/>
        <rFont val="ＭＳ Ｐゴシック"/>
        <family val="3"/>
        <charset val="134"/>
        <scheme val="minor"/>
      </rPr>
      <t>贞</t>
    </r>
    <r>
      <rPr>
        <sz val="11"/>
        <rFont val="ＭＳ Ｐゴシック"/>
        <family val="3"/>
        <charset val="128"/>
        <scheme val="minor"/>
      </rPr>
      <t>未来科技有限公司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</si>
  <si>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</t>
    </r>
  </si>
  <si>
    <r>
      <t>万事</t>
    </r>
    <r>
      <rPr>
        <sz val="11"/>
        <rFont val="ＭＳ Ｐゴシック"/>
        <family val="3"/>
        <charset val="134"/>
        <scheme val="minor"/>
      </rPr>
      <t>风</t>
    </r>
    <r>
      <rPr>
        <sz val="11"/>
        <rFont val="ＭＳ Ｐゴシック"/>
        <family val="3"/>
        <charset val="128"/>
        <scheme val="minor"/>
      </rPr>
      <t>暴</t>
    </r>
  </si>
  <si>
    <r>
      <rPr>
        <sz val="11"/>
        <rFont val="ＭＳ Ｐゴシック"/>
        <family val="3"/>
        <charset val="134"/>
        <scheme val="minor"/>
      </rPr>
      <t>陕</t>
    </r>
    <r>
      <rPr>
        <sz val="11"/>
        <rFont val="ＭＳ Ｐゴシック"/>
        <family val="3"/>
        <charset val="128"/>
        <scheme val="minor"/>
      </rPr>
      <t>西世首余粮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</si>
  <si>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威士忌;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薄荷酒;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</si>
  <si>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峄</t>
    </r>
    <r>
      <rPr>
        <sz val="11"/>
        <rFont val="ＭＳ Ｐゴシック"/>
        <family val="3"/>
        <charset val="128"/>
        <scheme val="minor"/>
      </rPr>
      <t>山</t>
    </r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山</t>
    </r>
  </si>
  <si>
    <r>
      <t xml:space="preserve"> 利口酒;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高粱酒;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</si>
  <si>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州生</t>
    </r>
    <r>
      <rPr>
        <sz val="11"/>
        <rFont val="ＭＳ Ｐゴシック"/>
        <family val="3"/>
        <charset val="134"/>
        <scheme val="minor"/>
      </rPr>
      <t>态</t>
    </r>
    <r>
      <rPr>
        <sz val="11"/>
        <rFont val="ＭＳ Ｐゴシック"/>
        <family val="3"/>
        <charset val="128"/>
        <scheme val="minor"/>
      </rPr>
      <t>黔</t>
    </r>
    <r>
      <rPr>
        <sz val="11"/>
        <rFont val="ＭＳ Ｐゴシック"/>
        <family val="3"/>
        <charset val="134"/>
        <scheme val="minor"/>
      </rPr>
      <t>货电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</si>
  <si>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葡萄汽酒; 葡萄酒; 黄酒</t>
    </r>
  </si>
  <si>
    <r>
      <t xml:space="preserve"> 以朗姆酒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水果汽酒; 混合威士忌酒;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</si>
  <si>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崇盟</t>
    </r>
    <r>
      <rPr>
        <sz val="11"/>
        <rFont val="ＭＳ Ｐゴシック"/>
        <family val="3"/>
        <charset val="134"/>
        <scheme val="minor"/>
      </rPr>
      <t>汇</t>
    </r>
  </si>
  <si>
    <r>
      <t>广州崇盟</t>
    </r>
    <r>
      <rPr>
        <sz val="11"/>
        <rFont val="ＭＳ Ｐゴシック"/>
        <family val="3"/>
        <charset val="134"/>
        <scheme val="minor"/>
      </rPr>
      <t>汇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</si>
  <si>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含酒精的气泡水;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</si>
  <si>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北京鑫之</t>
    </r>
    <r>
      <rPr>
        <sz val="11"/>
        <rFont val="ＭＳ Ｐゴシック"/>
        <family val="3"/>
        <charset val="134"/>
        <scheme val="minor"/>
      </rPr>
      <t>润</t>
    </r>
    <r>
      <rPr>
        <sz val="11"/>
        <rFont val="ＭＳ Ｐゴシック"/>
        <family val="3"/>
        <charset val="128"/>
        <scheme val="minor"/>
      </rPr>
      <t>信息技</t>
    </r>
    <r>
      <rPr>
        <sz val="11"/>
        <rFont val="ＭＳ Ｐゴシック"/>
        <family val="3"/>
        <charset val="134"/>
        <scheme val="minor"/>
      </rPr>
      <t>术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</si>
  <si>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以朗姆酒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葡萄酒; 黄酒</t>
    </r>
  </si>
  <si>
    <r>
      <rPr>
        <sz val="11"/>
        <rFont val="ＭＳ Ｐゴシック"/>
        <family val="3"/>
        <charset val="134"/>
        <scheme val="minor"/>
      </rPr>
      <t>济</t>
    </r>
    <r>
      <rPr>
        <sz val="11"/>
        <rFont val="ＭＳ Ｐゴシック"/>
        <family val="3"/>
        <charset val="128"/>
        <scheme val="minor"/>
      </rPr>
      <t>源</t>
    </r>
    <r>
      <rPr>
        <sz val="11"/>
        <rFont val="ＭＳ Ｐゴシック"/>
        <family val="3"/>
        <charset val="134"/>
        <scheme val="minor"/>
      </rPr>
      <t>孙</t>
    </r>
    <r>
      <rPr>
        <sz val="11"/>
        <rFont val="ＭＳ Ｐゴシック"/>
        <family val="3"/>
        <charset val="128"/>
        <scheme val="minor"/>
      </rPr>
      <t>思邈生物</t>
    </r>
    <r>
      <rPr>
        <sz val="11"/>
        <rFont val="ＭＳ Ｐゴシック"/>
        <family val="3"/>
        <charset val="134"/>
        <scheme val="minor"/>
      </rPr>
      <t>药业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</si>
  <si>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果酒(含酒精);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黄酒</t>
    </r>
  </si>
  <si>
    <r>
      <t xml:space="preserve"> 威士忌; 日式甜米酒; 日本梅子酒; 果酒;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黄酒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</si>
  <si>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潭潮</t>
    </r>
    <r>
      <rPr>
        <sz val="11"/>
        <rFont val="ＭＳ Ｐゴシック"/>
        <family val="3"/>
        <charset val="134"/>
        <scheme val="minor"/>
      </rPr>
      <t>涨</t>
    </r>
  </si>
  <si>
    <r>
      <t>四川天</t>
    </r>
    <r>
      <rPr>
        <sz val="11"/>
        <rFont val="ＭＳ Ｐゴシック"/>
        <family val="3"/>
        <charset val="134"/>
        <scheme val="minor"/>
      </rPr>
      <t>赐泸</t>
    </r>
    <r>
      <rPr>
        <sz val="11"/>
        <rFont val="ＭＳ Ｐゴシック"/>
        <family val="3"/>
        <charset val="128"/>
        <scheme val="minor"/>
      </rPr>
      <t>州文化</t>
    </r>
    <r>
      <rPr>
        <sz val="11"/>
        <rFont val="ＭＳ Ｐゴシック"/>
        <family val="3"/>
        <charset val="134"/>
        <scheme val="minor"/>
      </rPr>
      <t>产业发</t>
    </r>
    <r>
      <rPr>
        <sz val="11"/>
        <rFont val="ＭＳ Ｐゴシック"/>
        <family val="3"/>
        <charset val="128"/>
        <scheme val="minor"/>
      </rPr>
      <t>展有限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</si>
  <si>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</si>
  <si>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t>熊猫大</t>
    </r>
    <r>
      <rPr>
        <sz val="11"/>
        <rFont val="ＭＳ Ｐゴシック"/>
        <family val="3"/>
        <charset val="134"/>
        <scheme val="minor"/>
      </rPr>
      <t>师</t>
    </r>
    <r>
      <rPr>
        <sz val="11"/>
        <rFont val="ＭＳ Ｐゴシック"/>
        <family val="3"/>
        <charset val="128"/>
        <scheme val="minor"/>
      </rPr>
      <t>·知音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</si>
  <si>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州殿</t>
    </r>
    <r>
      <rPr>
        <sz val="11"/>
        <rFont val="ＭＳ Ｐゴシック"/>
        <family val="3"/>
        <charset val="134"/>
        <scheme val="minor"/>
      </rPr>
      <t>酱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</si>
  <si>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蒸煮提取物(利口酒和烈酒);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</si>
  <si>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t>沈巨</t>
    </r>
    <r>
      <rPr>
        <sz val="11"/>
        <rFont val="ＭＳ Ｐゴシック"/>
        <family val="3"/>
        <charset val="134"/>
        <scheme val="minor"/>
      </rPr>
      <t>场</t>
    </r>
  </si>
  <si>
    <r>
      <t>庭</t>
    </r>
    <r>
      <rPr>
        <sz val="11"/>
        <rFont val="ＭＳ Ｐゴシック"/>
        <family val="3"/>
        <charset val="134"/>
        <scheme val="minor"/>
      </rPr>
      <t>坚赋</t>
    </r>
  </si>
  <si>
    <r>
      <t xml:space="preserve"> 朝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 xml:space="preserve">族米酒;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白干酒(中国白酒);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用烈酒; 高粱酒; 黄酒</t>
    </r>
  </si>
  <si>
    <r>
      <t>山</t>
    </r>
    <r>
      <rPr>
        <sz val="11"/>
        <rFont val="ＭＳ Ｐゴシック"/>
        <family val="3"/>
        <charset val="134"/>
        <scheme val="minor"/>
      </rPr>
      <t>东东汉</t>
    </r>
    <r>
      <rPr>
        <sz val="11"/>
        <rFont val="ＭＳ Ｐゴシック"/>
        <family val="3"/>
        <charset val="128"/>
        <scheme val="minor"/>
      </rPr>
      <t>文化</t>
    </r>
    <r>
      <rPr>
        <sz val="11"/>
        <rFont val="ＭＳ Ｐゴシック"/>
        <family val="3"/>
        <charset val="134"/>
        <scheme val="minor"/>
      </rPr>
      <t>产业发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</si>
  <si>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伏特加酒; 威士忌;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</si>
  <si>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广西鑫福运酒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</si>
  <si>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</si>
  <si>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t>槐店老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关</t>
    </r>
  </si>
  <si>
    <r>
      <t>河南省永博牧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</si>
  <si>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高粱酒; 黄酒</t>
    </r>
  </si>
  <si>
    <r>
      <t>智走(重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)网</t>
    </r>
    <r>
      <rPr>
        <sz val="11"/>
        <rFont val="ＭＳ Ｐゴシック"/>
        <family val="3"/>
        <charset val="134"/>
        <scheme val="minor"/>
      </rPr>
      <t>络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</si>
  <si>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威士忌; 果酒(含酒精);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</si>
  <si>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丹丹</t>
    </r>
  </si>
  <si>
    <r>
      <t>春</t>
    </r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渡</t>
    </r>
  </si>
  <si>
    <r>
      <t>山西宇</t>
    </r>
    <r>
      <rPr>
        <sz val="11"/>
        <rFont val="ＭＳ Ｐゴシック"/>
        <family val="3"/>
        <charset val="134"/>
        <scheme val="minor"/>
      </rPr>
      <t>鸿</t>
    </r>
    <r>
      <rPr>
        <sz val="11"/>
        <rFont val="ＭＳ Ｐゴシック"/>
        <family val="3"/>
        <charset val="128"/>
        <scheme val="minor"/>
      </rPr>
      <t>文化科技有限公司</t>
    </r>
  </si>
  <si>
    <r>
      <t xml:space="preserve">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薄荷酒;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</si>
  <si>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清</t>
    </r>
    <r>
      <rPr>
        <sz val="11"/>
        <rFont val="ＭＳ Ｐゴシック"/>
        <family val="3"/>
        <charset val="134"/>
        <scheme val="minor"/>
      </rPr>
      <t>兰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</si>
  <si>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梅酒; 汽酒; 清酒; 白酒; 葡萄酒; 露酒; 青梅酒; 麦芽威士忌</t>
    </r>
  </si>
  <si>
    <r>
      <rPr>
        <sz val="11"/>
        <rFont val="ＭＳ Ｐゴシック"/>
        <family val="3"/>
        <charset val="134"/>
        <scheme val="minor"/>
      </rPr>
      <t>驿桥边</t>
    </r>
  </si>
  <si>
    <r>
      <t xml:space="preserve"> 伏特加酒;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</si>
  <si>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t>文小</t>
    </r>
    <r>
      <rPr>
        <sz val="11"/>
        <rFont val="ＭＳ Ｐゴシック"/>
        <family val="3"/>
        <charset val="134"/>
        <scheme val="minor"/>
      </rPr>
      <t>墙</t>
    </r>
  </si>
  <si>
    <r>
      <t>文小</t>
    </r>
    <r>
      <rPr>
        <sz val="11"/>
        <rFont val="ＭＳ Ｐゴシック"/>
        <family val="3"/>
        <charset val="134"/>
        <scheme val="minor"/>
      </rPr>
      <t>墙</t>
    </r>
    <r>
      <rPr>
        <sz val="11"/>
        <rFont val="ＭＳ Ｐゴシック"/>
        <family val="3"/>
        <charset val="128"/>
        <scheme val="minor"/>
      </rPr>
      <t>(深圳)装</t>
    </r>
    <r>
      <rPr>
        <sz val="11"/>
        <rFont val="ＭＳ Ｐゴシック"/>
        <family val="3"/>
        <charset val="134"/>
        <scheme val="minor"/>
      </rPr>
      <t>饰设计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</si>
  <si>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果酒; 烈酒; 米酒;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</si>
  <si>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青</t>
    </r>
    <r>
      <rPr>
        <sz val="11"/>
        <rFont val="ＭＳ Ｐゴシック"/>
        <family val="3"/>
        <charset val="134"/>
        <scheme val="minor"/>
      </rPr>
      <t>岛</t>
    </r>
    <r>
      <rPr>
        <sz val="11"/>
        <rFont val="ＭＳ Ｐゴシック"/>
        <family val="3"/>
        <charset val="128"/>
        <scheme val="minor"/>
      </rPr>
      <t>叶茂生物科技有限公司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</si>
  <si>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</si>
  <si>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唐</t>
    </r>
    <r>
      <rPr>
        <sz val="11"/>
        <rFont val="ＭＳ Ｐゴシック"/>
        <family val="3"/>
        <charset val="134"/>
        <scheme val="minor"/>
      </rPr>
      <t>陕</t>
    </r>
    <r>
      <rPr>
        <sz val="11"/>
        <rFont val="ＭＳ Ｐゴシック"/>
        <family val="3"/>
        <charset val="128"/>
        <scheme val="minor"/>
      </rPr>
      <t>秦</t>
    </r>
  </si>
  <si>
    <r>
      <rPr>
        <sz val="11"/>
        <rFont val="ＭＳ Ｐゴシック"/>
        <family val="3"/>
        <charset val="134"/>
        <scheme val="minor"/>
      </rPr>
      <t>榆</t>
    </r>
    <r>
      <rPr>
        <sz val="11"/>
        <rFont val="ＭＳ Ｐゴシック"/>
        <family val="3"/>
        <charset val="128"/>
        <scheme val="minor"/>
      </rPr>
      <t>林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哥兄弟食品开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</si>
  <si>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倾</t>
    </r>
    <r>
      <rPr>
        <sz val="11"/>
        <rFont val="ＭＳ Ｐゴシック"/>
        <family val="3"/>
        <charset val="128"/>
        <scheme val="minor"/>
      </rPr>
      <t>江南</t>
    </r>
  </si>
  <si>
    <r>
      <rPr>
        <sz val="11"/>
        <rFont val="ＭＳ Ｐゴシック"/>
        <family val="3"/>
        <charset val="134"/>
        <scheme val="minor"/>
      </rPr>
      <t>赛</t>
    </r>
    <r>
      <rPr>
        <sz val="11"/>
        <rFont val="ＭＳ Ｐゴシック"/>
        <family val="3"/>
        <charset val="128"/>
        <scheme val="minor"/>
      </rPr>
      <t>若金</t>
    </r>
  </si>
  <si>
    <r>
      <t>新疆喀蒙乳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</si>
  <si>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</si>
  <si>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穆森</t>
    </r>
    <r>
      <rPr>
        <sz val="11"/>
        <rFont val="ＭＳ Ｐゴシック"/>
        <family val="3"/>
        <charset val="134"/>
        <scheme val="minor"/>
      </rPr>
      <t>飞马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</si>
  <si>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朗姆酒;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</si>
  <si>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岜颂</t>
    </r>
    <r>
      <rPr>
        <sz val="11"/>
        <rFont val="ＭＳ Ｐゴシック"/>
        <family val="3"/>
        <charset val="128"/>
        <scheme val="minor"/>
      </rPr>
      <t>真</t>
    </r>
    <r>
      <rPr>
        <sz val="11"/>
        <rFont val="ＭＳ Ｐゴシック"/>
        <family val="3"/>
        <charset val="134"/>
        <scheme val="minor"/>
      </rPr>
      <t>爱</t>
    </r>
  </si>
  <si>
    <r>
      <t>岸</t>
    </r>
    <r>
      <rPr>
        <sz val="11"/>
        <rFont val="ＭＳ Ｐゴシック"/>
        <family val="3"/>
        <charset val="134"/>
        <scheme val="minor"/>
      </rPr>
      <t>阁</t>
    </r>
  </si>
  <si>
    <r>
      <t>曹</t>
    </r>
    <r>
      <rPr>
        <sz val="11"/>
        <rFont val="ＭＳ Ｐゴシック"/>
        <family val="3"/>
        <charset val="134"/>
        <scheme val="minor"/>
      </rPr>
      <t>现</t>
    </r>
    <r>
      <rPr>
        <sz val="11"/>
        <rFont val="ＭＳ Ｐゴシック"/>
        <family val="3"/>
        <charset val="128"/>
        <scheme val="minor"/>
      </rPr>
      <t>娜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</si>
  <si>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</si>
  <si>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赛</t>
    </r>
    <r>
      <rPr>
        <sz val="11"/>
        <rFont val="ＭＳ Ｐゴシック"/>
        <family val="3"/>
        <charset val="128"/>
        <scheme val="minor"/>
      </rPr>
      <t>池荷花</t>
    </r>
  </si>
  <si>
    <r>
      <t>四川</t>
    </r>
    <r>
      <rPr>
        <sz val="11"/>
        <rFont val="ＭＳ Ｐゴシック"/>
        <family val="3"/>
        <charset val="134"/>
        <scheme val="minor"/>
      </rPr>
      <t>赛</t>
    </r>
    <r>
      <rPr>
        <sz val="11"/>
        <rFont val="ＭＳ Ｐゴシック"/>
        <family val="3"/>
        <charset val="128"/>
        <scheme val="minor"/>
      </rPr>
      <t>池酒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</si>
  <si>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威士忌; 果酒(含酒精);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黄酒</t>
    </r>
  </si>
  <si>
    <r>
      <rPr>
        <sz val="11"/>
        <rFont val="ＭＳ Ｐゴシック"/>
        <family val="3"/>
        <charset val="134"/>
        <scheme val="minor"/>
      </rPr>
      <t>环</t>
    </r>
    <r>
      <rPr>
        <sz val="11"/>
        <rFont val="ＭＳ Ｐゴシック"/>
        <family val="3"/>
        <charset val="128"/>
        <scheme val="minor"/>
      </rPr>
      <t>球佳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</si>
  <si>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五加皮酒(中国混合烈酒); 开胃酒;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的白酒; 白干酒(中国白酒); 白酒; 蒸煮提取物(利口酒和烈酒);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</si>
  <si>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杭州快客达信息技</t>
    </r>
    <r>
      <rPr>
        <sz val="11"/>
        <rFont val="ＭＳ Ｐゴシック"/>
        <family val="3"/>
        <charset val="134"/>
        <scheme val="minor"/>
      </rPr>
      <t>术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</si>
  <si>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食用酒精; 餐后酒(利口酒和烈酒); 黄酒</t>
    </r>
  </si>
  <si>
    <r>
      <t>裕</t>
    </r>
    <r>
      <rPr>
        <sz val="11"/>
        <rFont val="ＭＳ Ｐゴシック"/>
        <family val="3"/>
        <charset val="134"/>
        <scheme val="minor"/>
      </rPr>
      <t>贡</t>
    </r>
    <r>
      <rPr>
        <sz val="11"/>
        <rFont val="ＭＳ Ｐゴシック"/>
        <family val="3"/>
        <charset val="128"/>
        <scheme val="minor"/>
      </rPr>
      <t>(广州)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</si>
  <si>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</t>
    </r>
  </si>
  <si>
    <r>
      <t>早安酒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(深圳)集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</si>
  <si>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白葡萄酒;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</si>
  <si>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沐泳森(重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)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</si>
  <si>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>祝云</t>
    </r>
    <r>
      <rPr>
        <sz val="11"/>
        <rFont val="ＭＳ Ｐゴシック"/>
        <family val="3"/>
        <charset val="134"/>
        <scheme val="minor"/>
      </rPr>
      <t>凯</t>
    </r>
  </si>
  <si>
    <r>
      <t xml:space="preserve"> 含酒精的气泡水;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</si>
  <si>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今桂</t>
    </r>
    <r>
      <rPr>
        <sz val="11"/>
        <rFont val="ＭＳ Ｐゴシック"/>
        <family val="3"/>
        <charset val="134"/>
        <scheme val="minor"/>
      </rPr>
      <t>桥</t>
    </r>
  </si>
  <si>
    <r>
      <t xml:space="preserve"> 伏特加酒; 威士忌;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</si>
  <si>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抚</t>
    </r>
    <r>
      <rPr>
        <sz val="11"/>
        <rFont val="ＭＳ Ｐゴシック"/>
        <family val="3"/>
        <charset val="128"/>
        <scheme val="minor"/>
      </rPr>
      <t>春庭</t>
    </r>
  </si>
  <si>
    <r>
      <t>河南国蒲</t>
    </r>
    <r>
      <rPr>
        <sz val="11"/>
        <rFont val="ＭＳ Ｐゴシック"/>
        <family val="3"/>
        <charset val="134"/>
        <scheme val="minor"/>
      </rPr>
      <t>进</t>
    </r>
    <r>
      <rPr>
        <sz val="11"/>
        <rFont val="ＭＳ Ｐゴシック"/>
        <family val="3"/>
        <charset val="128"/>
        <scheme val="minor"/>
      </rPr>
      <t>出口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</si>
  <si>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果酒; 汽酒;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露酒; 黄酒</t>
    </r>
  </si>
  <si>
    <r>
      <t>泉</t>
    </r>
    <r>
      <rPr>
        <sz val="11"/>
        <rFont val="ＭＳ Ｐゴシック"/>
        <family val="3"/>
        <charset val="134"/>
        <scheme val="minor"/>
      </rPr>
      <t>语</t>
    </r>
  </si>
  <si>
    <r>
      <t>阿卓酒</t>
    </r>
    <r>
      <rPr>
        <sz val="11"/>
        <rFont val="ＭＳ Ｐゴシック"/>
        <family val="3"/>
        <charset val="134"/>
        <scheme val="minor"/>
      </rPr>
      <t>馆</t>
    </r>
  </si>
  <si>
    <r>
      <t>杭州遥望网</t>
    </r>
    <r>
      <rPr>
        <sz val="11"/>
        <rFont val="ＭＳ Ｐゴシック"/>
        <family val="3"/>
        <charset val="134"/>
        <scheme val="minor"/>
      </rPr>
      <t>络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</si>
  <si>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开胃酒; 汽酒; 清酒(日本米酒);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</si>
  <si>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托雷欧利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</si>
  <si>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苦艾酒; 葡萄酒; 起泡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</t>
    </r>
  </si>
  <si>
    <r>
      <t>情景酒 福寿与天</t>
    </r>
    <r>
      <rPr>
        <sz val="11"/>
        <rFont val="ＭＳ Ｐゴシック"/>
        <family val="3"/>
        <charset val="134"/>
        <scheme val="minor"/>
      </rPr>
      <t>齐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</si>
  <si>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</si>
  <si>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广州米文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</si>
  <si>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</si>
  <si>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皇品</t>
    </r>
    <r>
      <rPr>
        <sz val="11"/>
        <rFont val="ＭＳ Ｐゴシック"/>
        <family val="3"/>
        <charset val="134"/>
        <scheme val="minor"/>
      </rPr>
      <t>贡</t>
    </r>
    <r>
      <rPr>
        <sz val="11"/>
        <rFont val="ＭＳ Ｐゴシック"/>
        <family val="3"/>
        <charset val="128"/>
        <scheme val="minor"/>
      </rPr>
      <t>酒</t>
    </r>
  </si>
  <si>
    <r>
      <t>安徽金口酒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</si>
  <si>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果酒(含酒精); 烈酒;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</si>
  <si>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氲</t>
    </r>
    <r>
      <rPr>
        <sz val="11"/>
        <rFont val="ＭＳ Ｐゴシック"/>
        <family val="3"/>
        <charset val="128"/>
        <scheme val="minor"/>
      </rPr>
      <t>莱金</t>
    </r>
    <r>
      <rPr>
        <sz val="11"/>
        <rFont val="ＭＳ Ｐゴシック"/>
        <family val="3"/>
        <charset val="134"/>
        <scheme val="minor"/>
      </rPr>
      <t>钱</t>
    </r>
    <r>
      <rPr>
        <sz val="11"/>
        <rFont val="ＭＳ Ｐゴシック"/>
        <family val="3"/>
        <charset val="128"/>
        <scheme val="minor"/>
      </rPr>
      <t>窖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</si>
  <si>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阳市</t>
    </r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山湖区金</t>
    </r>
    <r>
      <rPr>
        <sz val="11"/>
        <rFont val="ＭＳ Ｐゴシック"/>
        <family val="3"/>
        <charset val="134"/>
        <scheme val="minor"/>
      </rPr>
      <t>钱</t>
    </r>
    <r>
      <rPr>
        <sz val="11"/>
        <rFont val="ＭＳ Ｐゴシック"/>
        <family val="3"/>
        <charset val="128"/>
        <scheme val="minor"/>
      </rPr>
      <t>窖酒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</si>
  <si>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威士忌; 果酒(含酒精);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</si>
  <si>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中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慈善</t>
    </r>
    <r>
      <rPr>
        <sz val="11"/>
        <rFont val="ＭＳ Ｐゴシック"/>
        <family val="3"/>
        <charset val="134"/>
        <scheme val="minor"/>
      </rPr>
      <t>总</t>
    </r>
    <r>
      <rPr>
        <sz val="11"/>
        <rFont val="ＭＳ Ｐゴシック"/>
        <family val="3"/>
        <charset val="128"/>
        <scheme val="minor"/>
      </rPr>
      <t>会</t>
    </r>
  </si>
  <si>
    <r>
      <t xml:space="preserve"> 开胃酒; 果酒(含酒精);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</si>
  <si>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蜀酒祥</t>
    </r>
    <r>
      <rPr>
        <sz val="11"/>
        <rFont val="ＭＳ Ｐゴシック"/>
        <family val="3"/>
        <charset val="134"/>
        <scheme val="minor"/>
      </rPr>
      <t>龙</t>
    </r>
  </si>
  <si>
    <r>
      <t>宜</t>
    </r>
    <r>
      <rPr>
        <sz val="11"/>
        <rFont val="ＭＳ Ｐゴシック"/>
        <family val="3"/>
        <charset val="134"/>
        <scheme val="minor"/>
      </rPr>
      <t>宾</t>
    </r>
    <r>
      <rPr>
        <sz val="11"/>
        <rFont val="ＭＳ Ｐゴシック"/>
        <family val="3"/>
        <charset val="128"/>
        <scheme val="minor"/>
      </rPr>
      <t>市何山融川商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</si>
  <si>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>能寿</t>
    </r>
    <r>
      <rPr>
        <sz val="11"/>
        <rFont val="ＭＳ Ｐゴシック"/>
        <family val="3"/>
        <charset val="134"/>
        <scheme val="minor"/>
      </rPr>
      <t>贡</t>
    </r>
  </si>
  <si>
    <r>
      <t>河南</t>
    </r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香</t>
    </r>
    <r>
      <rPr>
        <sz val="11"/>
        <rFont val="ＭＳ Ｐゴシック"/>
        <family val="3"/>
        <charset val="134"/>
        <scheme val="minor"/>
      </rPr>
      <t>阁</t>
    </r>
    <r>
      <rPr>
        <sz val="11"/>
        <rFont val="ＭＳ Ｐゴシック"/>
        <family val="3"/>
        <charset val="128"/>
        <scheme val="minor"/>
      </rPr>
      <t>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播有限公司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</si>
  <si>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苹果酒; 葡萄酒; 黄酒</t>
    </r>
  </si>
  <si>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丰名</t>
    </r>
  </si>
  <si>
    <r>
      <t>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丰酒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</si>
  <si>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</si>
  <si>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食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</si>
  <si>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胤丰食品有限公司</t>
    </r>
  </si>
  <si>
    <r>
      <t>北京智漫商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管理有限公司</t>
    </r>
  </si>
  <si>
    <r>
      <t>甄国</t>
    </r>
    <r>
      <rPr>
        <sz val="11"/>
        <rFont val="ＭＳ Ｐゴシック"/>
        <family val="3"/>
        <charset val="134"/>
        <scheme val="minor"/>
      </rPr>
      <t>华</t>
    </r>
  </si>
  <si>
    <r>
      <t>玉</t>
    </r>
    <r>
      <rPr>
        <sz val="11"/>
        <rFont val="ＭＳ Ｐゴシック"/>
        <family val="3"/>
        <charset val="134"/>
        <scheme val="minor"/>
      </rPr>
      <t>壶</t>
    </r>
    <r>
      <rPr>
        <sz val="11"/>
        <rFont val="ＭＳ Ｐゴシック"/>
        <family val="3"/>
        <charset val="128"/>
        <scheme val="minor"/>
      </rPr>
      <t>董</t>
    </r>
  </si>
  <si>
    <r>
      <t>御</t>
    </r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海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</si>
  <si>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百</t>
    </r>
    <r>
      <rPr>
        <sz val="11"/>
        <rFont val="ＭＳ Ｐゴシック"/>
        <family val="3"/>
        <charset val="134"/>
        <scheme val="minor"/>
      </rPr>
      <t>扬</t>
    </r>
    <r>
      <rPr>
        <sz val="11"/>
        <rFont val="ＭＳ Ｐゴシック"/>
        <family val="3"/>
        <charset val="128"/>
        <scheme val="minor"/>
      </rPr>
      <t>科技服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</si>
  <si>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尼瓦(以甘蔗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食用酒精; 黄酒</t>
    </r>
  </si>
  <si>
    <r>
      <t>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市古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液酒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</si>
  <si>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用烈酒; 高粱酒; 黄酒</t>
    </r>
  </si>
  <si>
    <r>
      <t>袁</t>
    </r>
    <r>
      <rPr>
        <sz val="11"/>
        <rFont val="ＭＳ Ｐゴシック"/>
        <family val="3"/>
        <charset val="134"/>
        <scheme val="minor"/>
      </rPr>
      <t>鸣</t>
    </r>
  </si>
  <si>
    <r>
      <t xml:space="preserve"> 利口酒; 威士忌; 开胃酒; 果酒;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</si>
  <si>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吴氏太牛(湖北)信息技</t>
    </r>
    <r>
      <rPr>
        <sz val="11"/>
        <rFont val="ＭＳ Ｐゴシック"/>
        <family val="3"/>
        <charset val="134"/>
        <scheme val="minor"/>
      </rPr>
      <t>术</t>
    </r>
    <r>
      <rPr>
        <sz val="11"/>
        <rFont val="ＭＳ Ｐゴシック"/>
        <family val="3"/>
        <charset val="128"/>
        <scheme val="minor"/>
      </rPr>
      <t>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</si>
  <si>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>阿</t>
    </r>
    <r>
      <rPr>
        <sz val="11"/>
        <rFont val="ＭＳ Ｐゴシック"/>
        <family val="3"/>
        <charset val="134"/>
        <scheme val="minor"/>
      </rPr>
      <t>图</t>
    </r>
    <r>
      <rPr>
        <sz val="11"/>
        <rFont val="ＭＳ Ｐゴシック"/>
        <family val="3"/>
        <charset val="128"/>
        <scheme val="minor"/>
      </rPr>
      <t>尼斯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易管理服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一人有限公司</t>
    </r>
  </si>
  <si>
    <r>
      <t xml:space="preserve"> 伏特加酒;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朗姆酒; 清酒(日本米酒);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</si>
  <si>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山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高益</t>
    </r>
    <r>
      <rPr>
        <sz val="11"/>
        <rFont val="ＭＳ Ｐゴシック"/>
        <family val="3"/>
        <charset val="134"/>
        <scheme val="minor"/>
      </rPr>
      <t>农乐</t>
    </r>
    <r>
      <rPr>
        <sz val="11"/>
        <rFont val="ＭＳ Ｐゴシック"/>
        <family val="3"/>
        <charset val="128"/>
        <scheme val="minor"/>
      </rPr>
      <t>种养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民</t>
    </r>
    <r>
      <rPr>
        <sz val="11"/>
        <rFont val="ＭＳ Ｐゴシック"/>
        <family val="3"/>
        <charset val="134"/>
        <scheme val="minor"/>
      </rPr>
      <t>专业</t>
    </r>
    <r>
      <rPr>
        <sz val="11"/>
        <rFont val="ＭＳ Ｐゴシック"/>
        <family val="3"/>
        <charset val="128"/>
        <scheme val="minor"/>
      </rPr>
      <t>合作社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</si>
  <si>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甜果酒; 甜酒;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</si>
  <si>
    <r>
      <rPr>
        <sz val="11"/>
        <rFont val="ＭＳ Ｐゴシック"/>
        <family val="3"/>
        <charset val="134"/>
        <scheme val="minor"/>
      </rPr>
      <t>钱</t>
    </r>
    <r>
      <rPr>
        <sz val="11"/>
        <rFont val="ＭＳ Ｐゴシック"/>
        <family val="3"/>
        <charset val="128"/>
        <scheme val="minor"/>
      </rPr>
      <t>冠佐</t>
    </r>
  </si>
  <si>
    <r>
      <t xml:space="preserve"> 威士忌; 开胃酒;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</si>
  <si>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朗</t>
    </r>
    <r>
      <rPr>
        <sz val="11"/>
        <rFont val="ＭＳ Ｐゴシック"/>
        <family val="3"/>
        <charset val="134"/>
        <scheme val="minor"/>
      </rPr>
      <t>热</t>
    </r>
    <r>
      <rPr>
        <sz val="11"/>
        <rFont val="ＭＳ Ｐゴシック"/>
        <family val="3"/>
        <charset val="128"/>
        <scheme val="minor"/>
      </rPr>
      <t>酒堡</t>
    </r>
  </si>
  <si>
    <r>
      <rPr>
        <sz val="11"/>
        <rFont val="ＭＳ Ｐゴシック"/>
        <family val="3"/>
        <charset val="134"/>
        <scheme val="minor"/>
      </rPr>
      <t>绿</t>
    </r>
    <r>
      <rPr>
        <sz val="11"/>
        <rFont val="ＭＳ Ｐゴシック"/>
        <family val="3"/>
        <charset val="128"/>
        <scheme val="minor"/>
      </rPr>
      <t>基</t>
    </r>
    <r>
      <rPr>
        <sz val="11"/>
        <rFont val="ＭＳ Ｐゴシック"/>
        <family val="3"/>
        <charset val="134"/>
        <scheme val="minor"/>
      </rPr>
      <t>拥创</t>
    </r>
  </si>
  <si>
    <r>
      <t>安徽</t>
    </r>
    <r>
      <rPr>
        <sz val="11"/>
        <rFont val="ＭＳ Ｐゴシック"/>
        <family val="3"/>
        <charset val="134"/>
        <scheme val="minor"/>
      </rPr>
      <t>凯</t>
    </r>
    <r>
      <rPr>
        <sz val="11"/>
        <rFont val="ＭＳ Ｐゴシック"/>
        <family val="3"/>
        <charset val="128"/>
        <scheme val="minor"/>
      </rPr>
      <t>旋</t>
    </r>
    <r>
      <rPr>
        <sz val="11"/>
        <rFont val="ＭＳ Ｐゴシック"/>
        <family val="3"/>
        <charset val="134"/>
        <scheme val="minor"/>
      </rPr>
      <t>岁</t>
    </r>
    <r>
      <rPr>
        <sz val="11"/>
        <rFont val="ＭＳ Ｐゴシック"/>
        <family val="3"/>
        <charset val="128"/>
        <scheme val="minor"/>
      </rPr>
      <t>月商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</si>
  <si>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干型苹果酒;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果酒(含酒精); 梨酒;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</si>
  <si>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</si>
  <si>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江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美</t>
    </r>
  </si>
  <si>
    <r>
      <t>袁小</t>
    </r>
    <r>
      <rPr>
        <sz val="11"/>
        <rFont val="ＭＳ Ｐゴシック"/>
        <family val="3"/>
        <charset val="134"/>
        <scheme val="minor"/>
      </rPr>
      <t>凤</t>
    </r>
  </si>
  <si>
    <r>
      <t xml:space="preserve"> 开胃酒;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</si>
  <si>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云之</t>
    </r>
    <r>
      <rPr>
        <sz val="11"/>
        <rFont val="ＭＳ Ｐゴシック"/>
        <family val="3"/>
        <charset val="134"/>
        <scheme val="minor"/>
      </rPr>
      <t>农</t>
    </r>
  </si>
  <si>
    <r>
      <t>上海徼妙企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</si>
  <si>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汽酒; 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</si>
  <si>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赣</t>
    </r>
    <r>
      <rPr>
        <sz val="11"/>
        <rFont val="ＭＳ Ｐゴシック"/>
        <family val="3"/>
        <charset val="128"/>
        <scheme val="minor"/>
      </rPr>
      <t>州虔韵食品有限公司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</si>
  <si>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白酒; 米酒; 苹果酒; 茴香酒(利口酒); 葡萄酒;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</si>
  <si>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颐</t>
    </r>
    <r>
      <rPr>
        <sz val="11"/>
        <rFont val="ＭＳ Ｐゴシック"/>
        <family val="3"/>
        <charset val="128"/>
        <scheme val="minor"/>
      </rPr>
      <t>醉花</t>
    </r>
    <r>
      <rPr>
        <sz val="11"/>
        <rFont val="ＭＳ Ｐゴシック"/>
        <family val="3"/>
        <charset val="134"/>
        <scheme val="minor"/>
      </rPr>
      <t>间</t>
    </r>
  </si>
  <si>
    <r>
      <t>上海</t>
    </r>
    <r>
      <rPr>
        <sz val="11"/>
        <rFont val="ＭＳ Ｐゴシック"/>
        <family val="3"/>
        <charset val="134"/>
        <scheme val="minor"/>
      </rPr>
      <t>颐</t>
    </r>
    <r>
      <rPr>
        <sz val="11"/>
        <rFont val="ＭＳ Ｐゴシック"/>
        <family val="3"/>
        <charset val="128"/>
        <scheme val="minor"/>
      </rPr>
      <t>履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</si>
  <si>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梅酒;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</si>
  <si>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平</t>
    </r>
    <r>
      <rPr>
        <sz val="11"/>
        <rFont val="ＭＳ Ｐゴシック"/>
        <family val="3"/>
        <charset val="134"/>
        <scheme val="minor"/>
      </rPr>
      <t>顶</t>
    </r>
    <r>
      <rPr>
        <sz val="11"/>
        <rFont val="ＭＳ Ｐゴシック"/>
        <family val="3"/>
        <charset val="128"/>
        <scheme val="minor"/>
      </rPr>
      <t>山市万才商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</si>
  <si>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</si>
  <si>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零幺零(北京)文化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播有限公司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</si>
  <si>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白干酒(中国白酒); 白酒;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</si>
  <si>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衡水禹德酒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</si>
  <si>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没收</t>
    </r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光</t>
    </r>
  </si>
  <si>
    <r>
      <t xml:space="preserve"> 伏特加酒;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</si>
  <si>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格</t>
    </r>
    <r>
      <rPr>
        <sz val="11"/>
        <rFont val="ＭＳ Ｐゴシック"/>
        <family val="3"/>
        <charset val="134"/>
        <scheme val="minor"/>
      </rPr>
      <t>兰娅</t>
    </r>
  </si>
  <si>
    <r>
      <t>袁</t>
    </r>
    <r>
      <rPr>
        <sz val="11"/>
        <rFont val="ＭＳ Ｐゴシック"/>
        <family val="3"/>
        <charset val="134"/>
        <scheme val="minor"/>
      </rPr>
      <t>凤连</t>
    </r>
  </si>
  <si>
    <r>
      <t xml:space="preserve"> 威士忌; 开胃酒;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</si>
  <si>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铭泸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</si>
  <si>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金</t>
    </r>
    <r>
      <rPr>
        <sz val="11"/>
        <rFont val="ＭＳ Ｐゴシック"/>
        <family val="3"/>
        <charset val="134"/>
        <scheme val="minor"/>
      </rPr>
      <t>环</t>
    </r>
  </si>
  <si>
    <r>
      <t>横世</t>
    </r>
    <r>
      <rPr>
        <sz val="11"/>
        <rFont val="ＭＳ Ｐゴシック"/>
        <family val="3"/>
        <charset val="134"/>
        <scheme val="minor"/>
      </rPr>
      <t>贡</t>
    </r>
    <r>
      <rPr>
        <sz val="11"/>
        <rFont val="ＭＳ Ｐゴシック"/>
        <family val="3"/>
        <charset val="128"/>
        <scheme val="minor"/>
      </rPr>
      <t>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</si>
  <si>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州横世</t>
    </r>
    <r>
      <rPr>
        <sz val="11"/>
        <rFont val="ＭＳ Ｐゴシック"/>
        <family val="3"/>
        <charset val="134"/>
        <scheme val="minor"/>
      </rPr>
      <t>创举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</si>
  <si>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金珍</t>
    </r>
    <r>
      <rPr>
        <sz val="11"/>
        <rFont val="ＭＳ Ｐゴシック"/>
        <family val="3"/>
        <charset val="134"/>
        <scheme val="minor"/>
      </rPr>
      <t>业</t>
    </r>
  </si>
  <si>
    <r>
      <t>北京裕和歆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有机</t>
    </r>
    <r>
      <rPr>
        <sz val="11"/>
        <rFont val="ＭＳ Ｐゴシック"/>
        <family val="3"/>
        <charset val="134"/>
        <scheme val="minor"/>
      </rPr>
      <t>农业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</si>
  <si>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</si>
  <si>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t>四川唐朝老窖(集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)有限公司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</si>
  <si>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蒸煮提取物(利口酒和烈酒); 青稞酒; 高粱酒</t>
    </r>
  </si>
  <si>
    <r>
      <t>匠</t>
    </r>
    <r>
      <rPr>
        <sz val="11"/>
        <rFont val="ＭＳ Ｐゴシック"/>
        <family val="3"/>
        <charset val="134"/>
        <scheme val="minor"/>
      </rPr>
      <t>远</t>
    </r>
  </si>
  <si>
    <r>
      <t>甘</t>
    </r>
    <r>
      <rPr>
        <sz val="11"/>
        <rFont val="ＭＳ Ｐゴシック"/>
        <family val="3"/>
        <charset val="134"/>
        <scheme val="minor"/>
      </rPr>
      <t>肃</t>
    </r>
    <r>
      <rPr>
        <sz val="11"/>
        <rFont val="ＭＳ Ｐゴシック"/>
        <family val="3"/>
        <charset val="128"/>
        <scheme val="minor"/>
      </rPr>
      <t>佳</t>
    </r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</si>
  <si>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</si>
  <si>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州崇熹酒</t>
    </r>
    <r>
      <rPr>
        <sz val="11"/>
        <rFont val="ＭＳ Ｐゴシック"/>
        <family val="3"/>
        <charset val="134"/>
        <scheme val="minor"/>
      </rPr>
      <t>业销</t>
    </r>
    <r>
      <rPr>
        <sz val="11"/>
        <rFont val="ＭＳ Ｐゴシック"/>
        <family val="3"/>
        <charset val="128"/>
        <scheme val="minor"/>
      </rPr>
      <t>售有限公司</t>
    </r>
  </si>
  <si>
    <r>
      <t>佬九</t>
    </r>
    <r>
      <rPr>
        <sz val="11"/>
        <rFont val="ＭＳ Ｐゴシック"/>
        <family val="3"/>
        <charset val="134"/>
        <scheme val="minor"/>
      </rPr>
      <t>顺</t>
    </r>
  </si>
  <si>
    <r>
      <t>佳康食品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</si>
  <si>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rPr>
        <sz val="11"/>
        <rFont val="ＭＳ Ｐゴシック"/>
        <family val="3"/>
        <charset val="134"/>
        <scheme val="minor"/>
      </rPr>
      <t>锦</t>
    </r>
    <r>
      <rPr>
        <sz val="11"/>
        <rFont val="ＭＳ Ｐゴシック"/>
        <family val="3"/>
        <charset val="128"/>
        <scheme val="minor"/>
      </rPr>
      <t>衣豪</t>
    </r>
    <r>
      <rPr>
        <sz val="11"/>
        <rFont val="ＭＳ Ｐゴシック"/>
        <family val="3"/>
        <charset val="134"/>
        <scheme val="minor"/>
      </rPr>
      <t>门</t>
    </r>
  </si>
  <si>
    <r>
      <t>吴俊</t>
    </r>
    <r>
      <rPr>
        <sz val="11"/>
        <rFont val="ＭＳ Ｐゴシック"/>
        <family val="3"/>
        <charset val="134"/>
        <scheme val="minor"/>
      </rPr>
      <t>凯</t>
    </r>
  </si>
  <si>
    <r>
      <t xml:space="preserve"> 利口酒; 开胃酒;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葡萄酒; 黄酒</t>
    </r>
  </si>
  <si>
    <r>
      <rPr>
        <sz val="11"/>
        <rFont val="ＭＳ Ｐゴシック"/>
        <family val="3"/>
        <charset val="134"/>
        <scheme val="minor"/>
      </rPr>
      <t>冯继</t>
    </r>
    <r>
      <rPr>
        <sz val="11"/>
        <rFont val="ＭＳ Ｐゴシック"/>
        <family val="3"/>
        <charset val="128"/>
        <scheme val="minor"/>
      </rPr>
      <t>光</t>
    </r>
  </si>
  <si>
    <r>
      <t>杭州新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品牌管理有限公司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</si>
  <si>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</si>
  <si>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至尊</t>
    </r>
    <r>
      <rPr>
        <sz val="11"/>
        <rFont val="ＭＳ Ｐゴシック"/>
        <family val="3"/>
        <charset val="134"/>
        <scheme val="minor"/>
      </rPr>
      <t>巅</t>
    </r>
  </si>
  <si>
    <r>
      <t>王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杰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</si>
  <si>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</si>
  <si>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吕</t>
    </r>
    <r>
      <rPr>
        <sz val="11"/>
        <rFont val="ＭＳ Ｐゴシック"/>
        <family val="3"/>
        <charset val="128"/>
        <scheme val="minor"/>
      </rPr>
      <t>月嫦</t>
    </r>
  </si>
  <si>
    <r>
      <rPr>
        <sz val="11"/>
        <rFont val="ＭＳ Ｐゴシック"/>
        <family val="3"/>
        <charset val="134"/>
        <scheme val="minor"/>
      </rPr>
      <t>钟</t>
    </r>
    <r>
      <rPr>
        <sz val="11"/>
        <rFont val="ＭＳ Ｐゴシック"/>
        <family val="3"/>
        <charset val="128"/>
        <scheme val="minor"/>
      </rPr>
      <t>健俊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</si>
  <si>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</si>
  <si>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rPr>
        <sz val="11"/>
        <rFont val="ＭＳ Ｐゴシック"/>
        <family val="3"/>
        <charset val="134"/>
        <scheme val="minor"/>
      </rPr>
      <t>净为贵</t>
    </r>
  </si>
  <si>
    <r>
      <t>天津市宝利祥和商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</si>
  <si>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俭为贵</t>
    </r>
  </si>
  <si>
    <r>
      <t>上海酒来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</si>
  <si>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果酒; 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白葡萄酒; 白酒; 米酒; 葡萄酒; 黄酒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</si>
  <si>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道</t>
    </r>
    <r>
      <rPr>
        <sz val="11"/>
        <rFont val="ＭＳ Ｐゴシック"/>
        <family val="3"/>
        <charset val="134"/>
        <scheme val="minor"/>
      </rPr>
      <t>琼</t>
    </r>
    <r>
      <rPr>
        <sz val="11"/>
        <rFont val="ＭＳ Ｐゴシック"/>
        <family val="3"/>
        <charset val="128"/>
        <scheme val="minor"/>
      </rPr>
      <t>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</si>
  <si>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</si>
  <si>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rPr>
        <sz val="11"/>
        <rFont val="ＭＳ Ｐゴシック"/>
        <family val="3"/>
        <charset val="134"/>
        <scheme val="minor"/>
      </rPr>
      <t>济</t>
    </r>
    <r>
      <rPr>
        <sz val="11"/>
        <rFont val="ＭＳ Ｐゴシック"/>
        <family val="3"/>
        <charset val="128"/>
        <scheme val="minor"/>
      </rPr>
      <t>界</t>
    </r>
  </si>
  <si>
    <r>
      <t>上海休比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</si>
  <si>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玉</t>
    </r>
    <r>
      <rPr>
        <sz val="11"/>
        <rFont val="ＭＳ Ｐゴシック"/>
        <family val="3"/>
        <charset val="134"/>
        <scheme val="minor"/>
      </rPr>
      <t>锜</t>
    </r>
    <r>
      <rPr>
        <sz val="11"/>
        <rFont val="ＭＳ Ｐゴシック"/>
        <family val="3"/>
        <charset val="128"/>
        <scheme val="minor"/>
      </rPr>
      <t>源</t>
    </r>
  </si>
  <si>
    <r>
      <t xml:space="preserve"> 威士忌; 果酒;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苹果酒; 葡萄酒; 黄酒</t>
    </r>
  </si>
  <si>
    <r>
      <rPr>
        <sz val="11"/>
        <rFont val="ＭＳ Ｐゴシック"/>
        <family val="3"/>
        <charset val="134"/>
        <scheme val="minor"/>
      </rPr>
      <t>闻</t>
    </r>
    <r>
      <rPr>
        <sz val="11"/>
        <rFont val="ＭＳ Ｐゴシック"/>
        <family val="3"/>
        <charset val="128"/>
        <scheme val="minor"/>
      </rPr>
      <t>草</t>
    </r>
    <r>
      <rPr>
        <sz val="11"/>
        <rFont val="ＭＳ Ｐゴシック"/>
        <family val="3"/>
        <charset val="134"/>
        <scheme val="minor"/>
      </rPr>
      <t>纲</t>
    </r>
    <r>
      <rPr>
        <sz val="11"/>
        <rFont val="ＭＳ Ｐゴシック"/>
        <family val="3"/>
        <charset val="128"/>
        <scheme val="minor"/>
      </rPr>
      <t>目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</si>
  <si>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中和至养堂控股集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</si>
  <si>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食用酒精;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</si>
  <si>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汕</t>
    </r>
    <r>
      <rPr>
        <sz val="11"/>
        <rFont val="ＭＳ Ｐゴシック"/>
        <family val="3"/>
        <charset val="134"/>
        <scheme val="minor"/>
      </rPr>
      <t>头</t>
    </r>
    <r>
      <rPr>
        <sz val="11"/>
        <rFont val="ＭＳ Ｐゴシック"/>
        <family val="3"/>
        <charset val="128"/>
        <scheme val="minor"/>
      </rPr>
      <t>市昇</t>
    </r>
    <r>
      <rPr>
        <sz val="11"/>
        <rFont val="ＭＳ Ｐゴシック"/>
        <family val="3"/>
        <charset val="134"/>
        <scheme val="minor"/>
      </rPr>
      <t>晖贸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</si>
  <si>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水果汽酒; 汽酒;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甜酒;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</si>
  <si>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美好控股集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</si>
  <si>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</si>
  <si>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湖北秋怡</t>
    </r>
    <r>
      <rPr>
        <sz val="11"/>
        <rFont val="ＭＳ Ｐゴシック"/>
        <family val="3"/>
        <charset val="134"/>
        <scheme val="minor"/>
      </rPr>
      <t>农业发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</si>
  <si>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开胃酒; 果酒;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</si>
  <si>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t>野趣</t>
    </r>
    <r>
      <rPr>
        <sz val="11"/>
        <rFont val="ＭＳ Ｐゴシック"/>
        <family val="3"/>
        <charset val="134"/>
        <scheme val="minor"/>
      </rPr>
      <t>轻</t>
    </r>
    <r>
      <rPr>
        <sz val="11"/>
        <rFont val="ＭＳ Ｐゴシック"/>
        <family val="3"/>
        <charset val="128"/>
        <scheme val="minor"/>
      </rPr>
      <t>拾</t>
    </r>
  </si>
  <si>
    <r>
      <t>合肥品火供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</si>
  <si>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果酒(含酒精); 汽酒; 清酒(日本米酒);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</si>
  <si>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杭州欧川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</si>
  <si>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威士忌;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苹果酒; 葡萄酒; 薄荷酒;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</si>
  <si>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威士忌; 开胃酒;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蜂蜜酒; 青稞酒;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</si>
  <si>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蔺</t>
    </r>
    <r>
      <rPr>
        <sz val="11"/>
        <rFont val="ＭＳ Ｐゴシック"/>
        <family val="3"/>
        <charset val="128"/>
        <scheme val="minor"/>
      </rPr>
      <t>萃川府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</si>
  <si>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阳</t>
    </r>
    <r>
      <rPr>
        <sz val="11"/>
        <rFont val="ＭＳ Ｐゴシック"/>
        <family val="3"/>
        <charset val="134"/>
        <scheme val="minor"/>
      </rPr>
      <t>鸿</t>
    </r>
    <r>
      <rPr>
        <sz val="11"/>
        <rFont val="ＭＳ Ｐゴシック"/>
        <family val="3"/>
        <charset val="128"/>
        <scheme val="minor"/>
      </rPr>
      <t>辰餐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</si>
  <si>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</si>
  <si>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岳</t>
    </r>
  </si>
  <si>
    <r>
      <t>李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波</t>
    </r>
  </si>
  <si>
    <r>
      <t>妃</t>
    </r>
    <r>
      <rPr>
        <sz val="11"/>
        <rFont val="ＭＳ Ｐゴシック"/>
        <family val="3"/>
        <charset val="134"/>
        <scheme val="minor"/>
      </rPr>
      <t>传</t>
    </r>
  </si>
  <si>
    <r>
      <t>梦</t>
    </r>
    <r>
      <rPr>
        <sz val="11"/>
        <rFont val="ＭＳ Ｐゴシック"/>
        <family val="3"/>
        <charset val="134"/>
        <scheme val="minor"/>
      </rPr>
      <t>风华</t>
    </r>
  </si>
  <si>
    <r>
      <t>程付</t>
    </r>
    <r>
      <rPr>
        <sz val="11"/>
        <rFont val="ＭＳ Ｐゴシック"/>
        <family val="3"/>
        <charset val="134"/>
        <scheme val="minor"/>
      </rPr>
      <t>强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</si>
  <si>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</si>
  <si>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诗</t>
    </r>
    <r>
      <rPr>
        <sz val="11"/>
        <rFont val="ＭＳ Ｐゴシック"/>
        <family val="3"/>
        <charset val="128"/>
        <scheme val="minor"/>
      </rPr>
      <t>意大唐</t>
    </r>
  </si>
  <si>
    <r>
      <t>山西大唐酒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</si>
  <si>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</si>
  <si>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琼</t>
    </r>
    <r>
      <rPr>
        <sz val="11"/>
        <rFont val="ＭＳ Ｐゴシック"/>
        <family val="3"/>
        <charset val="128"/>
        <scheme val="minor"/>
      </rPr>
      <t>味久久</t>
    </r>
  </si>
  <si>
    <r>
      <t>海南</t>
    </r>
    <r>
      <rPr>
        <sz val="11"/>
        <rFont val="ＭＳ Ｐゴシック"/>
        <family val="3"/>
        <charset val="134"/>
        <scheme val="minor"/>
      </rPr>
      <t>琼</t>
    </r>
    <r>
      <rPr>
        <sz val="11"/>
        <rFont val="ＭＳ Ｐゴシック"/>
        <family val="3"/>
        <charset val="128"/>
        <scheme val="minor"/>
      </rPr>
      <t>味久久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</si>
  <si>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</si>
  <si>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黄</t>
    </r>
    <r>
      <rPr>
        <sz val="11"/>
        <rFont val="ＭＳ Ｐゴシック"/>
        <family val="3"/>
        <charset val="134"/>
        <scheme val="minor"/>
      </rPr>
      <t>鹤归</t>
    </r>
    <r>
      <rPr>
        <sz val="11"/>
        <rFont val="ＭＳ Ｐゴシック"/>
        <family val="3"/>
        <charset val="128"/>
        <scheme val="minor"/>
      </rPr>
      <t>来</t>
    </r>
  </si>
  <si>
    <r>
      <rPr>
        <sz val="11"/>
        <rFont val="ＭＳ Ｐゴシック"/>
        <family val="3"/>
        <charset val="134"/>
        <scheme val="minor"/>
      </rPr>
      <t>陈刚</t>
    </r>
  </si>
  <si>
    <r>
      <t xml:space="preserve"> 利口酒; 开胃酒;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</si>
  <si>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LUIGI ROCHELLE'S POETRY 路易</t>
    </r>
    <r>
      <rPr>
        <sz val="11"/>
        <rFont val="ＭＳ Ｐゴシック"/>
        <family val="3"/>
        <charset val="134"/>
        <scheme val="minor"/>
      </rPr>
      <t>劳诗</t>
    </r>
    <r>
      <rPr>
        <sz val="11"/>
        <rFont val="ＭＳ Ｐゴシック"/>
        <family val="3"/>
        <charset val="128"/>
        <scheme val="minor"/>
      </rPr>
      <t>莱</t>
    </r>
    <r>
      <rPr>
        <sz val="11"/>
        <rFont val="ＭＳ Ｐゴシック"/>
        <family val="3"/>
        <charset val="134"/>
        <scheme val="minor"/>
      </rPr>
      <t>诗</t>
    </r>
  </si>
  <si>
    <r>
      <t>石</t>
    </r>
    <r>
      <rPr>
        <sz val="11"/>
        <rFont val="ＭＳ Ｐゴシック"/>
        <family val="3"/>
        <charset val="134"/>
        <scheme val="minor"/>
      </rPr>
      <t>狮</t>
    </r>
    <r>
      <rPr>
        <sz val="11"/>
        <rFont val="ＭＳ Ｐゴシック"/>
        <family val="3"/>
        <charset val="128"/>
        <scheme val="minor"/>
      </rPr>
      <t>市欧喜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</si>
  <si>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孙</t>
    </r>
    <r>
      <rPr>
        <sz val="11"/>
        <rFont val="ＭＳ Ｐゴシック"/>
        <family val="3"/>
        <charset val="128"/>
        <scheme val="minor"/>
      </rPr>
      <t>荣超</t>
    </r>
  </si>
  <si>
    <r>
      <t xml:space="preserve">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</si>
  <si>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浆</t>
    </r>
    <r>
      <rPr>
        <sz val="11"/>
        <rFont val="ＭＳ Ｐゴシック"/>
        <family val="3"/>
        <charset val="128"/>
        <scheme val="minor"/>
      </rPr>
      <t>礼</t>
    </r>
  </si>
  <si>
    <r>
      <t>和</t>
    </r>
    <r>
      <rPr>
        <sz val="11"/>
        <rFont val="ＭＳ Ｐゴシック"/>
        <family val="3"/>
        <charset val="134"/>
        <scheme val="minor"/>
      </rPr>
      <t>锦莲</t>
    </r>
    <r>
      <rPr>
        <sz val="11"/>
        <rFont val="ＭＳ Ｐゴシック"/>
        <family val="3"/>
        <charset val="128"/>
        <scheme val="minor"/>
      </rPr>
      <t>花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</si>
  <si>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州聚盛昌食品有限公司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</si>
  <si>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青稞酒; 食用酒精; 黄酒</t>
    </r>
  </si>
  <si>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合久</t>
    </r>
  </si>
  <si>
    <r>
      <t>成都拓德</t>
    </r>
    <r>
      <rPr>
        <sz val="11"/>
        <rFont val="ＭＳ Ｐゴシック"/>
        <family val="3"/>
        <charset val="134"/>
        <scheme val="minor"/>
      </rPr>
      <t>营销</t>
    </r>
    <r>
      <rPr>
        <sz val="11"/>
        <rFont val="ＭＳ Ｐゴシック"/>
        <family val="3"/>
        <charset val="128"/>
        <scheme val="minor"/>
      </rPr>
      <t>策划有限公司</t>
    </r>
  </si>
  <si>
    <r>
      <t xml:space="preserve"> 利口酒;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</si>
  <si>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河南</t>
    </r>
    <r>
      <rPr>
        <sz val="11"/>
        <rFont val="ＭＳ Ｐゴシック"/>
        <family val="3"/>
        <charset val="134"/>
        <scheme val="minor"/>
      </rPr>
      <t>闹乐</t>
    </r>
    <r>
      <rPr>
        <sz val="11"/>
        <rFont val="ＭＳ Ｐゴシック"/>
        <family val="3"/>
        <charset val="128"/>
        <scheme val="minor"/>
      </rPr>
      <t>网</t>
    </r>
    <r>
      <rPr>
        <sz val="11"/>
        <rFont val="ＭＳ Ｐゴシック"/>
        <family val="3"/>
        <charset val="134"/>
        <scheme val="minor"/>
      </rPr>
      <t>络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</si>
  <si>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</si>
  <si>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rPr>
        <sz val="11"/>
        <rFont val="ＭＳ Ｐゴシック"/>
        <family val="3"/>
        <charset val="134"/>
        <scheme val="minor"/>
      </rPr>
      <t>龙鉴</t>
    </r>
  </si>
  <si>
    <r>
      <t>四川天地</t>
    </r>
    <r>
      <rPr>
        <sz val="11"/>
        <rFont val="ＭＳ Ｐゴシック"/>
        <family val="3"/>
        <charset val="134"/>
        <scheme val="minor"/>
      </rPr>
      <t>飘</t>
    </r>
    <r>
      <rPr>
        <sz val="11"/>
        <rFont val="ＭＳ Ｐゴシック"/>
        <family val="3"/>
        <charset val="128"/>
        <scheme val="minor"/>
      </rPr>
      <t>香投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</si>
  <si>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</si>
  <si>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阅</t>
    </r>
    <r>
      <rPr>
        <sz val="11"/>
        <rFont val="ＭＳ Ｐゴシック"/>
        <family val="3"/>
        <charset val="128"/>
        <scheme val="minor"/>
      </rPr>
      <t>世象</t>
    </r>
  </si>
  <si>
    <r>
      <t>伊</t>
    </r>
    <r>
      <rPr>
        <sz val="11"/>
        <rFont val="ＭＳ Ｐゴシック"/>
        <family val="3"/>
        <charset val="134"/>
        <scheme val="minor"/>
      </rPr>
      <t>贤</t>
    </r>
  </si>
  <si>
    <r>
      <rPr>
        <sz val="11"/>
        <rFont val="ＭＳ Ｐゴシック"/>
        <family val="3"/>
        <charset val="134"/>
        <scheme val="minor"/>
      </rPr>
      <t>绍兴</t>
    </r>
    <r>
      <rPr>
        <sz val="11"/>
        <rFont val="ＭＳ Ｐゴシック"/>
        <family val="3"/>
        <charset val="128"/>
        <scheme val="minor"/>
      </rPr>
      <t>市伊</t>
    </r>
    <r>
      <rPr>
        <sz val="11"/>
        <rFont val="ＭＳ Ｐゴシック"/>
        <family val="3"/>
        <charset val="134"/>
        <scheme val="minor"/>
      </rPr>
      <t>贤农业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</si>
  <si>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果酒(含酒精); 清酒(日本米酒);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青稞酒; 黄酒</t>
    </r>
  </si>
  <si>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小</t>
    </r>
    <r>
      <rPr>
        <sz val="11"/>
        <rFont val="ＭＳ Ｐゴシック"/>
        <family val="3"/>
        <charset val="134"/>
        <scheme val="minor"/>
      </rPr>
      <t>澜</t>
    </r>
  </si>
  <si>
    <r>
      <rPr>
        <sz val="11"/>
        <rFont val="ＭＳ Ｐゴシック"/>
        <family val="3"/>
        <charset val="134"/>
        <scheme val="minor"/>
      </rPr>
      <t>卢</t>
    </r>
    <r>
      <rPr>
        <sz val="11"/>
        <rFont val="ＭＳ Ｐゴシック"/>
        <family val="3"/>
        <charset val="128"/>
        <scheme val="minor"/>
      </rPr>
      <t>家汶</t>
    </r>
  </si>
  <si>
    <r>
      <t>梅州市合生融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文旅有限公司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</si>
  <si>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</si>
  <si>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黑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江建国酒厂有限公司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</si>
  <si>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葡萄酒; 葡萄酒;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</si>
  <si>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昆明松盟服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</si>
  <si>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米酒; 葡萄酒;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</si>
  <si>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颂湠</t>
    </r>
  </si>
  <si>
    <r>
      <t xml:space="preserve"> 威士忌; 朗姆酒;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白葡萄酒;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葡萄酒;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</si>
  <si>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无</t>
    </r>
    <r>
      <rPr>
        <sz val="11"/>
        <rFont val="ＭＳ Ｐゴシック"/>
        <family val="3"/>
        <charset val="134"/>
        <scheme val="minor"/>
      </rPr>
      <t>锡</t>
    </r>
    <r>
      <rPr>
        <sz val="11"/>
        <rFont val="ＭＳ Ｐゴシック"/>
        <family val="3"/>
        <charset val="128"/>
        <scheme val="minor"/>
      </rPr>
      <t>市利德</t>
    </r>
    <r>
      <rPr>
        <sz val="11"/>
        <rFont val="ＭＳ Ｐゴシック"/>
        <family val="3"/>
        <charset val="134"/>
        <scheme val="minor"/>
      </rPr>
      <t>华纸</t>
    </r>
    <r>
      <rPr>
        <sz val="11"/>
        <rFont val="ＭＳ Ｐゴシック"/>
        <family val="3"/>
        <charset val="128"/>
        <scheme val="minor"/>
      </rPr>
      <t>品有限公司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</si>
  <si>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</si>
  <si>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rPr>
        <sz val="11"/>
        <rFont val="ＭＳ Ｐゴシック"/>
        <family val="3"/>
        <charset val="134"/>
        <scheme val="minor"/>
      </rPr>
      <t>赣</t>
    </r>
    <r>
      <rPr>
        <sz val="11"/>
        <rFont val="ＭＳ Ｐゴシック"/>
        <family val="3"/>
        <charset val="128"/>
        <scheme val="minor"/>
      </rPr>
      <t>友家</t>
    </r>
  </si>
  <si>
    <r>
      <t>江西大</t>
    </r>
    <r>
      <rPr>
        <sz val="11"/>
        <rFont val="ＭＳ Ｐゴシック"/>
        <family val="3"/>
        <charset val="134"/>
        <scheme val="minor"/>
      </rPr>
      <t>赣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</si>
  <si>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朗姆酒; 果酒; 汽酒; 烈酒; 白酒; 苦味酒; 苦艾酒; 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制好的葡萄酒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 xml:space="preserve">尾酒;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</si>
  <si>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垦</t>
    </r>
    <r>
      <rPr>
        <sz val="11"/>
        <rFont val="ＭＳ Ｐゴシック"/>
        <family val="3"/>
        <charset val="128"/>
        <scheme val="minor"/>
      </rPr>
      <t>荒恋</t>
    </r>
  </si>
  <si>
    <r>
      <t>北京大荒名</t>
    </r>
    <r>
      <rPr>
        <sz val="11"/>
        <rFont val="ＭＳ Ｐゴシック"/>
        <family val="3"/>
        <charset val="134"/>
        <scheme val="minor"/>
      </rPr>
      <t>优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</si>
  <si>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>毛</t>
    </r>
    <r>
      <rPr>
        <sz val="11"/>
        <rFont val="ＭＳ Ｐゴシック"/>
        <family val="3"/>
        <charset val="134"/>
        <scheme val="minor"/>
      </rPr>
      <t>暨</t>
    </r>
  </si>
  <si>
    <r>
      <rPr>
        <sz val="11"/>
        <rFont val="ＭＳ Ｐゴシック"/>
        <family val="3"/>
        <charset val="134"/>
        <scheme val="minor"/>
      </rPr>
      <t>杨则军</t>
    </r>
  </si>
  <si>
    <r>
      <t>大理市海峰投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</si>
  <si>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</si>
  <si>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陕</t>
    </r>
    <r>
      <rPr>
        <sz val="11"/>
        <rFont val="ＭＳ Ｐゴシック"/>
        <family val="3"/>
        <charset val="128"/>
        <scheme val="minor"/>
      </rPr>
      <t>西君都好商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</si>
  <si>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</si>
  <si>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安徽云井坊酒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</si>
  <si>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含酒精的充气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品; 开胃酒; 果酒; 白酒; 米酒; 葡萄酒; 蒸煮提取物(利口酒和烈酒);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</si>
  <si>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江淮</t>
    </r>
    <r>
      <rPr>
        <sz val="11"/>
        <rFont val="ＭＳ Ｐゴシック"/>
        <family val="3"/>
        <charset val="134"/>
        <scheme val="minor"/>
      </rPr>
      <t>苏</t>
    </r>
  </si>
  <si>
    <r>
      <t xml:space="preserve">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</si>
  <si>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沽源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大汗御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</si>
  <si>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烈性干酒;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高粱酒; 黄酒</t>
    </r>
  </si>
  <si>
    <r>
      <rPr>
        <sz val="11"/>
        <rFont val="ＭＳ Ｐゴシック"/>
        <family val="3"/>
        <charset val="134"/>
        <scheme val="minor"/>
      </rPr>
      <t>邹鲁</t>
    </r>
    <r>
      <rPr>
        <sz val="11"/>
        <rFont val="ＭＳ Ｐゴシック"/>
        <family val="3"/>
        <charset val="128"/>
        <scheme val="minor"/>
      </rPr>
      <t>瞻岳</t>
    </r>
  </si>
  <si>
    <r>
      <t>深圳法莱盛咨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</si>
  <si>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伏特加酒;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</t>
    </r>
  </si>
  <si>
    <r>
      <rPr>
        <sz val="11"/>
        <rFont val="ＭＳ Ｐゴシック"/>
        <family val="3"/>
        <charset val="134"/>
        <scheme val="minor"/>
      </rPr>
      <t>义发</t>
    </r>
    <r>
      <rPr>
        <sz val="11"/>
        <rFont val="ＭＳ Ｐゴシック"/>
        <family val="3"/>
        <charset val="128"/>
        <scheme val="minor"/>
      </rPr>
      <t>源</t>
    </r>
  </si>
  <si>
    <r>
      <t>黑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江省不老源酒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</si>
  <si>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开胃酒;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苹果酒;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</si>
  <si>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</si>
  <si>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苹果酒; 葡萄酒; 青稞酒; 黄酒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</si>
  <si>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康人和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</si>
  <si>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康酒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</si>
  <si>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</si>
  <si>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轩业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</si>
  <si>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酱</t>
    </r>
    <r>
      <rPr>
        <sz val="11"/>
        <rFont val="ＭＳ Ｐゴシック"/>
        <family val="3"/>
        <charset val="128"/>
        <scheme val="minor"/>
      </rPr>
      <t>洲坊酒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</si>
  <si>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露酒; 高粱酒; 黄酒</t>
    </r>
  </si>
  <si>
    <r>
      <t>湖田</t>
    </r>
    <r>
      <rPr>
        <sz val="11"/>
        <rFont val="ＭＳ Ｐゴシック"/>
        <family val="3"/>
        <charset val="134"/>
        <scheme val="minor"/>
      </rPr>
      <t>烧</t>
    </r>
  </si>
  <si>
    <r>
      <t>湖北美</t>
    </r>
    <r>
      <rPr>
        <sz val="11"/>
        <rFont val="ＭＳ Ｐゴシック"/>
        <family val="3"/>
        <charset val="134"/>
        <scheme val="minor"/>
      </rPr>
      <t>丽乡</t>
    </r>
    <r>
      <rPr>
        <sz val="11"/>
        <rFont val="ＭＳ Ｐゴシック"/>
        <family val="3"/>
        <charset val="128"/>
        <scheme val="minor"/>
      </rPr>
      <t>村文化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播有限公司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</si>
  <si>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高粱酒; 黄酒</t>
    </r>
  </si>
  <si>
    <r>
      <t>光禾</t>
    </r>
    <r>
      <rPr>
        <sz val="11"/>
        <rFont val="ＭＳ Ｐゴシック"/>
        <family val="3"/>
        <charset val="134"/>
        <scheme val="minor"/>
      </rPr>
      <t>农场</t>
    </r>
  </si>
  <si>
    <r>
      <t>上海光禾商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管理有限公司</t>
    </r>
  </si>
  <si>
    <r>
      <t>扶</t>
    </r>
    <r>
      <rPr>
        <sz val="11"/>
        <rFont val="ＭＳ Ｐゴシック"/>
        <family val="3"/>
        <charset val="134"/>
        <scheme val="minor"/>
      </rPr>
      <t>晓</t>
    </r>
  </si>
  <si>
    <r>
      <t>阿</t>
    </r>
    <r>
      <rPr>
        <sz val="11"/>
        <rFont val="ＭＳ Ｐゴシック"/>
        <family val="3"/>
        <charset val="134"/>
        <scheme val="minor"/>
      </rPr>
      <t>义</t>
    </r>
    <r>
      <rPr>
        <sz val="11"/>
        <rFont val="ＭＳ Ｐゴシック"/>
        <family val="3"/>
        <charset val="128"/>
        <scheme val="minor"/>
      </rPr>
      <t>一蕃手作</t>
    </r>
  </si>
  <si>
    <r>
      <rPr>
        <sz val="11"/>
        <rFont val="ＭＳ Ｐゴシック"/>
        <family val="3"/>
        <charset val="134"/>
        <scheme val="minor"/>
      </rPr>
      <t>许</t>
    </r>
    <r>
      <rPr>
        <sz val="11"/>
        <rFont val="ＭＳ Ｐゴシック"/>
        <family val="3"/>
        <charset val="128"/>
        <scheme val="minor"/>
      </rPr>
      <t>瀚</t>
    </r>
    <r>
      <rPr>
        <sz val="11"/>
        <rFont val="ＭＳ Ｐゴシック"/>
        <family val="3"/>
        <charset val="134"/>
        <scheme val="minor"/>
      </rPr>
      <t>义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</si>
  <si>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品; 果酒;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</si>
  <si>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rPr>
        <sz val="11"/>
        <rFont val="ＭＳ Ｐゴシック"/>
        <family val="3"/>
        <charset val="134"/>
        <scheme val="minor"/>
      </rPr>
      <t>诨</t>
    </r>
    <r>
      <rPr>
        <sz val="11"/>
        <rFont val="ＭＳ Ｐゴシック"/>
        <family val="3"/>
        <charset val="128"/>
        <scheme val="minor"/>
      </rPr>
      <t>匠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</si>
  <si>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诨</t>
    </r>
    <r>
      <rPr>
        <sz val="11"/>
        <rFont val="ＭＳ Ｐゴシック"/>
        <family val="3"/>
        <charset val="128"/>
        <scheme val="minor"/>
      </rPr>
      <t>匠酒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</si>
  <si>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高粱酒; 黄酒</t>
    </r>
  </si>
  <si>
    <r>
      <t>大</t>
    </r>
    <r>
      <rPr>
        <sz val="11"/>
        <rFont val="ＭＳ Ｐゴシック"/>
        <family val="3"/>
        <charset val="134"/>
        <scheme val="minor"/>
      </rPr>
      <t>砻</t>
    </r>
    <r>
      <rPr>
        <sz val="11"/>
        <rFont val="ＭＳ Ｐゴシック"/>
        <family val="3"/>
        <charset val="128"/>
        <scheme val="minor"/>
      </rPr>
      <t>坊</t>
    </r>
  </si>
  <si>
    <r>
      <rPr>
        <sz val="11"/>
        <rFont val="ＭＳ Ｐゴシック"/>
        <family val="3"/>
        <charset val="134"/>
        <scheme val="minor"/>
      </rPr>
      <t>芜</t>
    </r>
    <r>
      <rPr>
        <sz val="11"/>
        <rFont val="ＭＳ Ｐゴシック"/>
        <family val="3"/>
        <charset val="128"/>
        <scheme val="minor"/>
      </rPr>
      <t>湖会</t>
    </r>
    <r>
      <rPr>
        <sz val="11"/>
        <rFont val="ＭＳ Ｐゴシック"/>
        <family val="3"/>
        <charset val="134"/>
        <scheme val="minor"/>
      </rPr>
      <t>馆</t>
    </r>
    <r>
      <rPr>
        <sz val="11"/>
        <rFont val="ＭＳ Ｐゴシック"/>
        <family val="3"/>
        <charset val="128"/>
        <scheme val="minor"/>
      </rPr>
      <t>文魁餐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</si>
  <si>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</si>
  <si>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种子特</t>
    </r>
    <r>
      <rPr>
        <sz val="11"/>
        <rFont val="ＭＳ Ｐゴシック"/>
        <family val="3"/>
        <charset val="134"/>
        <scheme val="minor"/>
      </rPr>
      <t>贡</t>
    </r>
  </si>
  <si>
    <r>
      <t>安徽金种子酒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</si>
  <si>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</si>
  <si>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WERAGA </t>
    </r>
    <r>
      <rPr>
        <sz val="11"/>
        <rFont val="ＭＳ Ｐゴシック"/>
        <family val="3"/>
        <charset val="134"/>
        <scheme val="minor"/>
      </rPr>
      <t>维菈</t>
    </r>
    <r>
      <rPr>
        <sz val="11"/>
        <rFont val="ＭＳ Ｐゴシック"/>
        <family val="3"/>
        <charset val="128"/>
        <scheme val="minor"/>
      </rPr>
      <t>格</t>
    </r>
  </si>
  <si>
    <r>
      <t>泉州</t>
    </r>
    <r>
      <rPr>
        <sz val="11"/>
        <rFont val="ＭＳ Ｐゴシック"/>
        <family val="3"/>
        <charset val="134"/>
        <scheme val="minor"/>
      </rPr>
      <t>凯</t>
    </r>
    <r>
      <rPr>
        <sz val="11"/>
        <rFont val="ＭＳ Ｐゴシック"/>
        <family val="3"/>
        <charset val="128"/>
        <scheme val="minor"/>
      </rPr>
      <t>浪服</t>
    </r>
    <r>
      <rPr>
        <sz val="11"/>
        <rFont val="ＭＳ Ｐゴシック"/>
        <family val="3"/>
        <charset val="134"/>
        <scheme val="minor"/>
      </rPr>
      <t>饰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</si>
  <si>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</si>
  <si>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黄</t>
    </r>
    <r>
      <rPr>
        <sz val="11"/>
        <rFont val="ＭＳ Ｐゴシック"/>
        <family val="3"/>
        <charset val="134"/>
        <scheme val="minor"/>
      </rPr>
      <t>鹤</t>
    </r>
    <r>
      <rPr>
        <sz val="11"/>
        <rFont val="ＭＳ Ｐゴシック"/>
        <family val="3"/>
        <charset val="128"/>
        <scheme val="minor"/>
      </rPr>
      <t>故</t>
    </r>
    <r>
      <rPr>
        <sz val="11"/>
        <rFont val="ＭＳ Ｐゴシック"/>
        <family val="3"/>
        <charset val="134"/>
        <scheme val="minor"/>
      </rPr>
      <t>乡</t>
    </r>
  </si>
  <si>
    <r>
      <t>喀什</t>
    </r>
    <r>
      <rPr>
        <sz val="11"/>
        <rFont val="ＭＳ Ｐゴシック"/>
        <family val="3"/>
        <charset val="134"/>
        <scheme val="minor"/>
      </rPr>
      <t>丝</t>
    </r>
    <r>
      <rPr>
        <sz val="11"/>
        <rFont val="ＭＳ Ｐゴシック"/>
        <family val="3"/>
        <charset val="128"/>
        <scheme val="minor"/>
      </rPr>
      <t>韵清香酒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</si>
  <si>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</si>
  <si>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小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小游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</si>
  <si>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游不亦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乎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</si>
  <si>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威士忌;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米酒;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</si>
  <si>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义潇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</si>
  <si>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网搜科技有限公司</t>
    </r>
  </si>
  <si>
    <r>
      <t xml:space="preserve">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白葡萄酒; 白酒; 米酒;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</si>
  <si>
    <r>
      <rPr>
        <sz val="11"/>
        <rFont val="ＭＳ Ｐゴシック"/>
        <family val="3"/>
        <charset val="134"/>
        <scheme val="minor"/>
      </rPr>
      <t>陈劲</t>
    </r>
    <r>
      <rPr>
        <sz val="11"/>
        <rFont val="ＭＳ Ｐゴシック"/>
        <family val="3"/>
        <charset val="128"/>
        <scheme val="minor"/>
      </rPr>
      <t>珍</t>
    </r>
  </si>
  <si>
    <r>
      <t>深圳弘</t>
    </r>
    <r>
      <rPr>
        <sz val="11"/>
        <rFont val="ＭＳ Ｐゴシック"/>
        <family val="3"/>
        <charset val="134"/>
        <scheme val="minor"/>
      </rPr>
      <t>扬</t>
    </r>
    <r>
      <rPr>
        <sz val="11"/>
        <rFont val="ＭＳ Ｐゴシック"/>
        <family val="3"/>
        <charset val="128"/>
        <scheme val="minor"/>
      </rPr>
      <t>文化</t>
    </r>
    <r>
      <rPr>
        <sz val="11"/>
        <rFont val="ＭＳ Ｐゴシック"/>
        <family val="3"/>
        <charset val="134"/>
        <scheme val="minor"/>
      </rPr>
      <t>产业</t>
    </r>
    <r>
      <rPr>
        <sz val="11"/>
        <rFont val="ＭＳ Ｐゴシック"/>
        <family val="3"/>
        <charset val="128"/>
        <scheme val="minor"/>
      </rPr>
      <t>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</si>
  <si>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米酒; 薄荷酒;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</si>
  <si>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岁</t>
    </r>
    <r>
      <rPr>
        <sz val="11"/>
        <rFont val="ＭＳ Ｐゴシック"/>
        <family val="3"/>
        <charset val="128"/>
        <scheme val="minor"/>
      </rPr>
      <t>禾</t>
    </r>
    <r>
      <rPr>
        <sz val="11"/>
        <rFont val="ＭＳ Ｐゴシック"/>
        <family val="3"/>
        <charset val="134"/>
        <scheme val="minor"/>
      </rPr>
      <t>锦华</t>
    </r>
  </si>
  <si>
    <r>
      <t>南京欣</t>
    </r>
    <r>
      <rPr>
        <sz val="11"/>
        <rFont val="ＭＳ Ｐゴシック"/>
        <family val="3"/>
        <charset val="134"/>
        <scheme val="minor"/>
      </rPr>
      <t>银</t>
    </r>
    <r>
      <rPr>
        <sz val="11"/>
        <rFont val="ＭＳ Ｐゴシック"/>
        <family val="3"/>
        <charset val="128"/>
        <scheme val="minor"/>
      </rPr>
      <t>河酒店管理有限公司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</si>
  <si>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</si>
  <si>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酌享双</t>
    </r>
    <r>
      <rPr>
        <sz val="11"/>
        <rFont val="ＭＳ Ｐゴシック"/>
        <family val="3"/>
        <charset val="134"/>
        <scheme val="minor"/>
      </rPr>
      <t>龙</t>
    </r>
  </si>
  <si>
    <r>
      <t xml:space="preserve">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黄酒</t>
    </r>
  </si>
  <si>
    <r>
      <t>衙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街</t>
    </r>
  </si>
  <si>
    <r>
      <t>湖北昌德酒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</si>
  <si>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</si>
  <si>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悟</t>
    </r>
    <r>
      <rPr>
        <sz val="11"/>
        <rFont val="ＭＳ Ｐゴシック"/>
        <family val="3"/>
        <charset val="134"/>
        <scheme val="minor"/>
      </rPr>
      <t>诵蓝</t>
    </r>
  </si>
  <si>
    <r>
      <t>淄博悟</t>
    </r>
    <r>
      <rPr>
        <sz val="11"/>
        <rFont val="ＭＳ Ｐゴシック"/>
        <family val="3"/>
        <charset val="134"/>
        <scheme val="minor"/>
      </rPr>
      <t>诵蓝</t>
    </r>
    <r>
      <rPr>
        <sz val="11"/>
        <rFont val="ＭＳ Ｐゴシック"/>
        <family val="3"/>
        <charset val="128"/>
        <scheme val="minor"/>
      </rPr>
      <t>生物科技有限公司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</si>
  <si>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开胃酒;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露酒; 黄酒</t>
    </r>
  </si>
  <si>
    <r>
      <t>阿</t>
    </r>
    <r>
      <rPr>
        <sz val="11"/>
        <rFont val="ＭＳ Ｐゴシック"/>
        <family val="3"/>
        <charset val="134"/>
        <scheme val="minor"/>
      </rPr>
      <t>莲</t>
    </r>
    <r>
      <rPr>
        <sz val="11"/>
        <rFont val="ＭＳ Ｐゴシック"/>
        <family val="3"/>
        <charset val="128"/>
        <scheme val="minor"/>
      </rPr>
      <t>姐姐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</si>
  <si>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洪亮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</si>
  <si>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开胃酒; 白酒; 米酒; 苦味酒;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</si>
  <si>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董奥</t>
    </r>
    <r>
      <rPr>
        <sz val="11"/>
        <rFont val="ＭＳ Ｐゴシック"/>
        <family val="3"/>
        <charset val="134"/>
        <scheme val="minor"/>
      </rPr>
      <t>龙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</si>
  <si>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食用酒精; 黄酒</t>
    </r>
  </si>
  <si>
    <r>
      <t>洪安</t>
    </r>
    <r>
      <rPr>
        <sz val="11"/>
        <rFont val="ＭＳ Ｐゴシック"/>
        <family val="3"/>
        <charset val="134"/>
        <scheme val="minor"/>
      </rPr>
      <t>顺</t>
    </r>
  </si>
  <si>
    <r>
      <t xml:space="preserve"> 果酒;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青稞酒; 食用酒精; 黄酒</t>
    </r>
  </si>
  <si>
    <r>
      <t>湖北普立</t>
    </r>
    <r>
      <rPr>
        <sz val="11"/>
        <rFont val="ＭＳ Ｐゴシック"/>
        <family val="3"/>
        <charset val="134"/>
        <scheme val="minor"/>
      </rPr>
      <t>洁环</t>
    </r>
    <r>
      <rPr>
        <sz val="11"/>
        <rFont val="ＭＳ Ｐゴシック"/>
        <family val="3"/>
        <charset val="128"/>
        <scheme val="minor"/>
      </rPr>
      <t>保科技有限公司</t>
    </r>
  </si>
  <si>
    <r>
      <t xml:space="preserve">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高粱酒; 黄酒</t>
    </r>
  </si>
  <si>
    <r>
      <t xml:space="preserve">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蒸煮提取物(利口酒和烈酒); 酸酒(低等葡萄酒);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</si>
  <si>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深圳市今阳文化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</si>
  <si>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</si>
  <si>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元均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</si>
  <si>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清酒;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</si>
  <si>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烧巭</t>
    </r>
  </si>
  <si>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呈</t>
    </r>
    <r>
      <rPr>
        <sz val="11"/>
        <rFont val="ＭＳ Ｐゴシック"/>
        <family val="3"/>
        <charset val="134"/>
        <scheme val="minor"/>
      </rPr>
      <t>龙</t>
    </r>
  </si>
  <si>
    <r>
      <t xml:space="preserve">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</si>
  <si>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rPr>
        <sz val="11"/>
        <rFont val="ＭＳ Ｐゴシック"/>
        <family val="3"/>
        <charset val="134"/>
        <scheme val="minor"/>
      </rPr>
      <t>纷</t>
    </r>
    <r>
      <rPr>
        <sz val="11"/>
        <rFont val="ＭＳ Ｐゴシック"/>
        <family val="3"/>
        <charset val="128"/>
        <scheme val="minor"/>
      </rPr>
      <t>乾</t>
    </r>
  </si>
  <si>
    <r>
      <t xml:space="preserve"> 烈性干酒;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苹果酒; 葡萄酒;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</si>
  <si>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绝顶</t>
    </r>
    <r>
      <rPr>
        <sz val="11"/>
        <rFont val="ＭＳ Ｐゴシック"/>
        <family val="3"/>
        <charset val="128"/>
        <scheme val="minor"/>
      </rPr>
      <t>之</t>
    </r>
    <r>
      <rPr>
        <sz val="11"/>
        <rFont val="ＭＳ Ｐゴシック"/>
        <family val="3"/>
        <charset val="134"/>
        <scheme val="minor"/>
      </rPr>
      <t>巅</t>
    </r>
  </si>
  <si>
    <r>
      <t>周</t>
    </r>
    <r>
      <rPr>
        <sz val="11"/>
        <rFont val="ＭＳ Ｐゴシック"/>
        <family val="3"/>
        <charset val="134"/>
        <scheme val="minor"/>
      </rPr>
      <t>鲁</t>
    </r>
    <r>
      <rPr>
        <sz val="11"/>
        <rFont val="ＭＳ Ｐゴシック"/>
        <family val="3"/>
        <charset val="128"/>
        <scheme val="minor"/>
      </rPr>
      <t>旭</t>
    </r>
  </si>
  <si>
    <r>
      <rPr>
        <sz val="11"/>
        <rFont val="ＭＳ Ｐゴシック"/>
        <family val="3"/>
        <charset val="134"/>
        <scheme val="minor"/>
      </rPr>
      <t>对</t>
    </r>
    <r>
      <rPr>
        <sz val="11"/>
        <rFont val="ＭＳ Ｐゴシック"/>
        <family val="3"/>
        <charset val="128"/>
        <scheme val="minor"/>
      </rPr>
      <t>拾</t>
    </r>
  </si>
  <si>
    <r>
      <t xml:space="preserve"> 朗姆酒; 果酒; 汽酒;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高粱酒</t>
    </r>
  </si>
  <si>
    <r>
      <rPr>
        <sz val="11"/>
        <rFont val="ＭＳ Ｐゴシック"/>
        <family val="3"/>
        <charset val="134"/>
        <scheme val="minor"/>
      </rPr>
      <t>骅骏汇</t>
    </r>
  </si>
  <si>
    <r>
      <t>广西</t>
    </r>
    <r>
      <rPr>
        <sz val="11"/>
        <rFont val="ＭＳ Ｐゴシック"/>
        <family val="3"/>
        <charset val="134"/>
        <scheme val="minor"/>
      </rPr>
      <t>骏骅贸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</si>
  <si>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伏特加酒; 威士忌;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</si>
  <si>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叹</t>
    </r>
    <r>
      <rPr>
        <sz val="11"/>
        <rFont val="ＭＳ Ｐゴシック"/>
        <family val="3"/>
        <charset val="128"/>
        <scheme val="minor"/>
      </rPr>
      <t>今朝</t>
    </r>
  </si>
  <si>
    <r>
      <rPr>
        <sz val="11"/>
        <rFont val="ＭＳ Ｐゴシック"/>
        <family val="3"/>
        <charset val="134"/>
        <scheme val="minor"/>
      </rPr>
      <t>陕</t>
    </r>
    <r>
      <rPr>
        <sz val="11"/>
        <rFont val="ＭＳ Ｐゴシック"/>
        <family val="3"/>
        <charset val="128"/>
        <scheme val="minor"/>
      </rPr>
      <t>西白水杜康酒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技</t>
    </r>
    <r>
      <rPr>
        <sz val="11"/>
        <rFont val="ＭＳ Ｐゴシック"/>
        <family val="3"/>
        <charset val="134"/>
        <scheme val="minor"/>
      </rPr>
      <t>术</t>
    </r>
    <r>
      <rPr>
        <sz val="11"/>
        <rFont val="ＭＳ Ｐゴシック"/>
        <family val="3"/>
        <charset val="128"/>
        <scheme val="minor"/>
      </rPr>
      <t>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</si>
  <si>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t>韶关广悦文化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</si>
  <si>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>南京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力佳</t>
    </r>
    <r>
      <rPr>
        <sz val="11"/>
        <rFont val="ＭＳ Ｐゴシック"/>
        <family val="3"/>
        <charset val="134"/>
        <scheme val="minor"/>
      </rPr>
      <t>农业发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</si>
  <si>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食用酒精; 黄酒</t>
    </r>
  </si>
  <si>
    <r>
      <t>茵拓佳</t>
    </r>
    <r>
      <rPr>
        <sz val="11"/>
        <rFont val="ＭＳ Ｐゴシック"/>
        <family val="3"/>
        <charset val="134"/>
        <scheme val="minor"/>
      </rPr>
      <t>贝</t>
    </r>
  </si>
  <si>
    <r>
      <t>北京臻紫</t>
    </r>
    <r>
      <rPr>
        <sz val="11"/>
        <rFont val="ＭＳ Ｐゴシック"/>
        <family val="3"/>
        <charset val="134"/>
        <scheme val="minor"/>
      </rPr>
      <t>轩电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</si>
  <si>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>吟樽</t>
    </r>
    <r>
      <rPr>
        <sz val="11"/>
        <rFont val="ＭＳ Ｐゴシック"/>
        <family val="3"/>
        <charset val="134"/>
        <scheme val="minor"/>
      </rPr>
      <t>纪</t>
    </r>
  </si>
  <si>
    <r>
      <t>澖</t>
    </r>
    <r>
      <rPr>
        <sz val="11"/>
        <rFont val="ＭＳ Ｐゴシック"/>
        <family val="3"/>
        <charset val="134"/>
        <scheme val="minor"/>
      </rPr>
      <t>阅</t>
    </r>
  </si>
  <si>
    <r>
      <t>水匐</t>
    </r>
    <r>
      <rPr>
        <sz val="11"/>
        <rFont val="ＭＳ Ｐゴシック"/>
        <family val="3"/>
        <charset val="134"/>
        <scheme val="minor"/>
      </rPr>
      <t>鸣</t>
    </r>
    <r>
      <rPr>
        <sz val="11"/>
        <rFont val="ＭＳ Ｐゴシック"/>
        <family val="3"/>
        <charset val="128"/>
        <scheme val="minor"/>
      </rPr>
      <t>醉知己</t>
    </r>
  </si>
  <si>
    <r>
      <t>响水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醉知己酒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</si>
  <si>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</si>
  <si>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花御</t>
    </r>
    <r>
      <rPr>
        <sz val="11"/>
        <rFont val="ＭＳ Ｐゴシック"/>
        <family val="3"/>
        <charset val="134"/>
        <scheme val="minor"/>
      </rPr>
      <t>龙</t>
    </r>
  </si>
  <si>
    <r>
      <rPr>
        <sz val="11"/>
        <rFont val="ＭＳ Ｐゴシック"/>
        <family val="3"/>
        <charset val="134"/>
        <scheme val="minor"/>
      </rPr>
      <t>枣</t>
    </r>
    <r>
      <rPr>
        <sz val="11"/>
        <rFont val="ＭＳ Ｐゴシック"/>
        <family val="3"/>
        <charset val="128"/>
        <scheme val="minor"/>
      </rPr>
      <t>庄安徐正静商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</si>
  <si>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烈酒;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黄酒</t>
    </r>
  </si>
  <si>
    <r>
      <t>酥小</t>
    </r>
    <r>
      <rPr>
        <sz val="11"/>
        <rFont val="ＭＳ Ｐゴシック"/>
        <family val="3"/>
        <charset val="134"/>
        <scheme val="minor"/>
      </rPr>
      <t>狮</t>
    </r>
  </si>
  <si>
    <r>
      <t>河北</t>
    </r>
    <r>
      <rPr>
        <sz val="11"/>
        <rFont val="ＭＳ Ｐゴシック"/>
        <family val="3"/>
        <charset val="134"/>
        <scheme val="minor"/>
      </rPr>
      <t>乐腾</t>
    </r>
    <r>
      <rPr>
        <sz val="11"/>
        <rFont val="ＭＳ Ｐゴシック"/>
        <family val="3"/>
        <charset val="128"/>
        <scheme val="minor"/>
      </rPr>
      <t>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</si>
  <si>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才秀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</si>
  <si>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国</t>
    </r>
    <r>
      <rPr>
        <sz val="11"/>
        <rFont val="ＭＳ Ｐゴシック"/>
        <family val="3"/>
        <charset val="134"/>
        <scheme val="minor"/>
      </rPr>
      <t>泽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</si>
  <si>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烈酒; 甜酒; 白酒; 葡萄酒; 蜂蜜酒;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</si>
  <si>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柴</t>
    </r>
    <r>
      <rPr>
        <sz val="11"/>
        <rFont val="ＭＳ Ｐゴシック"/>
        <family val="3"/>
        <charset val="134"/>
        <scheme val="minor"/>
      </rPr>
      <t>晓强</t>
    </r>
  </si>
  <si>
    <r>
      <t xml:space="preserve"> 威士忌;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白干酒(中国白酒); 白酒; 米酒; 葡萄酒;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</si>
  <si>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果酒; 梅酒;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</t>
    </r>
  </si>
  <si>
    <r>
      <rPr>
        <sz val="11"/>
        <rFont val="ＭＳ Ｐゴシック"/>
        <family val="3"/>
        <charset val="134"/>
        <scheme val="minor"/>
      </rPr>
      <t>济</t>
    </r>
    <r>
      <rPr>
        <sz val="11"/>
        <rFont val="ＭＳ Ｐゴシック"/>
        <family val="3"/>
        <charset val="128"/>
        <scheme val="minor"/>
      </rPr>
      <t>南食源酒</t>
    </r>
    <r>
      <rPr>
        <sz val="11"/>
        <rFont val="ＭＳ Ｐゴシック"/>
        <family val="3"/>
        <charset val="134"/>
        <scheme val="minor"/>
      </rPr>
      <t>乡贸</t>
    </r>
    <r>
      <rPr>
        <sz val="11"/>
        <rFont val="ＭＳ Ｐゴシック"/>
        <family val="3"/>
        <charset val="128"/>
        <scheme val="minor"/>
      </rPr>
      <t>易有限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</si>
  <si>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威士忌; 果酒; 清酒;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露酒; 黄酒</t>
    </r>
  </si>
  <si>
    <r>
      <t>快客</t>
    </r>
    <r>
      <rPr>
        <sz val="11"/>
        <rFont val="ＭＳ Ｐゴシック"/>
        <family val="3"/>
        <charset val="134"/>
        <scheme val="minor"/>
      </rPr>
      <t>团</t>
    </r>
  </si>
  <si>
    <r>
      <t>广州</t>
    </r>
    <r>
      <rPr>
        <sz val="11"/>
        <rFont val="ＭＳ Ｐゴシック"/>
        <family val="3"/>
        <charset val="134"/>
        <scheme val="minor"/>
      </rPr>
      <t>妆</t>
    </r>
    <r>
      <rPr>
        <sz val="11"/>
        <rFont val="ＭＳ Ｐゴシック"/>
        <family val="3"/>
        <charset val="128"/>
        <scheme val="minor"/>
      </rPr>
      <t>点一新化</t>
    </r>
    <r>
      <rPr>
        <sz val="11"/>
        <rFont val="ＭＳ Ｐゴシック"/>
        <family val="3"/>
        <charset val="134"/>
        <scheme val="minor"/>
      </rPr>
      <t>妆</t>
    </r>
    <r>
      <rPr>
        <sz val="11"/>
        <rFont val="ＭＳ Ｐゴシック"/>
        <family val="3"/>
        <charset val="128"/>
        <scheme val="minor"/>
      </rPr>
      <t>品有限公司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</si>
  <si>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天然汽酒; 威士忌;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黄酒</t>
    </r>
  </si>
  <si>
    <r>
      <rPr>
        <sz val="11"/>
        <rFont val="ＭＳ Ｐゴシック"/>
        <family val="3"/>
        <charset val="134"/>
        <scheme val="minor"/>
      </rPr>
      <t>轺</t>
    </r>
    <r>
      <rPr>
        <sz val="11"/>
        <rFont val="ＭＳ Ｐゴシック"/>
        <family val="3"/>
        <charset val="128"/>
        <scheme val="minor"/>
      </rPr>
      <t>酉</t>
    </r>
  </si>
  <si>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轺</t>
    </r>
    <r>
      <rPr>
        <sz val="11"/>
        <rFont val="ＭＳ Ｐゴシック"/>
        <family val="3"/>
        <charset val="128"/>
        <scheme val="minor"/>
      </rPr>
      <t>酉品牌管理有限公司</t>
    </r>
  </si>
  <si>
    <r>
      <t xml:space="preserve"> 开胃酒;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苦味酒;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</si>
  <si>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 xml:space="preserve">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</si>
  <si>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玉卿</t>
    </r>
  </si>
  <si>
    <r>
      <t xml:space="preserve"> 含酒精的气泡水;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</si>
  <si>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天</t>
    </r>
    <r>
      <rPr>
        <sz val="11"/>
        <rFont val="ＭＳ Ｐゴシック"/>
        <family val="3"/>
        <charset val="134"/>
        <scheme val="minor"/>
      </rPr>
      <t>阙琼浆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</si>
  <si>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</si>
  <si>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中船</t>
    </r>
    <r>
      <rPr>
        <sz val="11"/>
        <rFont val="ＭＳ Ｐゴシック"/>
        <family val="3"/>
        <charset val="134"/>
        <scheme val="minor"/>
      </rPr>
      <t>蓝</t>
    </r>
    <r>
      <rPr>
        <sz val="11"/>
        <rFont val="ＭＳ Ｐゴシック"/>
        <family val="3"/>
        <charset val="128"/>
        <scheme val="minor"/>
      </rPr>
      <t>海星(北京)文化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</si>
  <si>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汽酒;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</si>
  <si>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rPr>
        <sz val="11"/>
        <rFont val="ＭＳ Ｐゴシック"/>
        <family val="3"/>
        <charset val="134"/>
        <scheme val="minor"/>
      </rPr>
      <t>战垒</t>
    </r>
  </si>
  <si>
    <r>
      <t>君醉</t>
    </r>
    <r>
      <rPr>
        <sz val="11"/>
        <rFont val="ＭＳ Ｐゴシック"/>
        <family val="3"/>
        <charset val="134"/>
        <scheme val="minor"/>
      </rPr>
      <t>涧</t>
    </r>
  </si>
  <si>
    <r>
      <t>四川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无</t>
    </r>
    <r>
      <rPr>
        <sz val="11"/>
        <rFont val="ＭＳ Ｐゴシック"/>
        <family val="3"/>
        <charset val="134"/>
        <scheme val="minor"/>
      </rPr>
      <t>忧</t>
    </r>
    <r>
      <rPr>
        <sz val="11"/>
        <rFont val="ＭＳ Ｐゴシック"/>
        <family val="3"/>
        <charset val="128"/>
        <scheme val="minor"/>
      </rPr>
      <t>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</si>
  <si>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含酒精的气泡水;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</si>
  <si>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湘</t>
    </r>
    <r>
      <rPr>
        <sz val="11"/>
        <rFont val="ＭＳ Ｐゴシック"/>
        <family val="3"/>
        <charset val="134"/>
        <scheme val="minor"/>
      </rPr>
      <t>见胜红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</si>
  <si>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桂荣</t>
    </r>
  </si>
  <si>
    <r>
      <t xml:space="preserve"> 伏特加酒;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</si>
  <si>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州弘哲企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</si>
  <si>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奶油利口酒; 开胃酒;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白葡萄酒;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苹果酒; 草莓酒; 露酒; 青梅酒; 高粱酒</t>
    </r>
  </si>
  <si>
    <r>
      <t>沂蒙菊花老</t>
    </r>
    <r>
      <rPr>
        <sz val="11"/>
        <rFont val="ＭＳ Ｐゴシック"/>
        <family val="3"/>
        <charset val="134"/>
        <scheme val="minor"/>
      </rPr>
      <t>乡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</si>
  <si>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沂蒙老区酒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</si>
  <si>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梨酒;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</si>
  <si>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九</t>
    </r>
    <r>
      <rPr>
        <sz val="11"/>
        <rFont val="ＭＳ Ｐゴシック"/>
        <family val="3"/>
        <charset val="134"/>
        <scheme val="minor"/>
      </rPr>
      <t>颖</t>
    </r>
    <r>
      <rPr>
        <sz val="11"/>
        <rFont val="ＭＳ Ｐゴシック"/>
        <family val="3"/>
        <charset val="128"/>
        <scheme val="minor"/>
      </rPr>
      <t>中</t>
    </r>
    <r>
      <rPr>
        <sz val="11"/>
        <rFont val="ＭＳ Ｐゴシック"/>
        <family val="3"/>
        <charset val="134"/>
        <scheme val="minor"/>
      </rPr>
      <t>乐</t>
    </r>
  </si>
  <si>
    <r>
      <t>安徽名熙堂投</t>
    </r>
    <r>
      <rPr>
        <sz val="11"/>
        <rFont val="ＭＳ Ｐゴシック"/>
        <family val="3"/>
        <charset val="134"/>
        <scheme val="minor"/>
      </rPr>
      <t>资发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</si>
  <si>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五加皮酒(中国混合烈酒); 刺五加酒;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薄荷酒;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</si>
  <si>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 xml:space="preserve">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高粱酒</t>
    </r>
  </si>
  <si>
    <r>
      <rPr>
        <sz val="11"/>
        <rFont val="ＭＳ Ｐゴシック"/>
        <family val="3"/>
        <charset val="134"/>
        <scheme val="minor"/>
      </rPr>
      <t>玏</t>
    </r>
    <r>
      <rPr>
        <sz val="11"/>
        <rFont val="ＭＳ Ｐゴシック"/>
        <family val="3"/>
        <charset val="128"/>
        <scheme val="minor"/>
      </rPr>
      <t>台</t>
    </r>
    <r>
      <rPr>
        <sz val="11"/>
        <rFont val="ＭＳ Ｐゴシック"/>
        <family val="3"/>
        <charset val="134"/>
        <scheme val="minor"/>
      </rPr>
      <t>塬</t>
    </r>
  </si>
  <si>
    <r>
      <t xml:space="preserve"> 果酒(含酒精); 烈酒;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</si>
  <si>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叔</t>
    </r>
    <r>
      <rPr>
        <sz val="11"/>
        <rFont val="ＭＳ Ｐゴシック"/>
        <family val="3"/>
        <charset val="134"/>
        <scheme val="minor"/>
      </rPr>
      <t>卤</t>
    </r>
    <r>
      <rPr>
        <sz val="11"/>
        <rFont val="ＭＳ Ｐゴシック"/>
        <family val="3"/>
        <charset val="128"/>
        <scheme val="minor"/>
      </rPr>
      <t>忙</t>
    </r>
  </si>
  <si>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沙</t>
    </r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叔</t>
    </r>
    <r>
      <rPr>
        <sz val="11"/>
        <rFont val="ＭＳ Ｐゴシック"/>
        <family val="3"/>
        <charset val="134"/>
        <scheme val="minor"/>
      </rPr>
      <t>卤</t>
    </r>
    <r>
      <rPr>
        <sz val="11"/>
        <rFont val="ＭＳ Ｐゴシック"/>
        <family val="3"/>
        <charset val="128"/>
        <scheme val="minor"/>
      </rPr>
      <t>忙品牌管理有限公司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</si>
  <si>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</si>
  <si>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禾丰</t>
    </r>
    <r>
      <rPr>
        <sz val="11"/>
        <rFont val="ＭＳ Ｐゴシック"/>
        <family val="3"/>
        <charset val="134"/>
        <scheme val="minor"/>
      </rPr>
      <t>泽</t>
    </r>
  </si>
  <si>
    <r>
      <t>广</t>
    </r>
    <r>
      <rPr>
        <sz val="11"/>
        <rFont val="ＭＳ Ｐゴシック"/>
        <family val="3"/>
        <charset val="134"/>
        <scheme val="minor"/>
      </rPr>
      <t>东华</t>
    </r>
    <r>
      <rPr>
        <sz val="11"/>
        <rFont val="ＭＳ Ｐゴシック"/>
        <family val="3"/>
        <charset val="128"/>
        <scheme val="minor"/>
      </rPr>
      <t>禾</t>
    </r>
    <r>
      <rPr>
        <sz val="11"/>
        <rFont val="ＭＳ Ｐゴシック"/>
        <family val="3"/>
        <charset val="134"/>
        <scheme val="minor"/>
      </rPr>
      <t>洁净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</si>
  <si>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</t>
    </r>
  </si>
  <si>
    <r>
      <rPr>
        <sz val="11"/>
        <rFont val="ＭＳ Ｐゴシック"/>
        <family val="3"/>
        <charset val="134"/>
        <scheme val="minor"/>
      </rPr>
      <t>观</t>
    </r>
    <r>
      <rPr>
        <sz val="11"/>
        <rFont val="ＭＳ Ｐゴシック"/>
        <family val="3"/>
        <charset val="128"/>
        <scheme val="minor"/>
      </rPr>
      <t>境界</t>
    </r>
  </si>
  <si>
    <r>
      <t>歪</t>
    </r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全球臻</t>
    </r>
    <r>
      <rPr>
        <sz val="11"/>
        <rFont val="ＭＳ Ｐゴシック"/>
        <family val="3"/>
        <charset val="134"/>
        <scheme val="minor"/>
      </rPr>
      <t>选</t>
    </r>
  </si>
  <si>
    <r>
      <t>北京歪</t>
    </r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</si>
  <si>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威士忌; 杜松子酒; 果酒(含酒精); 清酒(日本米酒);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</si>
  <si>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浮生</t>
    </r>
    <r>
      <rPr>
        <sz val="11"/>
        <rFont val="ＭＳ Ｐゴシック"/>
        <family val="3"/>
        <charset val="134"/>
        <scheme val="minor"/>
      </rPr>
      <t>乐</t>
    </r>
  </si>
  <si>
    <r>
      <t>西安</t>
    </r>
    <r>
      <rPr>
        <sz val="11"/>
        <rFont val="ＭＳ Ｐゴシック"/>
        <family val="3"/>
        <charset val="134"/>
        <scheme val="minor"/>
      </rPr>
      <t>艺语</t>
    </r>
    <r>
      <rPr>
        <sz val="11"/>
        <rFont val="ＭＳ Ｐゴシック"/>
        <family val="3"/>
        <charset val="128"/>
        <scheme val="minor"/>
      </rPr>
      <t>景昇苗木有限公司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</si>
  <si>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汽酒;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</t>
    </r>
  </si>
  <si>
    <r>
      <rPr>
        <sz val="11"/>
        <rFont val="ＭＳ Ｐゴシック"/>
        <family val="3"/>
        <charset val="134"/>
        <scheme val="minor"/>
      </rPr>
      <t>钰</t>
    </r>
    <r>
      <rPr>
        <sz val="11"/>
        <rFont val="ＭＳ Ｐゴシック"/>
        <family val="3"/>
        <charset val="128"/>
        <scheme val="minor"/>
      </rPr>
      <t>窖台</t>
    </r>
  </si>
  <si>
    <r>
      <rPr>
        <sz val="11"/>
        <rFont val="ＭＳ Ｐゴシック"/>
        <family val="3"/>
        <charset val="134"/>
        <scheme val="minor"/>
      </rPr>
      <t>陈传龙</t>
    </r>
  </si>
  <si>
    <r>
      <t xml:space="preserve">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露酒;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</si>
  <si>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学和</t>
    </r>
  </si>
  <si>
    <r>
      <t xml:space="preserve"> 利口酒;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</si>
  <si>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爽</t>
    </r>
    <r>
      <rPr>
        <sz val="11"/>
        <rFont val="ＭＳ Ｐゴシック"/>
        <family val="3"/>
        <charset val="134"/>
        <scheme val="minor"/>
      </rPr>
      <t>乐饮</t>
    </r>
  </si>
  <si>
    <r>
      <rPr>
        <sz val="11"/>
        <rFont val="ＭＳ Ｐゴシック"/>
        <family val="3"/>
        <charset val="134"/>
        <scheme val="minor"/>
      </rPr>
      <t>满</t>
    </r>
    <r>
      <rPr>
        <sz val="11"/>
        <rFont val="ＭＳ Ｐゴシック"/>
        <family val="3"/>
        <charset val="128"/>
        <scheme val="minor"/>
      </rPr>
      <t>季</t>
    </r>
    <r>
      <rPr>
        <sz val="11"/>
        <rFont val="ＭＳ Ｐゴシック"/>
        <family val="3"/>
        <charset val="134"/>
        <scheme val="minor"/>
      </rPr>
      <t>红</t>
    </r>
  </si>
  <si>
    <r>
      <t>丁</t>
    </r>
    <r>
      <rPr>
        <sz val="11"/>
        <rFont val="ＭＳ Ｐゴシック"/>
        <family val="3"/>
        <charset val="134"/>
        <scheme val="minor"/>
      </rPr>
      <t>凤</t>
    </r>
    <r>
      <rPr>
        <sz val="11"/>
        <rFont val="ＭＳ Ｐゴシック"/>
        <family val="3"/>
        <charset val="128"/>
        <scheme val="minor"/>
      </rPr>
      <t>梅</t>
    </r>
  </si>
  <si>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瑞美美酒</t>
    </r>
  </si>
  <si>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瑞美(北京)健康科技有限公司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</si>
  <si>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酸酒(低等葡萄酒);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</si>
  <si>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比尼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•圣卡</t>
    </r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琳娜股份有限公司</t>
    </r>
  </si>
  <si>
    <r>
      <t>雅江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雅希宏食品有限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</si>
  <si>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</si>
  <si>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州二两清食品有限公司</t>
    </r>
  </si>
  <si>
    <r>
      <t xml:space="preserve"> 开胃酒; 果酒; 汽酒;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黄酒</t>
    </r>
  </si>
  <si>
    <r>
      <t xml:space="preserve"> 威士忌;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</si>
  <si>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宇</t>
    </r>
    <r>
      <rPr>
        <sz val="11"/>
        <rFont val="ＭＳ Ｐゴシック"/>
        <family val="3"/>
        <charset val="134"/>
        <scheme val="minor"/>
      </rPr>
      <t>亿</t>
    </r>
    <r>
      <rPr>
        <sz val="11"/>
        <rFont val="ＭＳ Ｐゴシック"/>
        <family val="3"/>
        <charset val="128"/>
        <scheme val="minor"/>
      </rPr>
      <t>加</t>
    </r>
  </si>
  <si>
    <r>
      <t>遵</t>
    </r>
    <r>
      <rPr>
        <sz val="11"/>
        <rFont val="ＭＳ Ｐゴシック"/>
        <family val="3"/>
        <charset val="134"/>
        <scheme val="minor"/>
      </rPr>
      <t>义</t>
    </r>
    <r>
      <rPr>
        <sz val="11"/>
        <rFont val="ＭＳ Ｐゴシック"/>
        <family val="3"/>
        <charset val="128"/>
        <scheme val="minor"/>
      </rPr>
      <t>宇</t>
    </r>
    <r>
      <rPr>
        <sz val="11"/>
        <rFont val="ＭＳ Ｐゴシック"/>
        <family val="3"/>
        <charset val="134"/>
        <scheme val="minor"/>
      </rPr>
      <t>亿</t>
    </r>
    <r>
      <rPr>
        <sz val="11"/>
        <rFont val="ＭＳ Ｐゴシック"/>
        <family val="3"/>
        <charset val="128"/>
        <scheme val="minor"/>
      </rPr>
      <t>加食品有限公司</t>
    </r>
  </si>
  <si>
    <r>
      <t xml:space="preserve"> 含牛奶的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果酒(含酒精); 梅酒; 梨酒; 甜酒; 米酒; 苹果酒;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</si>
  <si>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成都智澳博洛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</si>
  <si>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</si>
  <si>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芝罘区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斌日用百</t>
    </r>
    <r>
      <rPr>
        <sz val="11"/>
        <rFont val="ＭＳ Ｐゴシック"/>
        <family val="3"/>
        <charset val="134"/>
        <scheme val="minor"/>
      </rPr>
      <t>货</t>
    </r>
    <r>
      <rPr>
        <sz val="11"/>
        <rFont val="ＭＳ Ｐゴシック"/>
        <family val="3"/>
        <charset val="128"/>
        <scheme val="minor"/>
      </rPr>
      <t>店(个体工商</t>
    </r>
    <r>
      <rPr>
        <sz val="11"/>
        <rFont val="ＭＳ Ｐゴシック"/>
        <family val="3"/>
        <charset val="134"/>
        <scheme val="minor"/>
      </rPr>
      <t>户</t>
    </r>
    <r>
      <rPr>
        <sz val="11"/>
        <rFont val="ＭＳ Ｐゴシック"/>
        <family val="3"/>
        <charset val="128"/>
        <scheme val="minor"/>
      </rPr>
      <t>)</t>
    </r>
  </si>
  <si>
    <r>
      <t>河南瀚之</t>
    </r>
    <r>
      <rPr>
        <sz val="11"/>
        <rFont val="ＭＳ Ｐゴシック"/>
        <family val="3"/>
        <charset val="134"/>
        <scheme val="minor"/>
      </rPr>
      <t>玺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</si>
  <si>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汽酒; 烈酒; 白酒; 米酒;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</si>
  <si>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刘士</t>
    </r>
    <r>
      <rPr>
        <sz val="11"/>
        <rFont val="ＭＳ Ｐゴシック"/>
        <family val="3"/>
        <charset val="134"/>
        <scheme val="minor"/>
      </rPr>
      <t>显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</si>
  <si>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开胃酒; 果酒(含酒精);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</si>
  <si>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匡合控股(广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)集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</si>
  <si>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苦味酒;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</si>
  <si>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伏特加酒;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</si>
  <si>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京</t>
    </r>
    <r>
      <rPr>
        <sz val="11"/>
        <rFont val="ＭＳ Ｐゴシック"/>
        <family val="3"/>
        <charset val="134"/>
        <scheme val="minor"/>
      </rPr>
      <t>琼</t>
    </r>
    <r>
      <rPr>
        <sz val="11"/>
        <rFont val="ＭＳ Ｐゴシック"/>
        <family val="3"/>
        <charset val="128"/>
        <scheme val="minor"/>
      </rPr>
      <t>涮</t>
    </r>
    <r>
      <rPr>
        <sz val="11"/>
        <rFont val="ＭＳ Ｐゴシック"/>
        <family val="3"/>
        <charset val="134"/>
        <scheme val="minor"/>
      </rPr>
      <t>掼</t>
    </r>
    <r>
      <rPr>
        <sz val="11"/>
        <rFont val="ＭＳ Ｐゴシック"/>
        <family val="3"/>
        <charset val="128"/>
        <scheme val="minor"/>
      </rPr>
      <t>蛋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</si>
  <si>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州市惠</t>
    </r>
    <r>
      <rPr>
        <sz val="11"/>
        <rFont val="ＭＳ Ｐゴシック"/>
        <family val="3"/>
        <charset val="134"/>
        <scheme val="minor"/>
      </rPr>
      <t>济</t>
    </r>
    <r>
      <rPr>
        <sz val="11"/>
        <rFont val="ＭＳ Ｐゴシック"/>
        <family val="3"/>
        <charset val="128"/>
        <scheme val="minor"/>
      </rPr>
      <t>区信基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味食品城</t>
    </r>
    <r>
      <rPr>
        <sz val="11"/>
        <rFont val="ＭＳ Ｐゴシック"/>
        <family val="3"/>
        <charset val="134"/>
        <scheme val="minor"/>
      </rPr>
      <t>鲜绿</t>
    </r>
    <r>
      <rPr>
        <sz val="11"/>
        <rFont val="ＭＳ Ｐゴシック"/>
        <family val="3"/>
        <charset val="128"/>
        <scheme val="minor"/>
      </rPr>
      <t>塑料包装</t>
    </r>
    <r>
      <rPr>
        <sz val="11"/>
        <rFont val="ＭＳ Ｐゴシック"/>
        <family val="3"/>
        <charset val="134"/>
        <scheme val="minor"/>
      </rPr>
      <t>经营</t>
    </r>
    <r>
      <rPr>
        <sz val="11"/>
        <rFont val="ＭＳ Ｐゴシック"/>
        <family val="3"/>
        <charset val="128"/>
        <scheme val="minor"/>
      </rPr>
      <t>部</t>
    </r>
  </si>
  <si>
    <r>
      <t xml:space="preserve"> 伏特加酒;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</si>
  <si>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江</t>
    </r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米歌酒庄有限公司</t>
    </r>
  </si>
  <si>
    <r>
      <t xml:space="preserve"> 果酒(含酒精); 汽酒;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黄酒</t>
    </r>
  </si>
  <si>
    <r>
      <t>浅念</t>
    </r>
    <r>
      <rPr>
        <sz val="11"/>
        <rFont val="ＭＳ Ｐゴシック"/>
        <family val="3"/>
        <charset val="134"/>
        <scheme val="minor"/>
      </rPr>
      <t>报</t>
    </r>
    <r>
      <rPr>
        <sz val="11"/>
        <rFont val="ＭＳ Ｐゴシック"/>
        <family val="3"/>
        <charset val="128"/>
        <scheme val="minor"/>
      </rPr>
      <t>恩</t>
    </r>
  </si>
  <si>
    <r>
      <t>凌</t>
    </r>
    <r>
      <rPr>
        <sz val="11"/>
        <rFont val="ＭＳ Ｐゴシック"/>
        <family val="3"/>
        <charset val="134"/>
        <scheme val="minor"/>
      </rPr>
      <t>强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</si>
  <si>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</si>
  <si>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满团红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</si>
  <si>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满团红贸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</si>
  <si>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果酒;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白葡萄酒; 白酒; 米酒;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</si>
  <si>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谭</t>
    </r>
    <r>
      <rPr>
        <sz val="11"/>
        <rFont val="ＭＳ Ｐゴシック"/>
        <family val="3"/>
        <charset val="128"/>
        <scheme val="minor"/>
      </rPr>
      <t>工</t>
    </r>
    <r>
      <rPr>
        <sz val="11"/>
        <rFont val="ＭＳ Ｐゴシック"/>
        <family val="3"/>
        <charset val="134"/>
        <scheme val="minor"/>
      </rPr>
      <t>酿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</si>
  <si>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市欧</t>
    </r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瑞酒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</si>
  <si>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</si>
  <si>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马爱</t>
    </r>
    <r>
      <rPr>
        <sz val="11"/>
        <rFont val="ＭＳ Ｐゴシック"/>
        <family val="3"/>
        <charset val="128"/>
        <scheme val="minor"/>
      </rPr>
      <t>明</t>
    </r>
  </si>
  <si>
    <r>
      <t xml:space="preserve">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高粱酒; 黄酒</t>
    </r>
  </si>
  <si>
    <r>
      <t>普者花</t>
    </r>
    <r>
      <rPr>
        <sz val="11"/>
        <rFont val="ＭＳ Ｐゴシック"/>
        <family val="3"/>
        <charset val="134"/>
        <scheme val="minor"/>
      </rPr>
      <t>语</t>
    </r>
  </si>
  <si>
    <r>
      <t>云南玖香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花生物科技股份有限公司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</si>
  <si>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清酒(日本米酒);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餐后酒(利口酒和烈酒)</t>
    </r>
  </si>
  <si>
    <r>
      <rPr>
        <sz val="11"/>
        <rFont val="ＭＳ Ｐゴシック"/>
        <family val="3"/>
        <charset val="134"/>
        <scheme val="minor"/>
      </rPr>
      <t>寻</t>
    </r>
    <r>
      <rPr>
        <sz val="11"/>
        <rFont val="ＭＳ Ｐゴシック"/>
        <family val="3"/>
        <charset val="128"/>
        <scheme val="minor"/>
      </rPr>
      <t>棋</t>
    </r>
    <r>
      <rPr>
        <sz val="11"/>
        <rFont val="ＭＳ Ｐゴシック"/>
        <family val="3"/>
        <charset val="134"/>
        <scheme val="minor"/>
      </rPr>
      <t>记</t>
    </r>
  </si>
  <si>
    <r>
      <t>肖</t>
    </r>
    <r>
      <rPr>
        <sz val="11"/>
        <rFont val="ＭＳ Ｐゴシック"/>
        <family val="3"/>
        <charset val="134"/>
        <scheme val="minor"/>
      </rPr>
      <t>绍华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</si>
  <si>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梨酒;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</si>
  <si>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州黔芝灵酒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</si>
  <si>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</si>
  <si>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贞</t>
    </r>
    <r>
      <rPr>
        <sz val="11"/>
        <rFont val="ＭＳ Ｐゴシック"/>
        <family val="3"/>
        <charset val="128"/>
        <scheme val="minor"/>
      </rPr>
      <t>庄</t>
    </r>
  </si>
  <si>
    <r>
      <rPr>
        <sz val="11"/>
        <rFont val="ＭＳ Ｐゴシック"/>
        <family val="3"/>
        <charset val="134"/>
        <scheme val="minor"/>
      </rPr>
      <t>邝</t>
    </r>
    <r>
      <rPr>
        <sz val="11"/>
        <rFont val="ＭＳ Ｐゴシック"/>
        <family val="3"/>
        <charset val="128"/>
        <scheme val="minor"/>
      </rPr>
      <t>霖</t>
    </r>
  </si>
  <si>
    <r>
      <t xml:space="preserve"> 清酒; 清酒(日本米酒);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的白酒;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高粱酒; 黄酒</t>
    </r>
  </si>
  <si>
    <r>
      <t>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市五粮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</si>
  <si>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酩姑</t>
    </r>
    <r>
      <rPr>
        <sz val="11"/>
        <rFont val="ＭＳ Ｐゴシック"/>
        <family val="3"/>
        <charset val="134"/>
        <scheme val="minor"/>
      </rPr>
      <t>酿</t>
    </r>
  </si>
  <si>
    <r>
      <rPr>
        <sz val="11"/>
        <rFont val="ＭＳ Ｐゴシック"/>
        <family val="3"/>
        <charset val="134"/>
        <scheme val="minor"/>
      </rPr>
      <t>许</t>
    </r>
    <r>
      <rPr>
        <sz val="11"/>
        <rFont val="ＭＳ Ｐゴシック"/>
        <family val="3"/>
        <charset val="128"/>
        <scheme val="minor"/>
      </rPr>
      <t>昌市魏都区</t>
    </r>
    <r>
      <rPr>
        <sz val="11"/>
        <rFont val="ＭＳ Ｐゴシック"/>
        <family val="3"/>
        <charset val="134"/>
        <scheme val="minor"/>
      </rPr>
      <t>玛</t>
    </r>
    <r>
      <rPr>
        <sz val="11"/>
        <rFont val="ＭＳ Ｐゴシック"/>
        <family val="3"/>
        <charset val="128"/>
        <scheme val="minor"/>
      </rPr>
      <t>索百</t>
    </r>
    <r>
      <rPr>
        <sz val="11"/>
        <rFont val="ＭＳ Ｐゴシック"/>
        <family val="3"/>
        <charset val="134"/>
        <scheme val="minor"/>
      </rPr>
      <t>货</t>
    </r>
    <r>
      <rPr>
        <sz val="11"/>
        <rFont val="ＭＳ Ｐゴシック"/>
        <family val="3"/>
        <charset val="128"/>
        <scheme val="minor"/>
      </rPr>
      <t>行(个体工商</t>
    </r>
    <r>
      <rPr>
        <sz val="11"/>
        <rFont val="ＭＳ Ｐゴシック"/>
        <family val="3"/>
        <charset val="134"/>
        <scheme val="minor"/>
      </rPr>
      <t>户</t>
    </r>
    <r>
      <rPr>
        <sz val="11"/>
        <rFont val="ＭＳ Ｐゴシック"/>
        <family val="3"/>
        <charset val="128"/>
        <scheme val="minor"/>
      </rPr>
      <t>)</t>
    </r>
  </si>
  <si>
    <r>
      <t>易房品</t>
    </r>
    <r>
      <rPr>
        <sz val="11"/>
        <rFont val="ＭＳ Ｐゴシック"/>
        <family val="3"/>
        <charset val="134"/>
        <scheme val="minor"/>
      </rPr>
      <t>鉴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</si>
  <si>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莞市易房按揭服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</si>
  <si>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开胃酒;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</si>
  <si>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t>深圳市鼎鼎酒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</si>
  <si>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威士忌;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</si>
  <si>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醉美岷</t>
    </r>
    <r>
      <rPr>
        <sz val="11"/>
        <rFont val="ＭＳ Ｐゴシック"/>
        <family val="3"/>
        <charset val="134"/>
        <scheme val="minor"/>
      </rPr>
      <t>坞缘</t>
    </r>
  </si>
  <si>
    <r>
      <t xml:space="preserve">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青稞酒</t>
    </r>
  </si>
  <si>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博式</t>
    </r>
  </si>
  <si>
    <r>
      <t>酒</t>
    </r>
    <r>
      <rPr>
        <sz val="11"/>
        <rFont val="ＭＳ Ｐゴシック"/>
        <family val="3"/>
        <charset val="134"/>
        <scheme val="minor"/>
      </rPr>
      <t>钗</t>
    </r>
  </si>
  <si>
    <r>
      <t>合江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天晟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</si>
  <si>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</si>
  <si>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香九州</t>
    </r>
  </si>
  <si>
    <r>
      <t>上海茅董</t>
    </r>
    <r>
      <rPr>
        <sz val="11"/>
        <rFont val="ＭＳ Ｐゴシック"/>
        <family val="3"/>
        <charset val="134"/>
        <scheme val="minor"/>
      </rPr>
      <t>酱</t>
    </r>
    <r>
      <rPr>
        <sz val="11"/>
        <rFont val="ＭＳ Ｐゴシック"/>
        <family val="3"/>
        <charset val="128"/>
        <scheme val="minor"/>
      </rPr>
      <t>酒文化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</si>
  <si>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市祥</t>
    </r>
    <r>
      <rPr>
        <sz val="11"/>
        <rFont val="ＭＳ Ｐゴシック"/>
        <family val="3"/>
        <charset val="134"/>
        <scheme val="minor"/>
      </rPr>
      <t>兴烧</t>
    </r>
    <r>
      <rPr>
        <sz val="11"/>
        <rFont val="ＭＳ Ｐゴシック"/>
        <family val="3"/>
        <charset val="128"/>
        <scheme val="minor"/>
      </rPr>
      <t>坊酒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</si>
  <si>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苹果酒;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黄酒</t>
    </r>
  </si>
  <si>
    <r>
      <t>醉孝</t>
    </r>
    <r>
      <rPr>
        <sz val="11"/>
        <rFont val="ＭＳ Ｐゴシック"/>
        <family val="3"/>
        <charset val="134"/>
        <scheme val="minor"/>
      </rPr>
      <t>嗡</t>
    </r>
  </si>
  <si>
    <r>
      <rPr>
        <sz val="11"/>
        <rFont val="ＭＳ Ｐゴシック"/>
        <family val="3"/>
        <charset val="134"/>
        <scheme val="minor"/>
      </rPr>
      <t>鲁</t>
    </r>
    <r>
      <rPr>
        <sz val="11"/>
        <rFont val="ＭＳ Ｐゴシック"/>
        <family val="3"/>
        <charset val="128"/>
        <scheme val="minor"/>
      </rPr>
      <t>商盛世(北京)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</si>
  <si>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清酒(日本米酒); 烈性干酒;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青稞酒; 高粱酒; 黄酒</t>
    </r>
  </si>
  <si>
    <r>
      <t>王成</t>
    </r>
    <r>
      <rPr>
        <sz val="11"/>
        <rFont val="ＭＳ Ｐゴシック"/>
        <family val="3"/>
        <charset val="134"/>
        <scheme val="minor"/>
      </rPr>
      <t>华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</si>
  <si>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利口酒;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餐后酒(利口酒和烈酒); 黄酒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</si>
  <si>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亮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</si>
  <si>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甜酒;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青梅酒; 青稞酒; 高粱酒</t>
    </r>
  </si>
  <si>
    <r>
      <t>三个</t>
    </r>
    <r>
      <rPr>
        <sz val="11"/>
        <rFont val="ＭＳ Ｐゴシック"/>
        <family val="3"/>
        <charset val="134"/>
        <scheme val="minor"/>
      </rPr>
      <t>馋喵</t>
    </r>
    <r>
      <rPr>
        <sz val="11"/>
        <rFont val="ＭＳ Ｐゴシック"/>
        <family val="3"/>
        <charset val="128"/>
        <scheme val="minor"/>
      </rPr>
      <t xml:space="preserve"> SUNGOCAMEW</t>
    </r>
  </si>
  <si>
    <r>
      <rPr>
        <sz val="11"/>
        <rFont val="ＭＳ Ｐゴシック"/>
        <family val="3"/>
        <charset val="134"/>
        <scheme val="minor"/>
      </rPr>
      <t>赵</t>
    </r>
    <r>
      <rPr>
        <sz val="11"/>
        <rFont val="ＭＳ Ｐゴシック"/>
        <family val="3"/>
        <charset val="128"/>
        <scheme val="minor"/>
      </rPr>
      <t>盟</t>
    </r>
  </si>
  <si>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光的土逗</t>
    </r>
  </si>
  <si>
    <r>
      <t>四川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大</t>
    </r>
    <r>
      <rPr>
        <sz val="11"/>
        <rFont val="ＭＳ Ｐゴシック"/>
        <family val="3"/>
        <charset val="134"/>
        <scheme val="minor"/>
      </rPr>
      <t>爷</t>
    </r>
    <r>
      <rPr>
        <sz val="11"/>
        <rFont val="ＭＳ Ｐゴシック"/>
        <family val="3"/>
        <charset val="128"/>
        <scheme val="minor"/>
      </rPr>
      <t>食品科技有限公司</t>
    </r>
  </si>
  <si>
    <r>
      <t>杏</t>
    </r>
    <r>
      <rPr>
        <sz val="11"/>
        <rFont val="ＭＳ Ｐゴシック"/>
        <family val="3"/>
        <charset val="134"/>
        <scheme val="minor"/>
      </rPr>
      <t>靥</t>
    </r>
  </si>
  <si>
    <r>
      <t>丁少</t>
    </r>
    <r>
      <rPr>
        <sz val="11"/>
        <rFont val="ＭＳ Ｐゴシック"/>
        <family val="3"/>
        <charset val="134"/>
        <scheme val="minor"/>
      </rPr>
      <t>艳</t>
    </r>
  </si>
  <si>
    <r>
      <t xml:space="preserve"> 果酒(含酒精); 清酒(日本米酒); 烈酒;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</t>
    </r>
  </si>
  <si>
    <r>
      <t>后</t>
    </r>
    <r>
      <rPr>
        <sz val="11"/>
        <rFont val="ＭＳ Ｐゴシック"/>
        <family val="3"/>
        <charset val="134"/>
        <scheme val="minor"/>
      </rPr>
      <t>稳</t>
    </r>
  </si>
  <si>
    <r>
      <t>南洋佰</t>
    </r>
    <r>
      <rPr>
        <sz val="11"/>
        <rFont val="ＭＳ Ｐゴシック"/>
        <family val="3"/>
        <charset val="134"/>
        <scheme val="minor"/>
      </rPr>
      <t>岁</t>
    </r>
  </si>
  <si>
    <r>
      <t>黄</t>
    </r>
    <r>
      <rPr>
        <sz val="11"/>
        <rFont val="ＭＳ Ｐゴシック"/>
        <family val="3"/>
        <charset val="134"/>
        <scheme val="minor"/>
      </rPr>
      <t>晓</t>
    </r>
    <r>
      <rPr>
        <sz val="11"/>
        <rFont val="ＭＳ Ｐゴシック"/>
        <family val="3"/>
        <charset val="128"/>
        <scheme val="minor"/>
      </rPr>
      <t>珺</t>
    </r>
  </si>
  <si>
    <r>
      <t xml:space="preserve"> 果酒(含酒精); 清酒;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草莓酒; 食用酒精</t>
    </r>
  </si>
  <si>
    <r>
      <rPr>
        <sz val="11"/>
        <rFont val="ＭＳ Ｐゴシック"/>
        <family val="3"/>
        <charset val="134"/>
        <scheme val="minor"/>
      </rPr>
      <t>谢</t>
    </r>
    <r>
      <rPr>
        <sz val="11"/>
        <rFont val="ＭＳ Ｐゴシック"/>
        <family val="3"/>
        <charset val="128"/>
        <scheme val="minor"/>
      </rPr>
      <t>如</t>
    </r>
    <r>
      <rPr>
        <sz val="11"/>
        <rFont val="ＭＳ Ｐゴシック"/>
        <family val="3"/>
        <charset val="134"/>
        <scheme val="minor"/>
      </rPr>
      <t>铭</t>
    </r>
  </si>
  <si>
    <r>
      <t xml:space="preserve"> 威士忌; 开胃酒;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</si>
  <si>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四川君</t>
    </r>
    <r>
      <rPr>
        <sz val="11"/>
        <rFont val="ＭＳ Ｐゴシック"/>
        <family val="3"/>
        <charset val="134"/>
        <scheme val="minor"/>
      </rPr>
      <t>鸿乐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</si>
  <si>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</si>
  <si>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北京永达昌盛商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</si>
  <si>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>彬</t>
    </r>
    <r>
      <rPr>
        <sz val="11"/>
        <rFont val="ＭＳ Ｐゴシック"/>
        <family val="3"/>
        <charset val="134"/>
        <scheme val="minor"/>
      </rPr>
      <t>烨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</si>
  <si>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州珍彬酒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</si>
  <si>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威士忌; 开胃酒;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高粱酒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</si>
  <si>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半船</t>
    </r>
  </si>
  <si>
    <r>
      <t xml:space="preserve"> 朝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族米酒;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</si>
  <si>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卓安</t>
    </r>
    <r>
      <rPr>
        <sz val="11"/>
        <rFont val="ＭＳ Ｐゴシック"/>
        <family val="3"/>
        <charset val="134"/>
        <scheme val="minor"/>
      </rPr>
      <t>驰</t>
    </r>
  </si>
  <si>
    <r>
      <t>宜</t>
    </r>
    <r>
      <rPr>
        <sz val="11"/>
        <rFont val="ＭＳ Ｐゴシック"/>
        <family val="3"/>
        <charset val="134"/>
        <scheme val="minor"/>
      </rPr>
      <t>宾</t>
    </r>
    <r>
      <rPr>
        <sz val="11"/>
        <rFont val="ＭＳ Ｐゴシック"/>
        <family val="3"/>
        <charset val="128"/>
        <scheme val="minor"/>
      </rPr>
      <t>西泉科技有限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</si>
  <si>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>山西春笋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器有限公司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</si>
  <si>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食用酒精; 黄酒</t>
    </r>
  </si>
  <si>
    <r>
      <rPr>
        <sz val="11"/>
        <rFont val="ＭＳ Ｐゴシック"/>
        <family val="3"/>
        <charset val="134"/>
        <scheme val="minor"/>
      </rPr>
      <t>迟顿</t>
    </r>
    <r>
      <rPr>
        <sz val="11"/>
        <rFont val="ＭＳ Ｐゴシック"/>
        <family val="3"/>
        <charset val="128"/>
        <scheme val="minor"/>
      </rPr>
      <t>酒庄</t>
    </r>
  </si>
  <si>
    <r>
      <t>湖</t>
    </r>
    <r>
      <rPr>
        <sz val="11"/>
        <rFont val="ＭＳ Ｐゴシック"/>
        <family val="3"/>
        <charset val="134"/>
        <scheme val="minor"/>
      </rPr>
      <t>泽</t>
    </r>
    <r>
      <rPr>
        <sz val="11"/>
        <rFont val="ＭＳ Ｐゴシック"/>
        <family val="3"/>
        <charset val="128"/>
        <scheme val="minor"/>
      </rPr>
      <t>淮香</t>
    </r>
  </si>
  <si>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旺</t>
    </r>
  </si>
  <si>
    <r>
      <t xml:space="preserve"> 果酒(含酒精); 清酒(日本米酒);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黄酒</t>
    </r>
  </si>
  <si>
    <r>
      <t>漫步</t>
    </r>
    <r>
      <rPr>
        <sz val="11"/>
        <rFont val="ＭＳ Ｐゴシック"/>
        <family val="3"/>
        <charset val="134"/>
        <scheme val="minor"/>
      </rPr>
      <t>闲</t>
    </r>
    <r>
      <rPr>
        <sz val="11"/>
        <rFont val="ＭＳ Ｐゴシック"/>
        <family val="3"/>
        <charset val="128"/>
        <scheme val="minor"/>
      </rPr>
      <t>庭</t>
    </r>
  </si>
  <si>
    <r>
      <t>高</t>
    </r>
    <r>
      <rPr>
        <sz val="11"/>
        <rFont val="ＭＳ Ｐゴシック"/>
        <family val="3"/>
        <charset val="134"/>
        <scheme val="minor"/>
      </rPr>
      <t>锐</t>
    </r>
    <r>
      <rPr>
        <sz val="11"/>
        <rFont val="ＭＳ Ｐゴシック"/>
        <family val="3"/>
        <charset val="128"/>
        <scheme val="minor"/>
      </rPr>
      <t>海(***)</t>
    </r>
  </si>
  <si>
    <r>
      <t xml:space="preserve">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白酒; 米酒;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</t>
    </r>
  </si>
  <si>
    <r>
      <rPr>
        <sz val="11"/>
        <rFont val="ＭＳ Ｐゴシック"/>
        <family val="3"/>
        <charset val="134"/>
        <scheme val="minor"/>
      </rPr>
      <t>银</t>
    </r>
    <r>
      <rPr>
        <sz val="11"/>
        <rFont val="ＭＳ Ｐゴシック"/>
        <family val="3"/>
        <charset val="128"/>
        <scheme val="minor"/>
      </rPr>
      <t>河</t>
    </r>
    <r>
      <rPr>
        <sz val="11"/>
        <rFont val="ＭＳ Ｐゴシック"/>
        <family val="3"/>
        <charset val="134"/>
        <scheme val="minor"/>
      </rPr>
      <t>锦绣</t>
    </r>
  </si>
  <si>
    <r>
      <rPr>
        <sz val="11"/>
        <rFont val="ＭＳ Ｐゴシック"/>
        <family val="3"/>
        <charset val="134"/>
        <scheme val="minor"/>
      </rPr>
      <t>陈晓</t>
    </r>
    <r>
      <rPr>
        <sz val="11"/>
        <rFont val="ＭＳ Ｐゴシック"/>
        <family val="3"/>
        <charset val="128"/>
        <scheme val="minor"/>
      </rPr>
      <t>玲</t>
    </r>
  </si>
  <si>
    <r>
      <t xml:space="preserve">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青稞酒; 食用酒精; 高粱酒; 黄酒</t>
    </r>
  </si>
  <si>
    <r>
      <rPr>
        <sz val="11"/>
        <rFont val="ＭＳ Ｐゴシック"/>
        <family val="3"/>
        <charset val="134"/>
        <scheme val="minor"/>
      </rPr>
      <t>劲诺</t>
    </r>
    <r>
      <rPr>
        <sz val="11"/>
        <rFont val="ＭＳ Ｐゴシック"/>
        <family val="3"/>
        <charset val="128"/>
        <scheme val="minor"/>
      </rPr>
      <t>达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</si>
  <si>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餐后酒(利口酒和烈酒); 黄酒</t>
    </r>
  </si>
  <si>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心</t>
    </r>
    <r>
      <rPr>
        <sz val="11"/>
        <rFont val="ＭＳ Ｐゴシック"/>
        <family val="3"/>
        <charset val="134"/>
        <scheme val="minor"/>
      </rPr>
      <t>妈妈</t>
    </r>
  </si>
  <si>
    <r>
      <t>王申</t>
    </r>
    <r>
      <rPr>
        <sz val="11"/>
        <rFont val="ＭＳ Ｐゴシック"/>
        <family val="3"/>
        <charset val="134"/>
        <scheme val="minor"/>
      </rPr>
      <t>兰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</si>
  <si>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</si>
  <si>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绿</t>
    </r>
    <r>
      <rPr>
        <sz val="11"/>
        <rFont val="ＭＳ Ｐゴシック"/>
        <family val="3"/>
        <charset val="128"/>
        <scheme val="minor"/>
      </rPr>
      <t>洲食代</t>
    </r>
  </si>
  <si>
    <r>
      <t>上海坤</t>
    </r>
    <r>
      <rPr>
        <sz val="11"/>
        <rFont val="ＭＳ Ｐゴシック"/>
        <family val="3"/>
        <charset val="134"/>
        <scheme val="minor"/>
      </rPr>
      <t>赋</t>
    </r>
    <r>
      <rPr>
        <sz val="11"/>
        <rFont val="ＭＳ Ｐゴシック"/>
        <family val="3"/>
        <charset val="128"/>
        <scheme val="minor"/>
      </rPr>
      <t>元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</si>
  <si>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</si>
  <si>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宁光</t>
    </r>
    <r>
      <rPr>
        <sz val="11"/>
        <rFont val="ＭＳ Ｐゴシック"/>
        <family val="3"/>
        <charset val="134"/>
        <scheme val="minor"/>
      </rPr>
      <t>华</t>
    </r>
  </si>
  <si>
    <r>
      <t xml:space="preserve">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</si>
  <si>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t>黄</t>
    </r>
    <r>
      <rPr>
        <sz val="11"/>
        <rFont val="ＭＳ Ｐゴシック"/>
        <family val="3"/>
        <charset val="134"/>
        <scheme val="minor"/>
      </rPr>
      <t>爱东</t>
    </r>
  </si>
  <si>
    <r>
      <t xml:space="preserve">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食用酒精; 黄酒</t>
    </r>
  </si>
  <si>
    <r>
      <t>云</t>
    </r>
    <r>
      <rPr>
        <sz val="11"/>
        <rFont val="ＭＳ Ｐゴシック"/>
        <family val="3"/>
        <charset val="134"/>
        <scheme val="minor"/>
      </rPr>
      <t>谭</t>
    </r>
  </si>
  <si>
    <r>
      <t xml:space="preserve">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</si>
  <si>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泰安复圣酒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</si>
  <si>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</si>
  <si>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厚有喜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</si>
  <si>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州国</t>
    </r>
    <r>
      <rPr>
        <sz val="11"/>
        <rFont val="ＭＳ Ｐゴシック"/>
        <family val="3"/>
        <charset val="134"/>
        <scheme val="minor"/>
      </rPr>
      <t>贵陈</t>
    </r>
    <r>
      <rPr>
        <sz val="11"/>
        <rFont val="ＭＳ Ｐゴシック"/>
        <family val="3"/>
        <charset val="128"/>
        <scheme val="minor"/>
      </rPr>
      <t>厚酒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</si>
  <si>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蒸煮提取物(利口酒和烈酒); 高粱酒</t>
    </r>
  </si>
  <si>
    <r>
      <rPr>
        <sz val="11"/>
        <rFont val="ＭＳ Ｐゴシック"/>
        <family val="3"/>
        <charset val="134"/>
        <scheme val="minor"/>
      </rPr>
      <t>张亚</t>
    </r>
    <r>
      <rPr>
        <sz val="11"/>
        <rFont val="ＭＳ Ｐゴシック"/>
        <family val="3"/>
        <charset val="128"/>
        <scheme val="minor"/>
      </rPr>
      <t>爽</t>
    </r>
  </si>
  <si>
    <r>
      <t xml:space="preserve"> 威士忌; 果酒(含酒精);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</si>
  <si>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赵满营</t>
    </r>
  </si>
  <si>
    <r>
      <t xml:space="preserve"> 威士忌; 果酒(含酒精);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</si>
  <si>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胡</t>
    </r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虎</t>
    </r>
  </si>
  <si>
    <r>
      <t xml:space="preserve"> 不起泡葡萄酒;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果酒; 果酒(含酒精); 甜果酒; 白葡萄酒;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起泡白葡萄酒</t>
    </r>
  </si>
  <si>
    <r>
      <rPr>
        <sz val="11"/>
        <rFont val="ＭＳ Ｐゴシック"/>
        <family val="3"/>
        <charset val="134"/>
        <scheme val="minor"/>
      </rPr>
      <t>凤</t>
    </r>
    <r>
      <rPr>
        <sz val="11"/>
        <rFont val="ＭＳ Ｐゴシック"/>
        <family val="3"/>
        <charset val="128"/>
        <scheme val="minor"/>
      </rPr>
      <t>天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渊</t>
    </r>
  </si>
  <si>
    <r>
      <t>周百</t>
    </r>
    <r>
      <rPr>
        <sz val="11"/>
        <rFont val="ＭＳ Ｐゴシック"/>
        <family val="3"/>
        <charset val="134"/>
        <scheme val="minor"/>
      </rPr>
      <t>强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</si>
  <si>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品; 威士忌; 果酒(含酒精); 清酒(日本米酒); 白酒; 米酒; 葡萄酒; </t>
    </r>
    <r>
      <rPr>
        <sz val="11"/>
        <rFont val="ＭＳ Ｐゴシック"/>
        <family val="3"/>
        <charset val="134"/>
        <scheme val="minor"/>
      </rPr>
      <t>预调</t>
    </r>
    <r>
      <rPr>
        <sz val="11"/>
        <rFont val="ＭＳ Ｐゴシック"/>
        <family val="3"/>
        <charset val="128"/>
        <scheme val="minor"/>
      </rPr>
      <t>甜酒; 黄酒</t>
    </r>
  </si>
  <si>
    <r>
      <t>正</t>
    </r>
    <r>
      <rPr>
        <sz val="11"/>
        <rFont val="ＭＳ Ｐゴシック"/>
        <family val="3"/>
        <charset val="134"/>
        <scheme val="minor"/>
      </rPr>
      <t>为贵</t>
    </r>
  </si>
  <si>
    <r>
      <t>十</t>
    </r>
    <r>
      <rPr>
        <sz val="11"/>
        <rFont val="ＭＳ Ｐゴシック"/>
        <family val="3"/>
        <charset val="134"/>
        <scheme val="minor"/>
      </rPr>
      <t>庆</t>
    </r>
  </si>
  <si>
    <r>
      <t>上海</t>
    </r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蘑网</t>
    </r>
    <r>
      <rPr>
        <sz val="11"/>
        <rFont val="ＭＳ Ｐゴシック"/>
        <family val="3"/>
        <charset val="134"/>
        <scheme val="minor"/>
      </rPr>
      <t>络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</si>
  <si>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威士忌;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</si>
  <si>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伴酌年</t>
    </r>
    <r>
      <rPr>
        <sz val="11"/>
        <rFont val="ＭＳ Ｐゴシック"/>
        <family val="3"/>
        <charset val="134"/>
        <scheme val="minor"/>
      </rPr>
      <t>华</t>
    </r>
  </si>
  <si>
    <r>
      <t xml:space="preserve"> 威士忌; 果酒(含酒精);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</si>
  <si>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双</t>
    </r>
    <r>
      <rPr>
        <sz val="11"/>
        <rFont val="ＭＳ Ｐゴシック"/>
        <family val="3"/>
        <charset val="134"/>
        <scheme val="minor"/>
      </rPr>
      <t>龙戏</t>
    </r>
    <r>
      <rPr>
        <sz val="11"/>
        <rFont val="ＭＳ Ｐゴシック"/>
        <family val="3"/>
        <charset val="128"/>
        <scheme val="minor"/>
      </rPr>
      <t>珠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 xml:space="preserve">  5</t>
    </r>
  </si>
  <si>
    <r>
      <t>四川杜甫酒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</si>
  <si>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威士忌;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</si>
  <si>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大潮商甄</t>
    </r>
    <r>
      <rPr>
        <sz val="11"/>
        <rFont val="ＭＳ Ｐゴシック"/>
        <family val="3"/>
        <charset val="134"/>
        <scheme val="minor"/>
      </rPr>
      <t>选</t>
    </r>
  </si>
  <si>
    <r>
      <t>深圳市大中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文化有限公司</t>
    </r>
  </si>
  <si>
    <r>
      <t xml:space="preserve"> 伏特加酒;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</si>
  <si>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小田姑娘</t>
    </r>
    <r>
      <rPr>
        <sz val="11"/>
        <rFont val="ＭＳ Ｐゴシック"/>
        <family val="3"/>
        <charset val="134"/>
        <scheme val="minor"/>
      </rPr>
      <t>颜</t>
    </r>
    <r>
      <rPr>
        <sz val="11"/>
        <rFont val="ＭＳ Ｐゴシック"/>
        <family val="3"/>
        <charset val="128"/>
        <scheme val="minor"/>
      </rPr>
      <t>之屋</t>
    </r>
  </si>
  <si>
    <r>
      <t>子</t>
    </r>
    <r>
      <rPr>
        <sz val="11"/>
        <rFont val="ＭＳ Ｐゴシック"/>
        <family val="3"/>
        <charset val="134"/>
        <scheme val="minor"/>
      </rPr>
      <t>归</t>
    </r>
    <r>
      <rPr>
        <sz val="11"/>
        <rFont val="ＭＳ Ｐゴシック"/>
        <family val="3"/>
        <charset val="128"/>
        <scheme val="minor"/>
      </rPr>
      <t>村播(屏南)新媒体有限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</si>
  <si>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</si>
  <si>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州紫</t>
    </r>
    <r>
      <rPr>
        <sz val="11"/>
        <rFont val="ＭＳ Ｐゴシック"/>
        <family val="3"/>
        <charset val="134"/>
        <scheme val="minor"/>
      </rPr>
      <t>荆</t>
    </r>
    <r>
      <rPr>
        <sz val="11"/>
        <rFont val="ＭＳ Ｐゴシック"/>
        <family val="3"/>
        <charset val="128"/>
        <scheme val="minor"/>
      </rPr>
      <t>御</t>
    </r>
    <r>
      <rPr>
        <sz val="11"/>
        <rFont val="ＭＳ Ｐゴシック"/>
        <family val="3"/>
        <charset val="134"/>
        <scheme val="minor"/>
      </rPr>
      <t>赐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</si>
  <si>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</si>
  <si>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湖北盈</t>
    </r>
    <r>
      <rPr>
        <sz val="11"/>
        <rFont val="ＭＳ Ｐゴシック"/>
        <family val="3"/>
        <charset val="134"/>
        <scheme val="minor"/>
      </rPr>
      <t>锋</t>
    </r>
    <r>
      <rPr>
        <sz val="11"/>
        <rFont val="ＭＳ Ｐゴシック"/>
        <family val="3"/>
        <charset val="128"/>
        <scheme val="minor"/>
      </rPr>
      <t>能源集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</si>
  <si>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朗姆酒;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米酒; 葡萄酒;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</si>
  <si>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二</t>
    </r>
    <r>
      <rPr>
        <sz val="11"/>
        <rFont val="ＭＳ Ｐゴシック"/>
        <family val="3"/>
        <charset val="134"/>
        <scheme val="minor"/>
      </rPr>
      <t>滨</t>
    </r>
  </si>
  <si>
    <r>
      <t>云</t>
    </r>
    <r>
      <rPr>
        <sz val="11"/>
        <rFont val="ＭＳ Ｐゴシック"/>
        <family val="3"/>
        <charset val="134"/>
        <scheme val="minor"/>
      </rPr>
      <t>业</t>
    </r>
  </si>
  <si>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笑培</t>
    </r>
  </si>
  <si>
    <r>
      <t>百</t>
    </r>
    <r>
      <rPr>
        <sz val="11"/>
        <rFont val="ＭＳ Ｐゴシック"/>
        <family val="3"/>
        <charset val="134"/>
        <scheme val="minor"/>
      </rPr>
      <t>应</t>
    </r>
    <r>
      <rPr>
        <sz val="11"/>
        <rFont val="ＭＳ Ｐゴシック"/>
        <family val="3"/>
        <charset val="128"/>
        <scheme val="minor"/>
      </rPr>
      <t>淘淘</t>
    </r>
  </si>
  <si>
    <r>
      <t>本溪</t>
    </r>
    <r>
      <rPr>
        <sz val="11"/>
        <rFont val="ＭＳ Ｐゴシック"/>
        <family val="3"/>
        <charset val="134"/>
        <scheme val="minor"/>
      </rPr>
      <t>绚</t>
    </r>
    <r>
      <rPr>
        <sz val="11"/>
        <rFont val="ＭＳ Ｐゴシック"/>
        <family val="3"/>
        <charset val="128"/>
        <scheme val="minor"/>
      </rPr>
      <t>茂超市有限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</si>
  <si>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威士忌;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</si>
  <si>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西域</t>
    </r>
    <r>
      <rPr>
        <sz val="11"/>
        <rFont val="ＭＳ Ｐゴシック"/>
        <family val="3"/>
        <charset val="134"/>
        <scheme val="minor"/>
      </rPr>
      <t>谊</t>
    </r>
  </si>
  <si>
    <r>
      <t>深圳</t>
    </r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快兔科技有限公司</t>
    </r>
  </si>
  <si>
    <r>
      <t xml:space="preserve"> 果酒(含酒精); 梅酒;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的白酒; 白葡萄酒;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</si>
  <si>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有隅甄</t>
    </r>
    <r>
      <rPr>
        <sz val="11"/>
        <rFont val="ＭＳ Ｐゴシック"/>
        <family val="3"/>
        <charset val="134"/>
        <scheme val="minor"/>
      </rPr>
      <t>选</t>
    </r>
  </si>
  <si>
    <r>
      <t>有隅(湖北)文化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</si>
  <si>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果酒; 烈酒; 白葡萄酒;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葡萄酒; 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制好的葡萄酒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 xml:space="preserve">尾酒;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</si>
  <si>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州博物</t>
    </r>
    <r>
      <rPr>
        <sz val="11"/>
        <rFont val="ＭＳ Ｐゴシック"/>
        <family val="3"/>
        <charset val="134"/>
        <scheme val="minor"/>
      </rPr>
      <t>馆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</si>
  <si>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苹果酒;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</si>
  <si>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果酒; 汽酒;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黄酒</t>
    </r>
  </si>
  <si>
    <r>
      <t>浙江高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食上供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管理合伙企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(有限合伙)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</si>
  <si>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清酒(日本米酒);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</si>
  <si>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陕</t>
    </r>
    <r>
      <rPr>
        <sz val="11"/>
        <rFont val="ＭＳ Ｐゴシック"/>
        <family val="3"/>
        <charset val="128"/>
        <scheme val="minor"/>
      </rPr>
      <t>家客</t>
    </r>
  </si>
  <si>
    <r>
      <t>黄</t>
    </r>
    <r>
      <rPr>
        <sz val="11"/>
        <rFont val="ＭＳ Ｐゴシック"/>
        <family val="3"/>
        <charset val="134"/>
        <scheme val="minor"/>
      </rPr>
      <t>晓莲</t>
    </r>
  </si>
  <si>
    <r>
      <t xml:space="preserve"> 伏特加酒; 果酒;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</si>
  <si>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沃德拉</t>
    </r>
    <r>
      <rPr>
        <sz val="11"/>
        <rFont val="ＭＳ Ｐゴシック"/>
        <family val="3"/>
        <charset val="134"/>
        <scheme val="minor"/>
      </rPr>
      <t>纳骑</t>
    </r>
    <r>
      <rPr>
        <sz val="11"/>
        <rFont val="ＭＳ Ｐゴシック"/>
        <family val="3"/>
        <charset val="128"/>
        <scheme val="minor"/>
      </rPr>
      <t>士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</si>
  <si>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州十二属相酒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</si>
  <si>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</t>
    </r>
  </si>
  <si>
    <r>
      <rPr>
        <sz val="11"/>
        <rFont val="ＭＳ Ｐゴシック"/>
        <family val="3"/>
        <charset val="134"/>
        <scheme val="minor"/>
      </rPr>
      <t>朩</t>
    </r>
  </si>
  <si>
    <r>
      <t>上海</t>
    </r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卡斯格国</t>
    </r>
    <r>
      <rPr>
        <sz val="11"/>
        <rFont val="ＭＳ Ｐゴシック"/>
        <family val="3"/>
        <charset val="134"/>
        <scheme val="minor"/>
      </rPr>
      <t>际贸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</si>
  <si>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伏特加酒; 威士忌; 开胃酒; 果酒(含酒精);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</si>
  <si>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1934-2024 西北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林科技大学 NORTHWEST A&amp;F UNIVERSITY 90周年校</t>
    </r>
    <r>
      <rPr>
        <sz val="11"/>
        <rFont val="ＭＳ Ｐゴシック"/>
        <family val="3"/>
        <charset val="134"/>
        <scheme val="minor"/>
      </rPr>
      <t>庆</t>
    </r>
  </si>
  <si>
    <r>
      <t>西北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林科技大学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</si>
  <si>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烈性干酒; 烈酒; 甜酒; 白葡萄酒;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茴香酒; 起泡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</t>
    </r>
  </si>
  <si>
    <r>
      <t>北京大酉文化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播有限公司</t>
    </r>
  </si>
  <si>
    <r>
      <t xml:space="preserve"> 果酒(含酒精);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</si>
  <si>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力酒; 伏特加酒; 利口酒; 威士忌;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苹果酒;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</si>
  <si>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梦之</t>
    </r>
    <r>
      <rPr>
        <sz val="11"/>
        <rFont val="ＭＳ Ｐゴシック"/>
        <family val="3"/>
        <charset val="134"/>
        <scheme val="minor"/>
      </rPr>
      <t>蓝</t>
    </r>
    <r>
      <rPr>
        <sz val="11"/>
        <rFont val="ＭＳ Ｐゴシック"/>
        <family val="3"/>
        <charset val="128"/>
        <scheme val="minor"/>
      </rPr>
      <t xml:space="preserve"> 开窖酒</t>
    </r>
  </si>
  <si>
    <r>
      <t xml:space="preserve"> 威士忌;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</si>
  <si>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四川</t>
    </r>
    <r>
      <rPr>
        <sz val="11"/>
        <rFont val="ＭＳ Ｐゴシック"/>
        <family val="3"/>
        <charset val="134"/>
        <scheme val="minor"/>
      </rPr>
      <t>泸</t>
    </r>
    <r>
      <rPr>
        <sz val="11"/>
        <rFont val="ＭＳ Ｐゴシック"/>
        <family val="3"/>
        <charset val="128"/>
        <scheme val="minor"/>
      </rPr>
      <t>州三溪酒厂有限公司</t>
    </r>
  </si>
  <si>
    <r>
      <t xml:space="preserve">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</si>
  <si>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驰龙马</t>
    </r>
  </si>
  <si>
    <r>
      <t>灵璧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梦</t>
    </r>
    <r>
      <rPr>
        <sz val="11"/>
        <rFont val="ＭＳ Ｐゴシック"/>
        <family val="3"/>
        <charset val="134"/>
        <scheme val="minor"/>
      </rPr>
      <t>闯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</si>
  <si>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清酒;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</si>
  <si>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协</t>
    </r>
    <r>
      <rPr>
        <sz val="11"/>
        <rFont val="ＭＳ Ｐゴシック"/>
        <family val="3"/>
        <charset val="128"/>
        <scheme val="minor"/>
      </rPr>
      <t>之合</t>
    </r>
  </si>
  <si>
    <r>
      <t>广西</t>
    </r>
    <r>
      <rPr>
        <sz val="11"/>
        <rFont val="ＭＳ Ｐゴシック"/>
        <family val="3"/>
        <charset val="134"/>
        <scheme val="minor"/>
      </rPr>
      <t>协</t>
    </r>
    <r>
      <rPr>
        <sz val="11"/>
        <rFont val="ＭＳ Ｐゴシック"/>
        <family val="3"/>
        <charset val="128"/>
        <scheme val="minor"/>
      </rPr>
      <t>之合生物科技有限公司</t>
    </r>
  </si>
  <si>
    <r>
      <t xml:space="preserve"> 威士忌;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</si>
  <si>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醉楠</t>
    </r>
    <r>
      <rPr>
        <sz val="11"/>
        <rFont val="ＭＳ Ｐゴシック"/>
        <family val="3"/>
        <charset val="134"/>
        <scheme val="minor"/>
      </rPr>
      <t>枫</t>
    </r>
  </si>
  <si>
    <r>
      <rPr>
        <sz val="11"/>
        <rFont val="ＭＳ Ｐゴシック"/>
        <family val="3"/>
        <charset val="134"/>
        <scheme val="minor"/>
      </rPr>
      <t>驰龙</t>
    </r>
    <r>
      <rPr>
        <sz val="11"/>
        <rFont val="ＭＳ Ｐゴシック"/>
        <family val="3"/>
        <charset val="128"/>
        <scheme val="minor"/>
      </rPr>
      <t>士</t>
    </r>
  </si>
  <si>
    <r>
      <t xml:space="preserve"> 利口酒;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</si>
  <si>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曦</t>
    </r>
    <r>
      <rPr>
        <sz val="11"/>
        <rFont val="ＭＳ Ｐゴシック"/>
        <family val="3"/>
        <charset val="134"/>
        <scheme val="minor"/>
      </rPr>
      <t>灿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</si>
  <si>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创灿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</si>
  <si>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酒; 果酒; 果酒(含酒精);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高粱酒; 黄酒</t>
    </r>
  </si>
  <si>
    <r>
      <t>玉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竹</t>
    </r>
  </si>
  <si>
    <r>
      <t>广西鹿呦山生</t>
    </r>
    <r>
      <rPr>
        <sz val="11"/>
        <rFont val="ＭＳ Ｐゴシック"/>
        <family val="3"/>
        <charset val="134"/>
        <scheme val="minor"/>
      </rPr>
      <t>态</t>
    </r>
    <r>
      <rPr>
        <sz val="11"/>
        <rFont val="ＭＳ Ｐゴシック"/>
        <family val="3"/>
        <charset val="128"/>
        <scheme val="minor"/>
      </rPr>
      <t>养殖有限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</si>
  <si>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利口酒;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</si>
  <si>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>余</t>
    </r>
    <r>
      <rPr>
        <sz val="11"/>
        <rFont val="ＭＳ Ｐゴシック"/>
        <family val="3"/>
        <charset val="134"/>
        <scheme val="minor"/>
      </rPr>
      <t>饮欢</t>
    </r>
  </si>
  <si>
    <r>
      <t>南京享</t>
    </r>
    <r>
      <rPr>
        <sz val="11"/>
        <rFont val="ＭＳ Ｐゴシック"/>
        <family val="3"/>
        <charset val="134"/>
        <scheme val="minor"/>
      </rPr>
      <t>亿</t>
    </r>
    <r>
      <rPr>
        <sz val="11"/>
        <rFont val="ＭＳ Ｐゴシック"/>
        <family val="3"/>
        <charset val="128"/>
        <scheme val="minor"/>
      </rPr>
      <t>推科技有限公司</t>
    </r>
  </si>
  <si>
    <r>
      <t xml:space="preserve"> 开胃酒; 果酒; 汽酒; 烈酒;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</si>
  <si>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世界互</t>
    </r>
    <r>
      <rPr>
        <sz val="11"/>
        <rFont val="ＭＳ Ｐゴシック"/>
        <family val="3"/>
        <charset val="134"/>
        <scheme val="minor"/>
      </rPr>
      <t>联</t>
    </r>
    <r>
      <rPr>
        <sz val="11"/>
        <rFont val="ＭＳ Ｐゴシック"/>
        <family val="3"/>
        <charset val="128"/>
        <scheme val="minor"/>
      </rPr>
      <t>网大会</t>
    </r>
    <r>
      <rPr>
        <sz val="11"/>
        <rFont val="ＭＳ Ｐゴシック"/>
        <family val="3"/>
        <charset val="134"/>
        <scheme val="minor"/>
      </rPr>
      <t>领</t>
    </r>
    <r>
      <rPr>
        <sz val="11"/>
        <rFont val="ＭＳ Ｐゴシック"/>
        <family val="3"/>
        <charset val="128"/>
        <scheme val="minor"/>
      </rPr>
      <t>先科技</t>
    </r>
    <r>
      <rPr>
        <sz val="11"/>
        <rFont val="ＭＳ Ｐゴシック"/>
        <family val="3"/>
        <charset val="134"/>
        <scheme val="minor"/>
      </rPr>
      <t>奖</t>
    </r>
    <r>
      <rPr>
        <sz val="11"/>
        <rFont val="ＭＳ Ｐゴシック"/>
        <family val="3"/>
        <charset val="128"/>
        <scheme val="minor"/>
      </rPr>
      <t xml:space="preserve"> WORLD INTERNET CONFERENCE AWARDS FOR PIONEERING SCIENCE AND TECHNOLOGY</t>
    </r>
  </si>
  <si>
    <r>
      <t>世界互</t>
    </r>
    <r>
      <rPr>
        <sz val="11"/>
        <rFont val="ＭＳ Ｐゴシック"/>
        <family val="3"/>
        <charset val="134"/>
        <scheme val="minor"/>
      </rPr>
      <t>联</t>
    </r>
    <r>
      <rPr>
        <sz val="11"/>
        <rFont val="ＭＳ Ｐゴシック"/>
        <family val="3"/>
        <charset val="128"/>
        <scheme val="minor"/>
      </rPr>
      <t>网大会</t>
    </r>
  </si>
  <si>
    <r>
      <t xml:space="preserve"> 利口酒; 威士忌; 果酒(含酒精);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</si>
  <si>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乌</t>
    </r>
    <r>
      <rPr>
        <sz val="11"/>
        <rFont val="ＭＳ Ｐゴシック"/>
        <family val="3"/>
        <charset val="128"/>
        <scheme val="minor"/>
      </rPr>
      <t>骨山城</t>
    </r>
  </si>
  <si>
    <r>
      <rPr>
        <sz val="11"/>
        <rFont val="ＭＳ Ｐゴシック"/>
        <family val="3"/>
        <charset val="134"/>
        <scheme val="minor"/>
      </rPr>
      <t>辽</t>
    </r>
    <r>
      <rPr>
        <sz val="11"/>
        <rFont val="ＭＳ Ｐゴシック"/>
        <family val="3"/>
        <charset val="128"/>
        <scheme val="minor"/>
      </rPr>
      <t>宁吉喆商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</si>
  <si>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开胃酒;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黄酒</t>
    </r>
  </si>
  <si>
    <r>
      <t>海南省</t>
    </r>
    <r>
      <rPr>
        <sz val="11"/>
        <rFont val="ＭＳ Ｐゴシック"/>
        <family val="3"/>
        <charset val="134"/>
        <scheme val="minor"/>
      </rPr>
      <t>农垦</t>
    </r>
    <r>
      <rPr>
        <sz val="11"/>
        <rFont val="ＭＳ Ｐゴシック"/>
        <family val="3"/>
        <charset val="128"/>
        <scheme val="minor"/>
      </rPr>
      <t>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控股集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</si>
  <si>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</si>
  <si>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人天相</t>
    </r>
  </si>
  <si>
    <r>
      <t>靖安</t>
    </r>
    <r>
      <rPr>
        <sz val="11"/>
        <rFont val="ＭＳ Ｐゴシック"/>
        <family val="3"/>
        <charset val="134"/>
        <scheme val="minor"/>
      </rPr>
      <t>县亿</t>
    </r>
    <r>
      <rPr>
        <sz val="11"/>
        <rFont val="ＭＳ Ｐゴシック"/>
        <family val="3"/>
        <charset val="128"/>
        <scheme val="minor"/>
      </rPr>
      <t>盛</t>
    </r>
    <r>
      <rPr>
        <sz val="11"/>
        <rFont val="ＭＳ Ｐゴシック"/>
        <family val="3"/>
        <charset val="134"/>
        <scheme val="minor"/>
      </rPr>
      <t>营销</t>
    </r>
    <r>
      <rPr>
        <sz val="11"/>
        <rFont val="ＭＳ Ｐゴシック"/>
        <family val="3"/>
        <charset val="128"/>
        <scheme val="minor"/>
      </rPr>
      <t>策划有限公司</t>
    </r>
  </si>
  <si>
    <r>
      <t xml:space="preserve"> 威士忌;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</si>
  <si>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益膳食品有限公司</t>
    </r>
  </si>
  <si>
    <r>
      <t xml:space="preserve"> 威士忌; 果酒(含酒精); 柑香酒;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</si>
  <si>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应</t>
    </r>
    <r>
      <rPr>
        <sz val="11"/>
        <rFont val="ＭＳ Ｐゴシック"/>
        <family val="3"/>
        <charset val="128"/>
        <scheme val="minor"/>
      </rPr>
      <t>天</t>
    </r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空</t>
    </r>
  </si>
  <si>
    <r>
      <t>北京</t>
    </r>
    <r>
      <rPr>
        <sz val="11"/>
        <rFont val="ＭＳ Ｐゴシック"/>
        <family val="3"/>
        <charset val="134"/>
        <scheme val="minor"/>
      </rPr>
      <t>应</t>
    </r>
    <r>
      <rPr>
        <sz val="11"/>
        <rFont val="ＭＳ Ｐゴシック"/>
        <family val="3"/>
        <charset val="128"/>
        <scheme val="minor"/>
      </rPr>
      <t>天映天文化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播有限公司</t>
    </r>
  </si>
  <si>
    <r>
      <t xml:space="preserve"> 伏特加酒; 威士忌; 朗姆酒;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</si>
  <si>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69号牧</t>
    </r>
    <r>
      <rPr>
        <sz val="11"/>
        <rFont val="ＭＳ Ｐゴシック"/>
        <family val="3"/>
        <charset val="134"/>
        <scheme val="minor"/>
      </rPr>
      <t>场</t>
    </r>
  </si>
  <si>
    <r>
      <t>深圳市开朗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</si>
  <si>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朗姆酒; 果酒(含酒精); 清酒(日本米酒);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黄酒</t>
    </r>
  </si>
  <si>
    <r>
      <rPr>
        <sz val="11"/>
        <rFont val="ＭＳ Ｐゴシック"/>
        <family val="3"/>
        <charset val="134"/>
        <scheme val="minor"/>
      </rPr>
      <t>诺</t>
    </r>
    <r>
      <rPr>
        <sz val="11"/>
        <rFont val="ＭＳ Ｐゴシック"/>
        <family val="3"/>
        <charset val="128"/>
        <scheme val="minor"/>
      </rPr>
      <t>心送</t>
    </r>
  </si>
  <si>
    <r>
      <rPr>
        <sz val="11"/>
        <rFont val="ＭＳ Ｐゴシック"/>
        <family val="3"/>
        <charset val="134"/>
        <scheme val="minor"/>
      </rPr>
      <t>诺</t>
    </r>
    <r>
      <rPr>
        <sz val="11"/>
        <rFont val="ＭＳ Ｐゴシック"/>
        <family val="3"/>
        <charset val="128"/>
        <scheme val="minor"/>
      </rPr>
      <t>心食品(上海)有限公司</t>
    </r>
  </si>
  <si>
    <r>
      <t xml:space="preserve"> 利口酒; 威士忌; 果酒;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</si>
  <si>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赵</t>
    </r>
    <r>
      <rPr>
        <sz val="11"/>
        <rFont val="ＭＳ Ｐゴシック"/>
        <family val="3"/>
        <charset val="128"/>
        <scheme val="minor"/>
      </rPr>
      <t>冬喜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</si>
  <si>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果酒; 梨酒; 清酒;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</si>
  <si>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t>厦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晟</t>
    </r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帝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</si>
  <si>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</si>
  <si>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老伯</t>
    </r>
  </si>
  <si>
    <r>
      <t>南通八点半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</si>
  <si>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果酒(含酒精); 汽酒;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</si>
  <si>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磐安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云班信息咨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部(个体工商</t>
    </r>
    <r>
      <rPr>
        <sz val="11"/>
        <rFont val="ＭＳ Ｐゴシック"/>
        <family val="3"/>
        <charset val="134"/>
        <scheme val="minor"/>
      </rPr>
      <t>户</t>
    </r>
    <r>
      <rPr>
        <sz val="11"/>
        <rFont val="ＭＳ Ｐゴシック"/>
        <family val="3"/>
        <charset val="128"/>
        <scheme val="minor"/>
      </rPr>
      <t>)</t>
    </r>
  </si>
  <si>
    <r>
      <t xml:space="preserve"> 威士忌;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</si>
  <si>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福</t>
    </r>
    <r>
      <rPr>
        <sz val="11"/>
        <rFont val="ＭＳ Ｐゴシック"/>
        <family val="3"/>
        <charset val="134"/>
        <scheme val="minor"/>
      </rPr>
      <t>门勋</t>
    </r>
  </si>
  <si>
    <r>
      <t>南京逸晨</t>
    </r>
    <r>
      <rPr>
        <sz val="11"/>
        <rFont val="ＭＳ Ｐゴシック"/>
        <family val="3"/>
        <charset val="134"/>
        <scheme val="minor"/>
      </rPr>
      <t>驹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</si>
  <si>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>富精(太</t>
    </r>
    <r>
      <rPr>
        <sz val="11"/>
        <rFont val="ＭＳ Ｐゴシック"/>
        <family val="3"/>
        <charset val="134"/>
        <scheme val="minor"/>
      </rPr>
      <t>仓</t>
    </r>
    <r>
      <rPr>
        <sz val="11"/>
        <rFont val="ＭＳ Ｐゴシック"/>
        <family val="3"/>
        <charset val="128"/>
        <scheme val="minor"/>
      </rPr>
      <t>)木制品有限公司</t>
    </r>
  </si>
  <si>
    <r>
      <t xml:space="preserve">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</si>
  <si>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同</t>
    </r>
    <r>
      <rPr>
        <sz val="11"/>
        <rFont val="ＭＳ Ｐゴシック"/>
        <family val="3"/>
        <charset val="134"/>
        <scheme val="minor"/>
      </rPr>
      <t>练</t>
    </r>
    <r>
      <rPr>
        <sz val="11"/>
        <rFont val="ＭＳ Ｐゴシック"/>
        <family val="3"/>
        <charset val="128"/>
        <scheme val="minor"/>
      </rPr>
      <t>煨</t>
    </r>
  </si>
  <si>
    <r>
      <rPr>
        <sz val="11"/>
        <rFont val="ＭＳ Ｐゴシック"/>
        <family val="3"/>
        <charset val="134"/>
        <scheme val="minor"/>
      </rPr>
      <t>谢风闪</t>
    </r>
  </si>
  <si>
    <r>
      <t xml:space="preserve"> 伏特加酒; 威士忌; 朗姆酒;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</si>
  <si>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美</t>
    </r>
    <r>
      <rPr>
        <sz val="11"/>
        <rFont val="ＭＳ Ｐゴシック"/>
        <family val="3"/>
        <charset val="134"/>
        <scheme val="minor"/>
      </rPr>
      <t>汉纳</t>
    </r>
    <r>
      <rPr>
        <sz val="11"/>
        <rFont val="ＭＳ Ｐゴシック"/>
        <family val="3"/>
        <charset val="128"/>
        <scheme val="minor"/>
      </rPr>
      <t xml:space="preserve"> MEIHANA</t>
    </r>
  </si>
  <si>
    <r>
      <t>美</t>
    </r>
    <r>
      <rPr>
        <sz val="11"/>
        <rFont val="ＭＳ Ｐゴシック"/>
        <family val="3"/>
        <charset val="134"/>
        <scheme val="minor"/>
      </rPr>
      <t>汉纳</t>
    </r>
    <r>
      <rPr>
        <sz val="11"/>
        <rFont val="ＭＳ Ｐゴシック"/>
        <family val="3"/>
        <charset val="128"/>
        <scheme val="minor"/>
      </rPr>
      <t>(沈阳)国</t>
    </r>
    <r>
      <rPr>
        <sz val="11"/>
        <rFont val="ＭＳ Ｐゴシック"/>
        <family val="3"/>
        <charset val="134"/>
        <scheme val="minor"/>
      </rPr>
      <t>际贸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</si>
  <si>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果酒(含酒精);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白葡萄酒; 白酒;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</si>
  <si>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闫</t>
    </r>
    <r>
      <rPr>
        <sz val="11"/>
        <rFont val="ＭＳ Ｐゴシック"/>
        <family val="3"/>
        <charset val="128"/>
        <scheme val="minor"/>
      </rPr>
      <t>江山</t>
    </r>
  </si>
  <si>
    <r>
      <t>旭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佳佳</t>
    </r>
  </si>
  <si>
    <r>
      <t>刘永</t>
    </r>
    <r>
      <rPr>
        <sz val="11"/>
        <rFont val="ＭＳ Ｐゴシック"/>
        <family val="3"/>
        <charset val="134"/>
        <scheme val="minor"/>
      </rPr>
      <t>绪</t>
    </r>
  </si>
  <si>
    <r>
      <rPr>
        <sz val="11"/>
        <rFont val="ＭＳ Ｐゴシック"/>
        <family val="3"/>
        <charset val="134"/>
        <scheme val="minor"/>
      </rPr>
      <t>赵卫</t>
    </r>
    <r>
      <rPr>
        <sz val="11"/>
        <rFont val="ＭＳ Ｐゴシック"/>
        <family val="3"/>
        <charset val="128"/>
        <scheme val="minor"/>
      </rPr>
      <t>国</t>
    </r>
  </si>
  <si>
    <r>
      <t xml:space="preserve"> 利口酒; 果酒(含酒精); 柑香酒;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</si>
  <si>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翰思(广州)供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</si>
  <si>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威士忌;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</si>
  <si>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韵典</t>
    </r>
    <r>
      <rPr>
        <sz val="11"/>
        <rFont val="ＭＳ Ｐゴシック"/>
        <family val="3"/>
        <charset val="134"/>
        <scheme val="minor"/>
      </rPr>
      <t>玺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</si>
  <si>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康天</t>
    </r>
    <r>
      <rPr>
        <sz val="11"/>
        <rFont val="ＭＳ Ｐゴシック"/>
        <family val="3"/>
        <charset val="134"/>
        <scheme val="minor"/>
      </rPr>
      <t>时</t>
    </r>
  </si>
  <si>
    <r>
      <t>吐洪江·吾</t>
    </r>
    <r>
      <rPr>
        <sz val="11"/>
        <rFont val="ＭＳ Ｐゴシック"/>
        <family val="3"/>
        <charset val="134"/>
        <scheme val="minor"/>
      </rPr>
      <t>买尔</t>
    </r>
  </si>
  <si>
    <r>
      <t xml:space="preserve"> 威士忌; 开胃酒; 朗姆酒;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</si>
  <si>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海餐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文化管理(深圳)有限公司</t>
    </r>
  </si>
  <si>
    <r>
      <rPr>
        <sz val="11"/>
        <rFont val="ＭＳ Ｐゴシック"/>
        <family val="3"/>
        <charset val="134"/>
        <scheme val="minor"/>
      </rPr>
      <t>苍</t>
    </r>
    <r>
      <rPr>
        <sz val="11"/>
        <rFont val="ＭＳ Ｐゴシック"/>
        <family val="3"/>
        <charset val="128"/>
        <scheme val="minor"/>
      </rPr>
      <t>奇</t>
    </r>
  </si>
  <si>
    <r>
      <t>翁牛特旗博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</si>
  <si>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青稞酒; 食用酒精; 黄酒</t>
    </r>
  </si>
  <si>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珍永瑞</t>
    </r>
  </si>
  <si>
    <r>
      <rPr>
        <sz val="11"/>
        <rFont val="ＭＳ Ｐゴシック"/>
        <family val="3"/>
        <charset val="134"/>
        <scheme val="minor"/>
      </rPr>
      <t>邓庆</t>
    </r>
    <r>
      <rPr>
        <sz val="11"/>
        <rFont val="ＭＳ Ｐゴシック"/>
        <family val="3"/>
        <charset val="128"/>
        <scheme val="minor"/>
      </rPr>
      <t>添</t>
    </r>
  </si>
  <si>
    <r>
      <t xml:space="preserve"> 开胃酒;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</si>
  <si>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孙</t>
    </r>
    <r>
      <rPr>
        <sz val="11"/>
        <rFont val="ＭＳ Ｐゴシック"/>
        <family val="3"/>
        <charset val="128"/>
        <scheme val="minor"/>
      </rPr>
      <t>来春</t>
    </r>
  </si>
  <si>
    <r>
      <t>上海林清</t>
    </r>
    <r>
      <rPr>
        <sz val="11"/>
        <rFont val="ＭＳ Ｐゴシック"/>
        <family val="3"/>
        <charset val="134"/>
        <scheme val="minor"/>
      </rPr>
      <t>轩</t>
    </r>
    <r>
      <rPr>
        <sz val="11"/>
        <rFont val="ＭＳ Ｐゴシック"/>
        <family val="3"/>
        <charset val="128"/>
        <scheme val="minor"/>
      </rPr>
      <t>生物科技股份有限公司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</si>
  <si>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力酒; 威士忌; 开胃酒; 朗姆酒; 果酒(含酒精); 清酒(日本米酒);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</t>
    </r>
  </si>
  <si>
    <r>
      <t>海</t>
    </r>
    <r>
      <rPr>
        <sz val="11"/>
        <rFont val="ＭＳ Ｐゴシック"/>
        <family val="3"/>
        <charset val="134"/>
        <scheme val="minor"/>
      </rPr>
      <t>谜</t>
    </r>
  </si>
  <si>
    <r>
      <t>徐州皕云百</t>
    </r>
    <r>
      <rPr>
        <sz val="11"/>
        <rFont val="ＭＳ Ｐゴシック"/>
        <family val="3"/>
        <charset val="134"/>
        <scheme val="minor"/>
      </rPr>
      <t>货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</si>
  <si>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佐餐酒;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汽酒; 清酒;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</si>
  <si>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 xml:space="preserve"> 利口酒; 梅酒; 清酒;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食用酒精; 黄酒; 黑覆盆子酒</t>
    </r>
  </si>
  <si>
    <r>
      <t>广西</t>
    </r>
    <r>
      <rPr>
        <sz val="11"/>
        <rFont val="ＭＳ Ｐゴシック"/>
        <family val="3"/>
        <charset val="134"/>
        <scheme val="minor"/>
      </rPr>
      <t>鸿</t>
    </r>
    <r>
      <rPr>
        <sz val="11"/>
        <rFont val="ＭＳ Ｐゴシック"/>
        <family val="3"/>
        <charset val="128"/>
        <scheme val="minor"/>
      </rPr>
      <t>来盛景投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</si>
  <si>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薄荷酒; 黄酒</t>
    </r>
  </si>
  <si>
    <r>
      <rPr>
        <sz val="11"/>
        <rFont val="ＭＳ Ｐゴシック"/>
        <family val="3"/>
        <charset val="134"/>
        <scheme val="minor"/>
      </rPr>
      <t>岚</t>
    </r>
    <r>
      <rPr>
        <sz val="11"/>
        <rFont val="ＭＳ Ｐゴシック"/>
        <family val="3"/>
        <charset val="128"/>
        <scheme val="minor"/>
      </rPr>
      <t>煌</t>
    </r>
  </si>
  <si>
    <r>
      <t>彭桂</t>
    </r>
    <r>
      <rPr>
        <sz val="11"/>
        <rFont val="ＭＳ Ｐゴシック"/>
        <family val="3"/>
        <charset val="134"/>
        <scheme val="minor"/>
      </rPr>
      <t>兰</t>
    </r>
  </si>
  <si>
    <r>
      <t>六吉</t>
    </r>
    <r>
      <rPr>
        <sz val="11"/>
        <rFont val="ＭＳ Ｐゴシック"/>
        <family val="3"/>
        <charset val="134"/>
        <scheme val="minor"/>
      </rPr>
      <t>门</t>
    </r>
  </si>
  <si>
    <r>
      <rPr>
        <sz val="11"/>
        <rFont val="ＭＳ Ｐゴシック"/>
        <family val="3"/>
        <charset val="134"/>
        <scheme val="minor"/>
      </rPr>
      <t>许亚军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</si>
  <si>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果酒(含酒精); 梅酒;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的白酒;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黄酒</t>
    </r>
  </si>
  <si>
    <r>
      <t>喜日子酒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</si>
  <si>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</si>
  <si>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三碗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</si>
  <si>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食用酒精</t>
    </r>
  </si>
  <si>
    <r>
      <t>世</t>
    </r>
    <r>
      <rPr>
        <sz val="11"/>
        <rFont val="ＭＳ Ｐゴシック"/>
        <family val="3"/>
        <charset val="134"/>
        <scheme val="minor"/>
      </rPr>
      <t>统</t>
    </r>
  </si>
  <si>
    <r>
      <t>速霸多集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</si>
  <si>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汽酒; 白干酒(中国白酒);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</si>
  <si>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斌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</si>
  <si>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</t>
    </r>
  </si>
  <si>
    <r>
      <t>翠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宝盖</t>
    </r>
  </si>
  <si>
    <r>
      <t>乾文</t>
    </r>
    <r>
      <rPr>
        <sz val="11"/>
        <rFont val="ＭＳ Ｐゴシック"/>
        <family val="3"/>
        <charset val="134"/>
        <scheme val="minor"/>
      </rPr>
      <t>鸿</t>
    </r>
  </si>
  <si>
    <r>
      <t>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旭</t>
    </r>
  </si>
  <si>
    <r>
      <t xml:space="preserve"> 果酒(含酒精);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高粱酒; 黄酒</t>
    </r>
  </si>
  <si>
    <r>
      <rPr>
        <sz val="11"/>
        <rFont val="ＭＳ Ｐゴシック"/>
        <family val="3"/>
        <charset val="134"/>
        <scheme val="minor"/>
      </rPr>
      <t>馆</t>
    </r>
    <r>
      <rPr>
        <sz val="11"/>
        <rFont val="ＭＳ Ｐゴシック"/>
        <family val="3"/>
        <charset val="128"/>
        <scheme val="minor"/>
      </rPr>
      <t>史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</si>
  <si>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州瓷藏酒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</si>
  <si>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金</t>
    </r>
    <r>
      <rPr>
        <sz val="11"/>
        <rFont val="ＭＳ Ｐゴシック"/>
        <family val="3"/>
        <charset val="134"/>
        <scheme val="minor"/>
      </rPr>
      <t>匮</t>
    </r>
    <r>
      <rPr>
        <sz val="11"/>
        <rFont val="ＭＳ Ｐゴシック"/>
        <family val="3"/>
        <charset val="128"/>
        <scheme val="minor"/>
      </rPr>
      <t>二泉</t>
    </r>
  </si>
  <si>
    <r>
      <t>江</t>
    </r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金</t>
    </r>
    <r>
      <rPr>
        <sz val="11"/>
        <rFont val="ＭＳ Ｐゴシック"/>
        <family val="3"/>
        <charset val="134"/>
        <scheme val="minor"/>
      </rPr>
      <t>匮</t>
    </r>
    <r>
      <rPr>
        <sz val="11"/>
        <rFont val="ＭＳ Ｐゴシック"/>
        <family val="3"/>
        <charset val="128"/>
        <scheme val="minor"/>
      </rPr>
      <t>二泉文化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</si>
  <si>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</si>
  <si>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梁建</t>
    </r>
    <r>
      <rPr>
        <sz val="11"/>
        <rFont val="ＭＳ Ｐゴシック"/>
        <family val="3"/>
        <charset val="134"/>
        <scheme val="minor"/>
      </rPr>
      <t>军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</si>
  <si>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黄酒</t>
    </r>
  </si>
  <si>
    <r>
      <t>康倍健生物技</t>
    </r>
    <r>
      <rPr>
        <sz val="11"/>
        <rFont val="ＭＳ Ｐゴシック"/>
        <family val="3"/>
        <charset val="134"/>
        <scheme val="minor"/>
      </rPr>
      <t>术</t>
    </r>
    <r>
      <rPr>
        <sz val="11"/>
        <rFont val="ＭＳ Ｐゴシック"/>
        <family val="3"/>
        <charset val="128"/>
        <scheme val="minor"/>
      </rPr>
      <t>(江</t>
    </r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)有限公司</t>
    </r>
  </si>
  <si>
    <r>
      <t xml:space="preserve">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苦味酒;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</si>
  <si>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四川堃</t>
    </r>
    <r>
      <rPr>
        <sz val="11"/>
        <rFont val="ＭＳ Ｐゴシック"/>
        <family val="3"/>
        <charset val="134"/>
        <scheme val="minor"/>
      </rPr>
      <t>润</t>
    </r>
    <r>
      <rPr>
        <sz val="11"/>
        <rFont val="ＭＳ Ｐゴシック"/>
        <family val="3"/>
        <charset val="128"/>
        <scheme val="minor"/>
      </rPr>
      <t>文化旅游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</si>
  <si>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佐餐酒;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开胃酒; 果酒; 汽酒; 清酒; 米酒; 青稞酒; 黄酒</t>
    </r>
  </si>
  <si>
    <r>
      <t>上海馥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食品有限公司</t>
    </r>
  </si>
  <si>
    <r>
      <t xml:space="preserve"> 果酒; 清酒(日本米酒); 烈酒;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</si>
  <si>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>鑫湶玉</t>
    </r>
    <r>
      <rPr>
        <sz val="11"/>
        <rFont val="ＭＳ Ｐゴシック"/>
        <family val="3"/>
        <charset val="134"/>
        <scheme val="minor"/>
      </rPr>
      <t>酿</t>
    </r>
  </si>
  <si>
    <r>
      <t xml:space="preserve"> 利口酒;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餐后酒(利口酒和烈酒)</t>
    </r>
  </si>
  <si>
    <r>
      <t>醉美</t>
    </r>
    <r>
      <rPr>
        <sz val="11"/>
        <rFont val="ＭＳ Ｐゴシック"/>
        <family val="3"/>
        <charset val="134"/>
        <scheme val="minor"/>
      </rPr>
      <t>荞芗</t>
    </r>
  </si>
  <si>
    <r>
      <rPr>
        <sz val="11"/>
        <rFont val="ＭＳ Ｐゴシック"/>
        <family val="3"/>
        <charset val="134"/>
        <scheme val="minor"/>
      </rPr>
      <t>孙</t>
    </r>
    <r>
      <rPr>
        <sz val="11"/>
        <rFont val="ＭＳ Ｐゴシック"/>
        <family val="3"/>
        <charset val="128"/>
        <scheme val="minor"/>
      </rPr>
      <t>兵枢</t>
    </r>
  </si>
  <si>
    <r>
      <t xml:space="preserve">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</si>
  <si>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rPr>
        <sz val="11"/>
        <rFont val="ＭＳ Ｐゴシック"/>
        <family val="3"/>
        <charset val="134"/>
        <scheme val="minor"/>
      </rPr>
      <t>边</t>
    </r>
    <r>
      <rPr>
        <sz val="11"/>
        <rFont val="ＭＳ Ｐゴシック"/>
        <family val="3"/>
        <charset val="128"/>
        <scheme val="minor"/>
      </rPr>
      <t>城大小姐</t>
    </r>
  </si>
  <si>
    <r>
      <t>湖南俏湘楚</t>
    </r>
    <r>
      <rPr>
        <sz val="11"/>
        <rFont val="ＭＳ Ｐゴシック"/>
        <family val="3"/>
        <charset val="134"/>
        <scheme val="minor"/>
      </rPr>
      <t>农业发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</si>
  <si>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品;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果酒(含酒精); 汽酒; 甜酒; 白酒; 米酒; 葡萄酒; 露酒;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</si>
  <si>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浙江桃园酒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</si>
  <si>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开胃酒; 果酒; 清酒; 烈酒;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</si>
  <si>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择</t>
    </r>
    <r>
      <rPr>
        <sz val="11"/>
        <rFont val="ＭＳ Ｐゴシック"/>
        <family val="3"/>
        <charset val="128"/>
        <scheme val="minor"/>
      </rPr>
      <t>路同行</t>
    </r>
  </si>
  <si>
    <r>
      <t>海口</t>
    </r>
    <r>
      <rPr>
        <sz val="11"/>
        <rFont val="ＭＳ Ｐゴシック"/>
        <family val="3"/>
        <charset val="134"/>
        <scheme val="minor"/>
      </rPr>
      <t>举</t>
    </r>
    <r>
      <rPr>
        <sz val="11"/>
        <rFont val="ＭＳ Ｐゴシック"/>
        <family val="3"/>
        <charset val="128"/>
        <scheme val="minor"/>
      </rPr>
      <t>仁科技有限公司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</si>
  <si>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餐后酒(利口酒和烈酒)</t>
    </r>
  </si>
  <si>
    <r>
      <t>苗双</t>
    </r>
    <r>
      <rPr>
        <sz val="11"/>
        <rFont val="ＭＳ Ｐゴシック"/>
        <family val="3"/>
        <charset val="134"/>
        <scheme val="minor"/>
      </rPr>
      <t>龙</t>
    </r>
  </si>
  <si>
    <r>
      <t>彭水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双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洞</t>
    </r>
    <r>
      <rPr>
        <sz val="11"/>
        <rFont val="ＭＳ Ｐゴシック"/>
        <family val="3"/>
        <charset val="134"/>
        <scheme val="minor"/>
      </rPr>
      <t>农业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</si>
  <si>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蝮蛇酒; 食用酒精; 高粱酒</t>
    </r>
  </si>
  <si>
    <r>
      <rPr>
        <sz val="11"/>
        <rFont val="ＭＳ Ｐゴシック"/>
        <family val="3"/>
        <charset val="134"/>
        <scheme val="minor"/>
      </rPr>
      <t>张庆</t>
    </r>
    <r>
      <rPr>
        <sz val="11"/>
        <rFont val="ＭＳ Ｐゴシック"/>
        <family val="3"/>
        <charset val="128"/>
        <scheme val="minor"/>
      </rPr>
      <t>林</t>
    </r>
  </si>
  <si>
    <r>
      <t xml:space="preserve"> 清酒; 清酒(日本米酒);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白干酒(中国白酒); 白酒;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</si>
  <si>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馪涧</t>
    </r>
  </si>
  <si>
    <r>
      <t>深圳市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天林科技有限公司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</si>
  <si>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梨酒;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苦味酒;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</si>
  <si>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贤</t>
    </r>
    <r>
      <rPr>
        <sz val="11"/>
        <rFont val="ＭＳ Ｐゴシック"/>
        <family val="3"/>
        <charset val="128"/>
        <scheme val="minor"/>
      </rPr>
      <t>九洲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</si>
  <si>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枫</t>
    </r>
    <r>
      <rPr>
        <sz val="11"/>
        <rFont val="ＭＳ Ｐゴシック"/>
        <family val="3"/>
        <charset val="128"/>
        <scheme val="minor"/>
      </rPr>
      <t>山浙商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</si>
  <si>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高粱酒; 黄酒</t>
    </r>
  </si>
  <si>
    <r>
      <t>福有</t>
    </r>
    <r>
      <rPr>
        <sz val="11"/>
        <rFont val="ＭＳ Ｐゴシック"/>
        <family val="3"/>
        <charset val="134"/>
        <scheme val="minor"/>
      </rPr>
      <t>乐</t>
    </r>
  </si>
  <si>
    <r>
      <t>合肥福有</t>
    </r>
    <r>
      <rPr>
        <sz val="11"/>
        <rFont val="ＭＳ Ｐゴシック"/>
        <family val="3"/>
        <charset val="134"/>
        <scheme val="minor"/>
      </rPr>
      <t>乐农业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</si>
  <si>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开胃酒; 果酒(含酒精); 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甜酒; 白酒; 米酒;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苹果酒; 黄酒</t>
    </r>
  </si>
  <si>
    <r>
      <t>泉韵</t>
    </r>
    <r>
      <rPr>
        <sz val="11"/>
        <rFont val="ＭＳ Ｐゴシック"/>
        <family val="3"/>
        <charset val="134"/>
        <scheme val="minor"/>
      </rPr>
      <t>铜</t>
    </r>
    <r>
      <rPr>
        <sz val="11"/>
        <rFont val="ＭＳ Ｐゴシック"/>
        <family val="3"/>
        <charset val="128"/>
        <scheme val="minor"/>
      </rPr>
      <t>井</t>
    </r>
  </si>
  <si>
    <r>
      <t>沂南</t>
    </r>
    <r>
      <rPr>
        <sz val="11"/>
        <rFont val="ＭＳ Ｐゴシック"/>
        <family val="3"/>
        <charset val="134"/>
        <scheme val="minor"/>
      </rPr>
      <t>县铜</t>
    </r>
    <r>
      <rPr>
        <sz val="11"/>
        <rFont val="ＭＳ Ｐゴシック"/>
        <family val="3"/>
        <charset val="128"/>
        <scheme val="minor"/>
      </rPr>
      <t>井城</t>
    </r>
    <r>
      <rPr>
        <sz val="11"/>
        <rFont val="ＭＳ Ｐゴシック"/>
        <family val="3"/>
        <charset val="134"/>
        <scheme val="minor"/>
      </rPr>
      <t>乡发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</si>
  <si>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白酒; 米酒; 苹果酒; 葡萄酒;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</si>
  <si>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利口酒;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食用酒精</t>
    </r>
  </si>
  <si>
    <r>
      <t>中</t>
    </r>
    <r>
      <rPr>
        <sz val="11"/>
        <rFont val="ＭＳ Ｐゴシック"/>
        <family val="3"/>
        <charset val="134"/>
        <scheme val="minor"/>
      </rPr>
      <t>轴</t>
    </r>
    <r>
      <rPr>
        <sz val="11"/>
        <rFont val="ＭＳ Ｐゴシック"/>
        <family val="3"/>
        <charset val="128"/>
        <scheme val="minor"/>
      </rPr>
      <t>韵</t>
    </r>
  </si>
  <si>
    <r>
      <t>安徽君十六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</si>
  <si>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</si>
  <si>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香港施</t>
    </r>
    <r>
      <rPr>
        <sz val="11"/>
        <rFont val="ＭＳ Ｐゴシック"/>
        <family val="3"/>
        <charset val="134"/>
        <scheme val="minor"/>
      </rPr>
      <t>玛</t>
    </r>
    <r>
      <rPr>
        <sz val="11"/>
        <rFont val="ＭＳ Ｐゴシック"/>
        <family val="3"/>
        <charset val="128"/>
        <scheme val="minor"/>
      </rPr>
      <t>国</t>
    </r>
    <r>
      <rPr>
        <sz val="11"/>
        <rFont val="ＭＳ Ｐゴシック"/>
        <family val="3"/>
        <charset val="134"/>
        <scheme val="minor"/>
      </rPr>
      <t>际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</si>
  <si>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</si>
  <si>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秋</t>
    </r>
    <r>
      <rPr>
        <sz val="11"/>
        <rFont val="ＭＳ Ｐゴシック"/>
        <family val="3"/>
        <charset val="134"/>
        <scheme val="minor"/>
      </rPr>
      <t>涧</t>
    </r>
    <r>
      <rPr>
        <sz val="11"/>
        <rFont val="ＭＳ Ｐゴシック"/>
        <family val="3"/>
        <charset val="128"/>
        <scheme val="minor"/>
      </rPr>
      <t>泉</t>
    </r>
  </si>
  <si>
    <r>
      <t xml:space="preserve"> 五加皮酒(中国混合烈酒);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高粱酒; 黄酒</t>
    </r>
  </si>
  <si>
    <r>
      <rPr>
        <sz val="11"/>
        <rFont val="ＭＳ Ｐゴシック"/>
        <family val="3"/>
        <charset val="134"/>
        <scheme val="minor"/>
      </rPr>
      <t>汤</t>
    </r>
    <r>
      <rPr>
        <sz val="11"/>
        <rFont val="ＭＳ Ｐゴシック"/>
        <family val="3"/>
        <charset val="128"/>
        <scheme val="minor"/>
      </rPr>
      <t>小酩</t>
    </r>
  </si>
  <si>
    <r>
      <t>灌南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一品</t>
    </r>
    <r>
      <rPr>
        <sz val="11"/>
        <rFont val="ＭＳ Ｐゴシック"/>
        <family val="3"/>
        <charset val="134"/>
        <scheme val="minor"/>
      </rPr>
      <t>汤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</si>
  <si>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汽酒;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</si>
  <si>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卢</t>
    </r>
    <r>
      <rPr>
        <sz val="11"/>
        <rFont val="ＭＳ Ｐゴシック"/>
        <family val="3"/>
        <charset val="128"/>
        <scheme val="minor"/>
      </rPr>
      <t>村姑</t>
    </r>
  </si>
  <si>
    <r>
      <rPr>
        <sz val="11"/>
        <rFont val="ＭＳ Ｐゴシック"/>
        <family val="3"/>
        <charset val="134"/>
        <scheme val="minor"/>
      </rPr>
      <t>卢</t>
    </r>
    <r>
      <rPr>
        <sz val="11"/>
        <rFont val="ＭＳ Ｐゴシック"/>
        <family val="3"/>
        <charset val="128"/>
        <scheme val="minor"/>
      </rPr>
      <t>太梅</t>
    </r>
  </si>
  <si>
    <r>
      <t xml:space="preserve"> 威士忌; 开胃酒;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青稞酒; 黄酒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</si>
  <si>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</si>
  <si>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>德信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福宝</t>
    </r>
  </si>
  <si>
    <r>
      <t>威海德信</t>
    </r>
    <r>
      <rPr>
        <sz val="11"/>
        <rFont val="ＭＳ Ｐゴシック"/>
        <family val="3"/>
        <charset val="134"/>
        <scheme val="minor"/>
      </rPr>
      <t>红农业</t>
    </r>
    <r>
      <rPr>
        <sz val="11"/>
        <rFont val="ＭＳ Ｐゴシック"/>
        <family val="3"/>
        <charset val="128"/>
        <scheme val="minor"/>
      </rPr>
      <t>科技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</si>
  <si>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苹果酒;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</si>
  <si>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牌坊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圣旨</t>
    </r>
  </si>
  <si>
    <r>
      <t>四川五谷稻香酒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</si>
  <si>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</si>
  <si>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>海</t>
    </r>
    <r>
      <rPr>
        <sz val="11"/>
        <rFont val="ＭＳ Ｐゴシック"/>
        <family val="3"/>
        <charset val="134"/>
        <scheme val="minor"/>
      </rPr>
      <t>纳</t>
    </r>
    <r>
      <rPr>
        <sz val="11"/>
        <rFont val="ＭＳ Ｐゴシック"/>
        <family val="3"/>
        <charset val="128"/>
        <scheme val="minor"/>
      </rPr>
      <t>毓</t>
    </r>
  </si>
  <si>
    <r>
      <t>牌坊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敕建</t>
    </r>
  </si>
  <si>
    <r>
      <t>爵士天</t>
    </r>
    <r>
      <rPr>
        <sz val="11"/>
        <rFont val="ＭＳ Ｐゴシック"/>
        <family val="3"/>
        <charset val="134"/>
        <scheme val="minor"/>
      </rPr>
      <t>骄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</si>
  <si>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威士忌;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</si>
  <si>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晋洋</t>
    </r>
    <r>
      <rPr>
        <sz val="11"/>
        <rFont val="ＭＳ Ｐゴシック"/>
        <family val="3"/>
        <charset val="134"/>
        <scheme val="minor"/>
      </rPr>
      <t>边</t>
    </r>
  </si>
  <si>
    <r>
      <t>佘</t>
    </r>
    <r>
      <rPr>
        <sz val="11"/>
        <rFont val="ＭＳ Ｐゴシック"/>
        <family val="3"/>
        <charset val="134"/>
        <scheme val="minor"/>
      </rPr>
      <t>锦</t>
    </r>
    <r>
      <rPr>
        <sz val="11"/>
        <rFont val="ＭＳ Ｐゴシック"/>
        <family val="3"/>
        <charset val="128"/>
        <scheme val="minor"/>
      </rPr>
      <t>亮</t>
    </r>
  </si>
  <si>
    <r>
      <t>三</t>
    </r>
    <r>
      <rPr>
        <sz val="11"/>
        <rFont val="ＭＳ Ｐゴシック"/>
        <family val="3"/>
        <charset val="134"/>
        <scheme val="minor"/>
      </rPr>
      <t>赢</t>
    </r>
    <r>
      <rPr>
        <sz val="11"/>
        <rFont val="ＭＳ Ｐゴシック"/>
        <family val="3"/>
        <charset val="128"/>
        <scheme val="minor"/>
      </rPr>
      <t>福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</si>
  <si>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市福人德酒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</si>
  <si>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利口酒; 威士忌;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</si>
  <si>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牌坊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恩荣</t>
    </r>
  </si>
  <si>
    <r>
      <t>地</t>
    </r>
    <r>
      <rPr>
        <sz val="11"/>
        <rFont val="ＭＳ Ｐゴシック"/>
        <family val="3"/>
        <charset val="134"/>
        <scheme val="minor"/>
      </rPr>
      <t>赋</t>
    </r>
    <r>
      <rPr>
        <sz val="11"/>
        <rFont val="ＭＳ Ｐゴシック"/>
        <family val="3"/>
        <charset val="128"/>
        <scheme val="minor"/>
      </rPr>
      <t>葆</t>
    </r>
  </si>
  <si>
    <r>
      <t>磴口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广</t>
    </r>
    <r>
      <rPr>
        <sz val="11"/>
        <rFont val="ＭＳ Ｐゴシック"/>
        <family val="3"/>
        <charset val="134"/>
        <scheme val="minor"/>
      </rPr>
      <t>远农业</t>
    </r>
    <r>
      <rPr>
        <sz val="11"/>
        <rFont val="ＭＳ Ｐゴシック"/>
        <family val="3"/>
        <charset val="128"/>
        <scheme val="minor"/>
      </rPr>
      <t>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</si>
  <si>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高粱酒; 黄酒</t>
    </r>
  </si>
  <si>
    <r>
      <t>有点</t>
    </r>
    <r>
      <rPr>
        <sz val="11"/>
        <rFont val="ＭＳ Ｐゴシック"/>
        <family val="3"/>
        <charset val="134"/>
        <scheme val="minor"/>
      </rPr>
      <t>乐</t>
    </r>
  </si>
  <si>
    <r>
      <t>郭</t>
    </r>
    <r>
      <rPr>
        <sz val="11"/>
        <rFont val="ＭＳ Ｐゴシック"/>
        <family val="3"/>
        <charset val="134"/>
        <scheme val="minor"/>
      </rPr>
      <t>欢欢</t>
    </r>
  </si>
  <si>
    <r>
      <t>中</t>
    </r>
    <r>
      <rPr>
        <sz val="11"/>
        <rFont val="ＭＳ Ｐゴシック"/>
        <family val="3"/>
        <charset val="134"/>
        <scheme val="minor"/>
      </rPr>
      <t>农优选</t>
    </r>
    <r>
      <rPr>
        <sz val="11"/>
        <rFont val="ＭＳ Ｐゴシック"/>
        <family val="3"/>
        <charset val="128"/>
        <scheme val="minor"/>
      </rPr>
      <t>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管理(海南)有限公司</t>
    </r>
  </si>
  <si>
    <r>
      <t xml:space="preserve"> 威士忌; 开胃酒; 果酒(含酒精); 清酒(日本米酒);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</si>
  <si>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水晶台 六百年的</t>
    </r>
    <r>
      <rPr>
        <sz val="11"/>
        <rFont val="ＭＳ Ｐゴシック"/>
        <family val="3"/>
        <charset val="134"/>
        <scheme val="minor"/>
      </rPr>
      <t>记忆</t>
    </r>
  </si>
  <si>
    <r>
      <t>天津天宝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类销</t>
    </r>
    <r>
      <rPr>
        <sz val="11"/>
        <rFont val="ＭＳ Ｐゴシック"/>
        <family val="3"/>
        <charset val="128"/>
        <scheme val="minor"/>
      </rPr>
      <t>售有限公司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</si>
  <si>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</si>
  <si>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州有向往品牌管理有限公司</t>
    </r>
  </si>
  <si>
    <r>
      <t xml:space="preserve"> 威士忌;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青稞酒; 黄酒</t>
    </r>
  </si>
  <si>
    <r>
      <t>宜春市</t>
    </r>
    <r>
      <rPr>
        <sz val="11"/>
        <rFont val="ＭＳ Ｐゴシック"/>
        <family val="3"/>
        <charset val="134"/>
        <scheme val="minor"/>
      </rPr>
      <t>赵</t>
    </r>
    <r>
      <rPr>
        <sz val="11"/>
        <rFont val="ＭＳ Ｐゴシック"/>
        <family val="3"/>
        <charset val="128"/>
        <scheme val="minor"/>
      </rPr>
      <t>一</t>
    </r>
    <r>
      <rPr>
        <sz val="11"/>
        <rFont val="ＭＳ Ｐゴシック"/>
        <family val="3"/>
        <charset val="134"/>
        <scheme val="minor"/>
      </rPr>
      <t>鸣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</si>
  <si>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清酒; 烈酒; 甜酒;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</si>
  <si>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藏</t>
    </r>
    <r>
      <rPr>
        <sz val="11"/>
        <rFont val="ＭＳ Ｐゴシック"/>
        <family val="3"/>
        <charset val="134"/>
        <scheme val="minor"/>
      </rPr>
      <t>连</t>
    </r>
    <r>
      <rPr>
        <sz val="11"/>
        <rFont val="ＭＳ Ｐゴシック"/>
        <family val="3"/>
        <charset val="128"/>
        <scheme val="minor"/>
      </rPr>
      <t>香</t>
    </r>
  </si>
  <si>
    <r>
      <t>大</t>
    </r>
    <r>
      <rPr>
        <sz val="11"/>
        <rFont val="ＭＳ Ｐゴシック"/>
        <family val="3"/>
        <charset val="134"/>
        <scheme val="minor"/>
      </rPr>
      <t>连</t>
    </r>
    <r>
      <rPr>
        <sz val="11"/>
        <rFont val="ＭＳ Ｐゴシック"/>
        <family val="3"/>
        <charset val="128"/>
        <scheme val="minor"/>
      </rPr>
      <t>海之韵酒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</si>
  <si>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</si>
  <si>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堡巴欧国</t>
    </r>
    <r>
      <rPr>
        <sz val="11"/>
        <rFont val="ＭＳ Ｐゴシック"/>
        <family val="3"/>
        <charset val="134"/>
        <scheme val="minor"/>
      </rPr>
      <t>际贸</t>
    </r>
    <r>
      <rPr>
        <sz val="11"/>
        <rFont val="ＭＳ Ｐゴシック"/>
        <family val="3"/>
        <charset val="128"/>
        <scheme val="minor"/>
      </rPr>
      <t>易河北有限公司</t>
    </r>
  </si>
  <si>
    <r>
      <t xml:space="preserve"> 利口酒;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</t>
    </r>
  </si>
  <si>
    <r>
      <t>北特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北</t>
    </r>
    <r>
      <rPr>
        <sz val="11"/>
        <rFont val="ＭＳ Ｐゴシック"/>
        <family val="3"/>
        <charset val="134"/>
        <scheme val="minor"/>
      </rPr>
      <t>净</t>
    </r>
    <r>
      <rPr>
        <sz val="11"/>
        <rFont val="ＭＳ Ｐゴシック"/>
        <family val="3"/>
        <charset val="128"/>
        <scheme val="minor"/>
      </rPr>
      <t>流</t>
    </r>
  </si>
  <si>
    <r>
      <rPr>
        <sz val="11"/>
        <rFont val="ＭＳ Ｐゴシック"/>
        <family val="3"/>
        <charset val="134"/>
        <scheme val="minor"/>
      </rPr>
      <t>费</t>
    </r>
    <r>
      <rPr>
        <sz val="11"/>
        <rFont val="ＭＳ Ｐゴシック"/>
        <family val="3"/>
        <charset val="128"/>
        <scheme val="minor"/>
      </rPr>
      <t>永春</t>
    </r>
  </si>
  <si>
    <r>
      <t xml:space="preserve"> 五加皮酒(中国混合烈酒); 伏特加酒;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蒸煮提取物(利口酒和烈酒); 露酒; 高粱酒</t>
    </r>
  </si>
  <si>
    <r>
      <t>揉春</t>
    </r>
    <r>
      <rPr>
        <sz val="11"/>
        <rFont val="ＭＳ Ｐゴシック"/>
        <family val="3"/>
        <charset val="134"/>
        <scheme val="minor"/>
      </rPr>
      <t>风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</si>
  <si>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白酒; 米酒; 苹果酒;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</si>
  <si>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叁</t>
    </r>
    <r>
      <rPr>
        <sz val="11"/>
        <rFont val="ＭＳ Ｐゴシック"/>
        <family val="3"/>
        <charset val="128"/>
        <scheme val="minor"/>
      </rPr>
      <t>壹众</t>
    </r>
    <r>
      <rPr>
        <sz val="11"/>
        <rFont val="ＭＳ Ｐゴシック"/>
        <family val="3"/>
        <charset val="134"/>
        <scheme val="minor"/>
      </rPr>
      <t>泽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</si>
  <si>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</si>
  <si>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州省芳昕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用水有限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</si>
  <si>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</si>
  <si>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蒙</t>
    </r>
    <r>
      <rPr>
        <sz val="11"/>
        <rFont val="ＭＳ Ｐゴシック"/>
        <family val="3"/>
        <charset val="134"/>
        <scheme val="minor"/>
      </rPr>
      <t>维尔</t>
    </r>
    <r>
      <rPr>
        <sz val="11"/>
        <rFont val="ＭＳ Ｐゴシック"/>
        <family val="3"/>
        <charset val="128"/>
        <scheme val="minor"/>
      </rPr>
      <t>特</t>
    </r>
    <r>
      <rPr>
        <sz val="11"/>
        <rFont val="ＭＳ Ｐゴシック"/>
        <family val="3"/>
        <charset val="134"/>
        <scheme val="minor"/>
      </rPr>
      <t>简单农业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</si>
  <si>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利口酒;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苹果酒;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</si>
  <si>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千茨果</t>
    </r>
    <r>
      <rPr>
        <sz val="11"/>
        <rFont val="ＭＳ Ｐゴシック"/>
        <family val="3"/>
        <charset val="134"/>
        <scheme val="minor"/>
      </rPr>
      <t>红</t>
    </r>
  </si>
  <si>
    <r>
      <t>宁夏中宁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杞香源土特</t>
    </r>
    <r>
      <rPr>
        <sz val="11"/>
        <rFont val="ＭＳ Ｐゴシック"/>
        <family val="3"/>
        <charset val="134"/>
        <scheme val="minor"/>
      </rPr>
      <t>产贸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</si>
  <si>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</si>
  <si>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狼翻</t>
    </r>
    <r>
      <rPr>
        <sz val="11"/>
        <rFont val="ＭＳ Ｐゴシック"/>
        <family val="3"/>
        <charset val="134"/>
        <scheme val="minor"/>
      </rPr>
      <t>锅</t>
    </r>
  </si>
  <si>
    <r>
      <t>河南双</t>
    </r>
    <r>
      <rPr>
        <sz val="11"/>
        <rFont val="ＭＳ Ｐゴシック"/>
        <family val="3"/>
        <charset val="134"/>
        <scheme val="minor"/>
      </rPr>
      <t>连壶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</si>
  <si>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薄荷酒;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</si>
  <si>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>繁花</t>
    </r>
    <r>
      <rPr>
        <sz val="11"/>
        <rFont val="ＭＳ Ｐゴシック"/>
        <family val="3"/>
        <charset val="134"/>
        <scheme val="minor"/>
      </rPr>
      <t>乡</t>
    </r>
    <r>
      <rPr>
        <sz val="11"/>
        <rFont val="ＭＳ Ｐゴシック"/>
        <family val="3"/>
        <charset val="128"/>
        <scheme val="minor"/>
      </rPr>
      <t>韵</t>
    </r>
  </si>
  <si>
    <r>
      <rPr>
        <sz val="11"/>
        <rFont val="ＭＳ Ｐゴシック"/>
        <family val="3"/>
        <charset val="134"/>
        <scheme val="minor"/>
      </rPr>
      <t>芜</t>
    </r>
    <r>
      <rPr>
        <sz val="11"/>
        <rFont val="ＭＳ Ｐゴシック"/>
        <family val="3"/>
        <charset val="128"/>
        <scheme val="minor"/>
      </rPr>
      <t>湖市繁昌区</t>
    </r>
    <r>
      <rPr>
        <sz val="11"/>
        <rFont val="ＭＳ Ｐゴシック"/>
        <family val="3"/>
        <charset val="134"/>
        <scheme val="minor"/>
      </rPr>
      <t>乡</t>
    </r>
    <r>
      <rPr>
        <sz val="11"/>
        <rFont val="ＭＳ Ｐゴシック"/>
        <family val="3"/>
        <charset val="128"/>
        <scheme val="minor"/>
      </rPr>
      <t>村振</t>
    </r>
    <r>
      <rPr>
        <sz val="11"/>
        <rFont val="ＭＳ Ｐゴシック"/>
        <family val="3"/>
        <charset val="134"/>
        <scheme val="minor"/>
      </rPr>
      <t>兴发</t>
    </r>
    <r>
      <rPr>
        <sz val="11"/>
        <rFont val="ＭＳ Ｐゴシック"/>
        <family val="3"/>
        <charset val="128"/>
        <scheme val="minor"/>
      </rPr>
      <t>展集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</si>
  <si>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</si>
  <si>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四川益魄</t>
    </r>
    <r>
      <rPr>
        <sz val="11"/>
        <rFont val="ＭＳ Ｐゴシック"/>
        <family val="3"/>
        <charset val="134"/>
        <scheme val="minor"/>
      </rPr>
      <t>绪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</si>
  <si>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品;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白干酒(中国白酒);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高粱酒; 黄酒</t>
    </r>
  </si>
  <si>
    <r>
      <t>江白</t>
    </r>
    <r>
      <rPr>
        <sz val="11"/>
        <rFont val="ＭＳ Ｐゴシック"/>
        <family val="3"/>
        <charset val="134"/>
        <scheme val="minor"/>
      </rPr>
      <t>顺</t>
    </r>
  </si>
  <si>
    <r>
      <t>十英里餐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</si>
  <si>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孙</t>
    </r>
    <r>
      <rPr>
        <sz val="11"/>
        <rFont val="ＭＳ Ｐゴシック"/>
        <family val="3"/>
        <charset val="128"/>
        <scheme val="minor"/>
      </rPr>
      <t>世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宗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</si>
  <si>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市江云</t>
    </r>
    <r>
      <rPr>
        <sz val="11"/>
        <rFont val="ＭＳ Ｐゴシック"/>
        <family val="3"/>
        <charset val="134"/>
        <scheme val="minor"/>
      </rPr>
      <t>汇贸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</si>
  <si>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烈酒;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</si>
  <si>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粮小</t>
    </r>
    <r>
      <rPr>
        <sz val="11"/>
        <rFont val="ＭＳ Ｐゴシック"/>
        <family val="3"/>
        <charset val="134"/>
        <scheme val="minor"/>
      </rPr>
      <t>顺</t>
    </r>
  </si>
  <si>
    <r>
      <rPr>
        <sz val="11"/>
        <rFont val="ＭＳ Ｐゴシック"/>
        <family val="3"/>
        <charset val="134"/>
        <scheme val="minor"/>
      </rPr>
      <t>许</t>
    </r>
    <r>
      <rPr>
        <sz val="11"/>
        <rFont val="ＭＳ Ｐゴシック"/>
        <family val="3"/>
        <charset val="128"/>
        <scheme val="minor"/>
      </rPr>
      <t>昌市魏都区</t>
    </r>
    <r>
      <rPr>
        <sz val="11"/>
        <rFont val="ＭＳ Ｐゴシック"/>
        <family val="3"/>
        <charset val="134"/>
        <scheme val="minor"/>
      </rPr>
      <t>单</t>
    </r>
    <r>
      <rPr>
        <sz val="11"/>
        <rFont val="ＭＳ Ｐゴシック"/>
        <family val="3"/>
        <charset val="128"/>
        <scheme val="minor"/>
      </rPr>
      <t>肩百</t>
    </r>
    <r>
      <rPr>
        <sz val="11"/>
        <rFont val="ＭＳ Ｐゴシック"/>
        <family val="3"/>
        <charset val="134"/>
        <scheme val="minor"/>
      </rPr>
      <t>货</t>
    </r>
    <r>
      <rPr>
        <sz val="11"/>
        <rFont val="ＭＳ Ｐゴシック"/>
        <family val="3"/>
        <charset val="128"/>
        <scheme val="minor"/>
      </rPr>
      <t>行(个体工商</t>
    </r>
    <r>
      <rPr>
        <sz val="11"/>
        <rFont val="ＭＳ Ｐゴシック"/>
        <family val="3"/>
        <charset val="134"/>
        <scheme val="minor"/>
      </rPr>
      <t>户</t>
    </r>
    <r>
      <rPr>
        <sz val="11"/>
        <rFont val="ＭＳ Ｐゴシック"/>
        <family val="3"/>
        <charset val="128"/>
        <scheme val="minor"/>
      </rPr>
      <t>)</t>
    </r>
  </si>
  <si>
    <r>
      <t xml:space="preserve"> 果酒(含酒精); 烈酒;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</si>
  <si>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徐</t>
    </r>
    <r>
      <rPr>
        <sz val="11"/>
        <rFont val="ＭＳ Ｐゴシック"/>
        <family val="3"/>
        <charset val="134"/>
        <scheme val="minor"/>
      </rPr>
      <t>艺东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</si>
  <si>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含酒精蛋奶酒; 开胃酒;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</si>
  <si>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方酉</t>
    </r>
    <r>
      <rPr>
        <sz val="11"/>
        <rFont val="ＭＳ Ｐゴシック"/>
        <family val="3"/>
        <charset val="134"/>
        <scheme val="minor"/>
      </rPr>
      <t>圆</t>
    </r>
  </si>
  <si>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民</t>
    </r>
    <r>
      <rPr>
        <sz val="11"/>
        <rFont val="ＭＳ Ｐゴシック"/>
        <family val="3"/>
        <charset val="134"/>
        <scheme val="minor"/>
      </rPr>
      <t>颂</t>
    </r>
  </si>
  <si>
    <r>
      <t>关</t>
    </r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未来(北京)文化</t>
    </r>
    <r>
      <rPr>
        <sz val="11"/>
        <rFont val="ＭＳ Ｐゴシック"/>
        <family val="3"/>
        <charset val="134"/>
        <scheme val="minor"/>
      </rPr>
      <t>艺术发</t>
    </r>
    <r>
      <rPr>
        <sz val="11"/>
        <rFont val="ＭＳ Ｐゴシック"/>
        <family val="3"/>
        <charset val="128"/>
        <scheme val="minor"/>
      </rPr>
      <t>展中心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</si>
  <si>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</si>
  <si>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湖南中研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工新能源科技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</si>
  <si>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佐餐酒; 利口酒; 开胃酒; 果酒(含酒精); 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</t>
    </r>
  </si>
  <si>
    <r>
      <t>季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生</t>
    </r>
  </si>
  <si>
    <r>
      <t xml:space="preserve"> 杜松子酒; 果酒(含酒精); 梨酒;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苦味酒; 葡萄酒;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</si>
  <si>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陇</t>
    </r>
    <r>
      <rPr>
        <sz val="11"/>
        <rFont val="ＭＳ Ｐゴシック"/>
        <family val="3"/>
        <charset val="128"/>
        <scheme val="minor"/>
      </rPr>
      <t>醇甘</t>
    </r>
    <r>
      <rPr>
        <sz val="11"/>
        <rFont val="ＭＳ Ｐゴシック"/>
        <family val="3"/>
        <charset val="134"/>
        <scheme val="minor"/>
      </rPr>
      <t>尕</t>
    </r>
    <r>
      <rPr>
        <sz val="11"/>
        <rFont val="ＭＳ Ｐゴシック"/>
        <family val="3"/>
        <charset val="128"/>
        <scheme val="minor"/>
      </rPr>
      <t>子</t>
    </r>
  </si>
  <si>
    <r>
      <t>山西汾州府酒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</si>
  <si>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</si>
  <si>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贵峥</t>
    </r>
    <r>
      <rPr>
        <sz val="11"/>
        <rFont val="ＭＳ Ｐゴシック"/>
        <family val="3"/>
        <charset val="128"/>
        <scheme val="minor"/>
      </rPr>
      <t>名 GUIZHENMING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</si>
  <si>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</t>
    </r>
    <r>
      <rPr>
        <sz val="11"/>
        <rFont val="ＭＳ Ｐゴシック"/>
        <family val="3"/>
        <charset val="134"/>
        <scheme val="minor"/>
      </rPr>
      <t>贵峥</t>
    </r>
    <r>
      <rPr>
        <sz val="11"/>
        <rFont val="ＭＳ Ｐゴシック"/>
        <family val="3"/>
        <charset val="128"/>
        <scheme val="minor"/>
      </rPr>
      <t>名酒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</si>
  <si>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良</t>
    </r>
    <r>
      <rPr>
        <sz val="11"/>
        <rFont val="ＭＳ Ｐゴシック"/>
        <family val="3"/>
        <charset val="134"/>
        <scheme val="minor"/>
      </rPr>
      <t>坛</t>
    </r>
    <r>
      <rPr>
        <sz val="11"/>
        <rFont val="ＭＳ Ｐゴシック"/>
        <family val="3"/>
        <charset val="128"/>
        <scheme val="minor"/>
      </rPr>
      <t>意</t>
    </r>
  </si>
  <si>
    <r>
      <t>御酒</t>
    </r>
    <r>
      <rPr>
        <sz val="11"/>
        <rFont val="ＭＳ Ｐゴシック"/>
        <family val="3"/>
        <charset val="134"/>
        <scheme val="minor"/>
      </rPr>
      <t>乐</t>
    </r>
  </si>
  <si>
    <r>
      <rPr>
        <sz val="11"/>
        <rFont val="ＭＳ Ｐゴシック"/>
        <family val="3"/>
        <charset val="134"/>
        <scheme val="minor"/>
      </rPr>
      <t>韩</t>
    </r>
    <r>
      <rPr>
        <sz val="11"/>
        <rFont val="ＭＳ Ｐゴシック"/>
        <family val="3"/>
        <charset val="128"/>
        <scheme val="minor"/>
      </rPr>
      <t>心</t>
    </r>
    <r>
      <rPr>
        <sz val="11"/>
        <rFont val="ＭＳ Ｐゴシック"/>
        <family val="3"/>
        <charset val="134"/>
        <scheme val="minor"/>
      </rPr>
      <t>华</t>
    </r>
  </si>
  <si>
    <r>
      <t xml:space="preserve"> 果酒; 汽酒;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</si>
  <si>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图诺</t>
    </r>
  </si>
  <si>
    <r>
      <t>上海涌昌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</si>
  <si>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伏特加酒; 威士忌;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黄酒</t>
    </r>
  </si>
  <si>
    <r>
      <t>海滋</t>
    </r>
    <r>
      <rPr>
        <sz val="11"/>
        <rFont val="ＭＳ Ｐゴシック"/>
        <family val="3"/>
        <charset val="134"/>
        <scheme val="minor"/>
      </rPr>
      <t>澜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</si>
  <si>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万嘉</t>
    </r>
    <r>
      <rPr>
        <sz val="11"/>
        <rFont val="ＭＳ Ｐゴシック"/>
        <family val="3"/>
        <charset val="134"/>
        <scheme val="minor"/>
      </rPr>
      <t>鸿</t>
    </r>
    <r>
      <rPr>
        <sz val="11"/>
        <rFont val="ＭＳ Ｐゴシック"/>
        <family val="3"/>
        <charset val="128"/>
        <scheme val="minor"/>
      </rPr>
      <t>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</si>
  <si>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伏特加酒; 威士忌;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米酒; 苹果酒; 葡萄酒</t>
    </r>
  </si>
  <si>
    <r>
      <t>延</t>
    </r>
    <r>
      <rPr>
        <sz val="11"/>
        <rFont val="ＭＳ Ｐゴシック"/>
        <family val="3"/>
        <charset val="134"/>
        <scheme val="minor"/>
      </rPr>
      <t>边</t>
    </r>
    <r>
      <rPr>
        <sz val="11"/>
        <rFont val="ＭＳ Ｐゴシック"/>
        <family val="3"/>
        <charset val="128"/>
        <scheme val="minor"/>
      </rPr>
      <t>嘉燕国</t>
    </r>
    <r>
      <rPr>
        <sz val="11"/>
        <rFont val="ＭＳ Ｐゴシック"/>
        <family val="3"/>
        <charset val="134"/>
        <scheme val="minor"/>
      </rPr>
      <t>际贸</t>
    </r>
    <r>
      <rPr>
        <sz val="11"/>
        <rFont val="ＭＳ Ｐゴシック"/>
        <family val="3"/>
        <charset val="128"/>
        <scheme val="minor"/>
      </rPr>
      <t>易有限公司</t>
    </r>
  </si>
  <si>
    <r>
      <rPr>
        <sz val="11"/>
        <rFont val="ＭＳ Ｐゴシック"/>
        <family val="3"/>
        <charset val="134"/>
        <scheme val="minor"/>
      </rPr>
      <t>纵</t>
    </r>
    <r>
      <rPr>
        <sz val="11"/>
        <rFont val="ＭＳ Ｐゴシック"/>
        <family val="3"/>
        <charset val="128"/>
        <scheme val="minor"/>
      </rPr>
      <t>横万站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</si>
  <si>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</si>
  <si>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钱</t>
    </r>
    <r>
      <rPr>
        <sz val="11"/>
        <rFont val="ＭＳ Ｐゴシック"/>
        <family val="3"/>
        <charset val="128"/>
        <scheme val="minor"/>
      </rPr>
      <t>立</t>
    </r>
  </si>
  <si>
    <r>
      <t xml:space="preserve">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白干酒(中国白酒); 白酒; 米酒; 草莓酒; 葡萄酒;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蜂蜜酒; 食用酒精</t>
    </r>
  </si>
  <si>
    <r>
      <t>果少</t>
    </r>
    <r>
      <rPr>
        <sz val="11"/>
        <rFont val="ＭＳ Ｐゴシック"/>
        <family val="3"/>
        <charset val="134"/>
        <scheme val="minor"/>
      </rPr>
      <t>烦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</si>
  <si>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州果小</t>
    </r>
    <r>
      <rPr>
        <sz val="11"/>
        <rFont val="ＭＳ Ｐゴシック"/>
        <family val="3"/>
        <charset val="134"/>
        <scheme val="minor"/>
      </rPr>
      <t>烦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</si>
  <si>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重</t>
    </r>
    <r>
      <rPr>
        <sz val="11"/>
        <rFont val="ＭＳ Ｐゴシック"/>
        <family val="3"/>
        <charset val="134"/>
        <scheme val="minor"/>
      </rPr>
      <t>庆腾</t>
    </r>
    <r>
      <rPr>
        <sz val="11"/>
        <rFont val="ＭＳ Ｐゴシック"/>
        <family val="3"/>
        <charset val="128"/>
        <scheme val="minor"/>
      </rPr>
      <t>蛟文化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播有限公司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</si>
  <si>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果酒(含酒精); 梅酒; 烈酒; 甜果酒;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青梅酒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</si>
  <si>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皖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</si>
  <si>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</si>
  <si>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滇</t>
    </r>
    <r>
      <rPr>
        <sz val="11"/>
        <rFont val="ＭＳ Ｐゴシック"/>
        <family val="3"/>
        <charset val="134"/>
        <scheme val="minor"/>
      </rPr>
      <t>酝</t>
    </r>
    <r>
      <rPr>
        <sz val="11"/>
        <rFont val="ＭＳ Ｐゴシック"/>
        <family val="3"/>
        <charset val="128"/>
        <scheme val="minor"/>
      </rPr>
      <t>台</t>
    </r>
  </si>
  <si>
    <r>
      <rPr>
        <sz val="11"/>
        <rFont val="ＭＳ Ｐゴシック"/>
        <family val="3"/>
        <charset val="134"/>
        <scheme val="minor"/>
      </rPr>
      <t>竖</t>
    </r>
    <r>
      <rPr>
        <sz val="11"/>
        <rFont val="ＭＳ Ｐゴシック"/>
        <family val="3"/>
        <charset val="128"/>
        <scheme val="minor"/>
      </rPr>
      <t>先生</t>
    </r>
  </si>
  <si>
    <r>
      <t>九九酒</t>
    </r>
    <r>
      <rPr>
        <sz val="11"/>
        <rFont val="ＭＳ Ｐゴシック"/>
        <family val="3"/>
        <charset val="134"/>
        <scheme val="minor"/>
      </rPr>
      <t>类连锁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</si>
  <si>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黄酒</t>
    </r>
  </si>
  <si>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黎</t>
    </r>
  </si>
  <si>
    <r>
      <t>三田(上海)文化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意有限公司</t>
    </r>
  </si>
  <si>
    <r>
      <t xml:space="preserve"> 伏特加酒; 朗姆酒;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酸酒(低等葡萄酒);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</si>
  <si>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山西九达商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</si>
  <si>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白干酒(中国白酒); 白酒; 米酒; 葡萄酒; 青稞酒; 食用酒精; 黄酒</t>
    </r>
  </si>
  <si>
    <r>
      <rPr>
        <sz val="11"/>
        <rFont val="ＭＳ Ｐゴシック"/>
        <family val="3"/>
        <charset val="134"/>
        <scheme val="minor"/>
      </rPr>
      <t>军军</t>
    </r>
    <r>
      <rPr>
        <sz val="11"/>
        <rFont val="ＭＳ Ｐゴシック"/>
        <family val="3"/>
        <charset val="128"/>
        <scheme val="minor"/>
      </rPr>
      <t>(广州)国</t>
    </r>
    <r>
      <rPr>
        <sz val="11"/>
        <rFont val="ＭＳ Ｐゴシック"/>
        <family val="3"/>
        <charset val="134"/>
        <scheme val="minor"/>
      </rPr>
      <t>际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</si>
  <si>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果酒; 烈酒; 白酒;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</si>
  <si>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四川金奥宁商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</si>
  <si>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清酒; 甜酒; 白干酒(中国白酒); 白酒; 米酒; 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用烈酒;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</si>
  <si>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万</t>
    </r>
    <r>
      <rPr>
        <sz val="11"/>
        <rFont val="ＭＳ Ｐゴシック"/>
        <family val="3"/>
        <charset val="134"/>
        <scheme val="minor"/>
      </rPr>
      <t>邻</t>
    </r>
  </si>
  <si>
    <r>
      <t>刘</t>
    </r>
    <r>
      <rPr>
        <sz val="11"/>
        <rFont val="ＭＳ Ｐゴシック"/>
        <family val="3"/>
        <charset val="134"/>
        <scheme val="minor"/>
      </rPr>
      <t>军</t>
    </r>
    <r>
      <rPr>
        <sz val="11"/>
        <rFont val="ＭＳ Ｐゴシック"/>
        <family val="3"/>
        <charset val="128"/>
        <scheme val="minor"/>
      </rPr>
      <t>英</t>
    </r>
  </si>
  <si>
    <r>
      <t xml:space="preserve"> 开胃酒; 果酒; 梅酒; 白酒; 米酒;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露酒; 高粱酒</t>
    </r>
  </si>
  <si>
    <r>
      <t>西安玉山葡萄酒庄园有限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</si>
  <si>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利口酒; 威士忌; 开胃酒;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汽酒;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</si>
  <si>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乌</t>
    </r>
    <r>
      <rPr>
        <sz val="11"/>
        <rFont val="ＭＳ Ｐゴシック"/>
        <family val="3"/>
        <charset val="128"/>
        <scheme val="minor"/>
      </rPr>
      <t>尤食季</t>
    </r>
  </si>
  <si>
    <r>
      <t xml:space="preserve"> 威士忌; 果酒; 清酒;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青梅酒;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</si>
  <si>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万</t>
    </r>
    <r>
      <rPr>
        <sz val="11"/>
        <rFont val="ＭＳ Ｐゴシック"/>
        <family val="3"/>
        <charset val="134"/>
        <scheme val="minor"/>
      </rPr>
      <t>劲</t>
    </r>
    <r>
      <rPr>
        <sz val="11"/>
        <rFont val="ＭＳ Ｐゴシック"/>
        <family val="3"/>
        <charset val="128"/>
        <scheme val="minor"/>
      </rPr>
      <t>生物科技有限公司</t>
    </r>
  </si>
  <si>
    <r>
      <t xml:space="preserve"> 伏特加酒;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</si>
  <si>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新疆荔枝文化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</si>
  <si>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</si>
  <si>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威士忌;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苦味酒;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</si>
  <si>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慈</t>
    </r>
    <r>
      <rPr>
        <sz val="11"/>
        <rFont val="ＭＳ Ｐゴシック"/>
        <family val="3"/>
        <charset val="134"/>
        <scheme val="minor"/>
      </rPr>
      <t>为贵</t>
    </r>
  </si>
  <si>
    <r>
      <t>御福隆黑金</t>
    </r>
    <r>
      <rPr>
        <sz val="11"/>
        <rFont val="ＭＳ Ｐゴシック"/>
        <family val="3"/>
        <charset val="134"/>
        <scheme val="minor"/>
      </rPr>
      <t>刚</t>
    </r>
  </si>
  <si>
    <r>
      <t>天津御福隆酒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</si>
  <si>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</si>
  <si>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滨</t>
    </r>
    <r>
      <rPr>
        <sz val="11"/>
        <rFont val="ＭＳ Ｐゴシック"/>
        <family val="3"/>
        <charset val="128"/>
        <scheme val="minor"/>
      </rPr>
      <t>景</t>
    </r>
  </si>
  <si>
    <r>
      <t>香</t>
    </r>
    <r>
      <rPr>
        <sz val="11"/>
        <rFont val="ＭＳ Ｐゴシック"/>
        <family val="3"/>
        <charset val="134"/>
        <scheme val="minor"/>
      </rPr>
      <t>绮绣</t>
    </r>
  </si>
  <si>
    <r>
      <t>晋久</t>
    </r>
    <r>
      <rPr>
        <sz val="11"/>
        <rFont val="ＭＳ Ｐゴシック"/>
        <family val="3"/>
        <charset val="134"/>
        <scheme val="minor"/>
      </rPr>
      <t>欢</t>
    </r>
  </si>
  <si>
    <r>
      <t>北京祉康</t>
    </r>
    <r>
      <rPr>
        <sz val="11"/>
        <rFont val="ＭＳ Ｐゴシック"/>
        <family val="3"/>
        <charset val="134"/>
        <scheme val="minor"/>
      </rPr>
      <t>顺业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</si>
  <si>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威士忌; 开胃酒; 果酒(含酒精); 水果汽酒;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</si>
  <si>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环</t>
    </r>
    <r>
      <rPr>
        <sz val="11"/>
        <rFont val="ＭＳ Ｐゴシック"/>
        <family val="3"/>
        <charset val="128"/>
        <scheme val="minor"/>
      </rPr>
      <t>球美人</t>
    </r>
    <r>
      <rPr>
        <sz val="11"/>
        <rFont val="ＭＳ Ｐゴシック"/>
        <family val="3"/>
        <charset val="134"/>
        <scheme val="minor"/>
      </rPr>
      <t>鱼</t>
    </r>
  </si>
  <si>
    <r>
      <t>上海魅力女神文化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</si>
  <si>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</si>
  <si>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九</t>
    </r>
    <r>
      <rPr>
        <sz val="11"/>
        <rFont val="ＭＳ Ｐゴシック"/>
        <family val="3"/>
        <charset val="134"/>
        <scheme val="minor"/>
      </rPr>
      <t>鱼</t>
    </r>
    <r>
      <rPr>
        <sz val="11"/>
        <rFont val="ＭＳ Ｐゴシック"/>
        <family val="3"/>
        <charset val="128"/>
        <scheme val="minor"/>
      </rPr>
      <t>荷</t>
    </r>
  </si>
  <si>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玉京</t>
    </r>
  </si>
  <si>
    <r>
      <rPr>
        <sz val="11"/>
        <rFont val="ＭＳ Ｐゴシック"/>
        <family val="3"/>
        <charset val="134"/>
        <scheme val="minor"/>
      </rPr>
      <t>韩</t>
    </r>
    <r>
      <rPr>
        <sz val="11"/>
        <rFont val="ＭＳ Ｐゴシック"/>
        <family val="3"/>
        <charset val="128"/>
        <scheme val="minor"/>
      </rPr>
      <t>兵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</si>
  <si>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食用酒精; 黄酒</t>
    </r>
  </si>
  <si>
    <r>
      <t>中国供</t>
    </r>
    <r>
      <rPr>
        <sz val="11"/>
        <rFont val="ＭＳ Ｐゴシック"/>
        <family val="3"/>
        <charset val="134"/>
        <scheme val="minor"/>
      </rPr>
      <t>销电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</si>
  <si>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</si>
  <si>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舜耀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府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</si>
  <si>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万</t>
    </r>
    <r>
      <rPr>
        <sz val="11"/>
        <rFont val="ＭＳ Ｐゴシック"/>
        <family val="3"/>
        <charset val="134"/>
        <scheme val="minor"/>
      </rPr>
      <t>发农业</t>
    </r>
    <r>
      <rPr>
        <sz val="11"/>
        <rFont val="ＭＳ Ｐゴシック"/>
        <family val="3"/>
        <charset val="128"/>
        <scheme val="minor"/>
      </rPr>
      <t>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</si>
  <si>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</si>
  <si>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民</t>
    </r>
    <r>
      <rPr>
        <sz val="11"/>
        <rFont val="ＭＳ Ｐゴシック"/>
        <family val="3"/>
        <charset val="134"/>
        <scheme val="minor"/>
      </rPr>
      <t>风</t>
    </r>
    <r>
      <rPr>
        <sz val="11"/>
        <rFont val="ＭＳ Ｐゴシック"/>
        <family val="3"/>
        <charset val="128"/>
        <scheme val="minor"/>
      </rPr>
      <t>采</t>
    </r>
  </si>
  <si>
    <r>
      <t>卿建</t>
    </r>
    <r>
      <rPr>
        <sz val="11"/>
        <rFont val="ＭＳ Ｐゴシック"/>
        <family val="3"/>
        <charset val="134"/>
        <scheme val="minor"/>
      </rPr>
      <t>辉</t>
    </r>
  </si>
  <si>
    <r>
      <t>海南圣喆投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</si>
  <si>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</si>
  <si>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醉</t>
    </r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功果之韵</t>
    </r>
  </si>
  <si>
    <r>
      <rPr>
        <sz val="11"/>
        <rFont val="ＭＳ Ｐゴシック"/>
        <family val="3"/>
        <charset val="134"/>
        <scheme val="minor"/>
      </rPr>
      <t>泸</t>
    </r>
    <r>
      <rPr>
        <sz val="11"/>
        <rFont val="ＭＳ Ｐゴシック"/>
        <family val="3"/>
        <charset val="128"/>
        <scheme val="minor"/>
      </rPr>
      <t>州醉</t>
    </r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功酒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</si>
  <si>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果酒; 梅酒;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水果汽酒;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</si>
  <si>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帅</t>
    </r>
    <r>
      <rPr>
        <sz val="11"/>
        <rFont val="ＭＳ Ｐゴシック"/>
        <family val="3"/>
        <charset val="128"/>
        <scheme val="minor"/>
      </rPr>
      <t>美</t>
    </r>
  </si>
  <si>
    <r>
      <t>邵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市将</t>
    </r>
    <r>
      <rPr>
        <sz val="11"/>
        <rFont val="ＭＳ Ｐゴシック"/>
        <family val="3"/>
        <charset val="134"/>
        <scheme val="minor"/>
      </rPr>
      <t>帅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</si>
  <si>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</si>
  <si>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益森</t>
    </r>
  </si>
  <si>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益森生物科技有限公司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</si>
  <si>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</si>
  <si>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志彬</t>
    </r>
  </si>
  <si>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云</t>
    </r>
    <r>
      <rPr>
        <sz val="11"/>
        <rFont val="ＭＳ Ｐゴシック"/>
        <family val="3"/>
        <charset val="134"/>
        <scheme val="minor"/>
      </rPr>
      <t>贺</t>
    </r>
  </si>
  <si>
    <r>
      <t xml:space="preserve"> 伏特加酒;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</si>
  <si>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湖南省湘楚醇酒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</si>
  <si>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曙光破</t>
    </r>
    <r>
      <rPr>
        <sz val="11"/>
        <rFont val="ＭＳ Ｐゴシック"/>
        <family val="3"/>
        <charset val="134"/>
        <scheme val="minor"/>
      </rPr>
      <t>晓</t>
    </r>
  </si>
  <si>
    <r>
      <t>板</t>
    </r>
    <r>
      <rPr>
        <sz val="11"/>
        <rFont val="ＭＳ Ｐゴシック"/>
        <family val="3"/>
        <charset val="134"/>
        <scheme val="minor"/>
      </rPr>
      <t>实</t>
    </r>
  </si>
  <si>
    <r>
      <rPr>
        <sz val="11"/>
        <rFont val="ＭＳ Ｐゴシック"/>
        <family val="3"/>
        <charset val="134"/>
        <scheme val="minor"/>
      </rPr>
      <t>优兰</t>
    </r>
    <r>
      <rPr>
        <sz val="11"/>
        <rFont val="ＭＳ Ｐゴシック"/>
        <family val="3"/>
        <charset val="128"/>
        <scheme val="minor"/>
      </rPr>
      <t>帝 YOLANTTI</t>
    </r>
  </si>
  <si>
    <r>
      <t xml:space="preserve"> 利口酒;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苦味酒;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</si>
  <si>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韦</t>
    </r>
    <r>
      <rPr>
        <sz val="11"/>
        <rFont val="ＭＳ Ｐゴシック"/>
        <family val="3"/>
        <charset val="128"/>
        <scheme val="minor"/>
      </rPr>
      <t>子坪</t>
    </r>
  </si>
  <si>
    <r>
      <rPr>
        <sz val="11"/>
        <rFont val="ＭＳ Ｐゴシック"/>
        <family val="3"/>
        <charset val="134"/>
        <scheme val="minor"/>
      </rPr>
      <t>邮</t>
    </r>
    <r>
      <rPr>
        <sz val="11"/>
        <rFont val="ＭＳ Ｐゴシック"/>
        <family val="3"/>
        <charset val="128"/>
        <scheme val="minor"/>
      </rPr>
      <t>念</t>
    </r>
  </si>
  <si>
    <r>
      <rPr>
        <sz val="11"/>
        <rFont val="ＭＳ Ｐゴシック"/>
        <family val="3"/>
        <charset val="134"/>
        <scheme val="minor"/>
      </rPr>
      <t>谢</t>
    </r>
    <r>
      <rPr>
        <sz val="11"/>
        <rFont val="ＭＳ Ｐゴシック"/>
        <family val="3"/>
        <charset val="128"/>
        <scheme val="minor"/>
      </rPr>
      <t>可恩</t>
    </r>
  </si>
  <si>
    <r>
      <rPr>
        <sz val="11"/>
        <rFont val="ＭＳ Ｐゴシック"/>
        <family val="3"/>
        <charset val="134"/>
        <scheme val="minor"/>
      </rPr>
      <t>龙滨</t>
    </r>
    <r>
      <rPr>
        <sz val="11"/>
        <rFont val="ＭＳ Ｐゴシック"/>
        <family val="3"/>
        <charset val="128"/>
        <scheme val="minor"/>
      </rPr>
      <t>福迎</t>
    </r>
    <r>
      <rPr>
        <sz val="11"/>
        <rFont val="ＭＳ Ｐゴシック"/>
        <family val="3"/>
        <charset val="134"/>
        <scheme val="minor"/>
      </rPr>
      <t>门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</si>
  <si>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德英</t>
    </r>
  </si>
  <si>
    <r>
      <t xml:space="preserve"> 刺五加酒;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</si>
  <si>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疆沙</t>
    </r>
    <r>
      <rPr>
        <sz val="11"/>
        <rFont val="ＭＳ Ｐゴシック"/>
        <family val="3"/>
        <charset val="134"/>
        <scheme val="minor"/>
      </rPr>
      <t>蓝</t>
    </r>
    <r>
      <rPr>
        <sz val="11"/>
        <rFont val="ＭＳ Ｐゴシック"/>
        <family val="3"/>
        <charset val="128"/>
        <scheme val="minor"/>
      </rPr>
      <t>洋</t>
    </r>
  </si>
  <si>
    <r>
      <t>沙雅</t>
    </r>
    <r>
      <rPr>
        <sz val="11"/>
        <rFont val="ＭＳ Ｐゴシック"/>
        <family val="3"/>
        <charset val="134"/>
        <scheme val="minor"/>
      </rPr>
      <t>县蓝</t>
    </r>
    <r>
      <rPr>
        <sz val="11"/>
        <rFont val="ＭＳ Ｐゴシック"/>
        <family val="3"/>
        <charset val="128"/>
        <scheme val="minor"/>
      </rPr>
      <t>洋</t>
    </r>
    <r>
      <rPr>
        <sz val="11"/>
        <rFont val="ＭＳ Ｐゴシック"/>
        <family val="3"/>
        <charset val="134"/>
        <scheme val="minor"/>
      </rPr>
      <t>农业</t>
    </r>
    <r>
      <rPr>
        <sz val="11"/>
        <rFont val="ＭＳ Ｐゴシック"/>
        <family val="3"/>
        <charset val="128"/>
        <scheme val="minor"/>
      </rPr>
      <t>种植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民</t>
    </r>
    <r>
      <rPr>
        <sz val="11"/>
        <rFont val="ＭＳ Ｐゴシック"/>
        <family val="3"/>
        <charset val="134"/>
        <scheme val="minor"/>
      </rPr>
      <t>专业</t>
    </r>
    <r>
      <rPr>
        <sz val="11"/>
        <rFont val="ＭＳ Ｐゴシック"/>
        <family val="3"/>
        <charset val="128"/>
        <scheme val="minor"/>
      </rPr>
      <t>合作社</t>
    </r>
  </si>
  <si>
    <r>
      <rPr>
        <sz val="11"/>
        <rFont val="ＭＳ Ｐゴシック"/>
        <family val="3"/>
        <charset val="134"/>
        <scheme val="minor"/>
      </rPr>
      <t>妈妈卫</t>
    </r>
    <r>
      <rPr>
        <sz val="11"/>
        <rFont val="ＭＳ Ｐゴシック"/>
        <family val="3"/>
        <charset val="128"/>
        <scheme val="minor"/>
      </rPr>
      <t>士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</si>
  <si>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清酒;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</si>
  <si>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川</t>
    </r>
    <r>
      <rPr>
        <sz val="11"/>
        <rFont val="ＭＳ Ｐゴシック"/>
        <family val="3"/>
        <charset val="134"/>
        <scheme val="minor"/>
      </rPr>
      <t>浓</t>
    </r>
    <r>
      <rPr>
        <sz val="11"/>
        <rFont val="ＭＳ Ｐゴシック"/>
        <family val="3"/>
        <charset val="128"/>
        <scheme val="minor"/>
      </rPr>
      <t>臻藏</t>
    </r>
  </si>
  <si>
    <r>
      <t>宜</t>
    </r>
    <r>
      <rPr>
        <sz val="11"/>
        <rFont val="ＭＳ Ｐゴシック"/>
        <family val="3"/>
        <charset val="134"/>
        <scheme val="minor"/>
      </rPr>
      <t>宾酿艺</t>
    </r>
    <r>
      <rPr>
        <sz val="11"/>
        <rFont val="ＭＳ Ｐゴシック"/>
        <family val="3"/>
        <charset val="128"/>
        <scheme val="minor"/>
      </rPr>
      <t>堂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酒技</t>
    </r>
    <r>
      <rPr>
        <sz val="11"/>
        <rFont val="ＭＳ Ｐゴシック"/>
        <family val="3"/>
        <charset val="134"/>
        <scheme val="minor"/>
      </rPr>
      <t>术</t>
    </r>
    <r>
      <rPr>
        <sz val="11"/>
        <rFont val="ＭＳ Ｐゴシック"/>
        <family val="3"/>
        <charset val="128"/>
        <scheme val="minor"/>
      </rPr>
      <t>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</si>
  <si>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食用酒精; 黄酒</t>
    </r>
  </si>
  <si>
    <r>
      <t>蜂蜂生</t>
    </r>
    <r>
      <rPr>
        <sz val="11"/>
        <rFont val="ＭＳ Ｐゴシック"/>
        <family val="3"/>
        <charset val="134"/>
        <scheme val="minor"/>
      </rPr>
      <t>风</t>
    </r>
  </si>
  <si>
    <r>
      <rPr>
        <sz val="11"/>
        <rFont val="ＭＳ Ｐゴシック"/>
        <family val="3"/>
        <charset val="134"/>
        <scheme val="minor"/>
      </rPr>
      <t>邹</t>
    </r>
    <r>
      <rPr>
        <sz val="11"/>
        <rFont val="ＭＳ Ｐゴシック"/>
        <family val="3"/>
        <charset val="128"/>
        <scheme val="minor"/>
      </rPr>
      <t>乾</t>
    </r>
    <r>
      <rPr>
        <sz val="11"/>
        <rFont val="ＭＳ Ｐゴシック"/>
        <family val="3"/>
        <charset val="134"/>
        <scheme val="minor"/>
      </rPr>
      <t>铭</t>
    </r>
  </si>
  <si>
    <r>
      <t xml:space="preserve">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青稞酒; 黄酒</t>
    </r>
  </si>
  <si>
    <r>
      <t>白横</t>
    </r>
    <r>
      <rPr>
        <sz val="11"/>
        <rFont val="ＭＳ Ｐゴシック"/>
        <family val="3"/>
        <charset val="134"/>
        <scheme val="minor"/>
      </rPr>
      <t>饮</t>
    </r>
  </si>
  <si>
    <r>
      <rPr>
        <sz val="11"/>
        <rFont val="ＭＳ Ｐゴシック"/>
        <family val="3"/>
        <charset val="134"/>
        <scheme val="minor"/>
      </rPr>
      <t>谢</t>
    </r>
    <r>
      <rPr>
        <sz val="11"/>
        <rFont val="ＭＳ Ｐゴシック"/>
        <family val="3"/>
        <charset val="128"/>
        <scheme val="minor"/>
      </rPr>
      <t>波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</si>
  <si>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白酒; 苹果酒; 葡萄酒; 薄荷酒; 蜂蜜酒</t>
    </r>
  </si>
  <si>
    <r>
      <t>揭阳市广程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器有限公司</t>
    </r>
  </si>
  <si>
    <r>
      <t xml:space="preserve"> 威士忌; 尼瓦(以甘蔗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</si>
  <si>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九村共</t>
    </r>
    <r>
      <rPr>
        <sz val="11"/>
        <rFont val="ＭＳ Ｐゴシック"/>
        <family val="3"/>
        <charset val="134"/>
        <scheme val="minor"/>
      </rPr>
      <t>赋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</si>
  <si>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九村共</t>
    </r>
    <r>
      <rPr>
        <sz val="11"/>
        <rFont val="ＭＳ Ｐゴシック"/>
        <family val="3"/>
        <charset val="134"/>
        <scheme val="minor"/>
      </rPr>
      <t>赋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</si>
  <si>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>魂</t>
    </r>
    <r>
      <rPr>
        <sz val="11"/>
        <rFont val="ＭＳ Ｐゴシック"/>
        <family val="3"/>
        <charset val="134"/>
        <scheme val="minor"/>
      </rPr>
      <t>闽</t>
    </r>
  </si>
  <si>
    <r>
      <t>福建国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</si>
  <si>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黄酒</t>
    </r>
  </si>
  <si>
    <r>
      <t>宁波市厨英</t>
    </r>
    <r>
      <rPr>
        <sz val="11"/>
        <rFont val="ＭＳ Ｐゴシック"/>
        <family val="3"/>
        <charset val="134"/>
        <scheme val="minor"/>
      </rPr>
      <t>荟</t>
    </r>
    <r>
      <rPr>
        <sz val="11"/>
        <rFont val="ＭＳ Ｐゴシック"/>
        <family val="3"/>
        <charset val="128"/>
        <scheme val="minor"/>
      </rPr>
      <t>食品</t>
    </r>
    <r>
      <rPr>
        <sz val="11"/>
        <rFont val="ＭＳ Ｐゴシック"/>
        <family val="3"/>
        <charset val="134"/>
        <scheme val="minor"/>
      </rPr>
      <t>销</t>
    </r>
    <r>
      <rPr>
        <sz val="11"/>
        <rFont val="ＭＳ Ｐゴシック"/>
        <family val="3"/>
        <charset val="128"/>
        <scheme val="minor"/>
      </rPr>
      <t>售有限公司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</si>
  <si>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</si>
  <si>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中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叮</t>
    </r>
    <r>
      <rPr>
        <sz val="11"/>
        <rFont val="ＭＳ Ｐゴシック"/>
        <family val="3"/>
        <charset val="134"/>
        <scheme val="minor"/>
      </rPr>
      <t>咚</t>
    </r>
  </si>
  <si>
    <r>
      <t>河南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道商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</si>
  <si>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清酒(日本米酒);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</si>
  <si>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粮稷</t>
    </r>
  </si>
  <si>
    <r>
      <t>上海</t>
    </r>
    <r>
      <rPr>
        <sz val="11"/>
        <rFont val="ＭＳ Ｐゴシック"/>
        <family val="3"/>
        <charset val="134"/>
        <scheme val="minor"/>
      </rPr>
      <t>骥</t>
    </r>
    <r>
      <rPr>
        <sz val="11"/>
        <rFont val="ＭＳ Ｐゴシック"/>
        <family val="3"/>
        <charset val="128"/>
        <scheme val="minor"/>
      </rPr>
      <t>向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</si>
  <si>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酒(烈酒); 白酒; 米酒; 青稞酒;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</si>
  <si>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露酒; 高粱酒</t>
    </r>
  </si>
  <si>
    <r>
      <t>温州宣府餐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</si>
  <si>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威士忌;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烈酒; 甜酒; 白酒; 青梅酒</t>
    </r>
  </si>
  <si>
    <r>
      <t>遵厂</t>
    </r>
    <r>
      <rPr>
        <sz val="11"/>
        <rFont val="ＭＳ Ｐゴシック"/>
        <family val="3"/>
        <charset val="134"/>
        <scheme val="minor"/>
      </rPr>
      <t>长</t>
    </r>
  </si>
  <si>
    <r>
      <t>鄂</t>
    </r>
    <r>
      <rPr>
        <sz val="11"/>
        <rFont val="ＭＳ Ｐゴシック"/>
        <family val="3"/>
        <charset val="134"/>
        <scheme val="minor"/>
      </rPr>
      <t>尔</t>
    </r>
    <r>
      <rPr>
        <sz val="11"/>
        <rFont val="ＭＳ Ｐゴシック"/>
        <family val="3"/>
        <charset val="128"/>
        <scheme val="minor"/>
      </rPr>
      <t>多斯市老茶韵味茶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</si>
  <si>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葡萄酒; 青稞酒;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</si>
  <si>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威士忌;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</si>
  <si>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</t>
    </r>
    <r>
      <rPr>
        <sz val="11"/>
        <rFont val="ＭＳ Ｐゴシック"/>
        <family val="3"/>
        <charset val="134"/>
        <scheme val="minor"/>
      </rPr>
      <t>许</t>
    </r>
    <r>
      <rPr>
        <sz val="11"/>
        <rFont val="ＭＳ Ｐゴシック"/>
        <family val="3"/>
        <charset val="128"/>
        <scheme val="minor"/>
      </rPr>
      <t>金</t>
    </r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</si>
  <si>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苦味酒; 葡萄酒; 薄荷酒;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</si>
  <si>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rPr>
        <sz val="11"/>
        <rFont val="ＭＳ Ｐゴシック"/>
        <family val="3"/>
        <charset val="134"/>
        <scheme val="minor"/>
      </rPr>
      <t>润</t>
    </r>
    <r>
      <rPr>
        <sz val="11"/>
        <rFont val="ＭＳ Ｐゴシック"/>
        <family val="3"/>
        <charset val="128"/>
        <scheme val="minor"/>
      </rPr>
      <t>吉山</t>
    </r>
  </si>
  <si>
    <r>
      <rPr>
        <sz val="11"/>
        <rFont val="ＭＳ Ｐゴシック"/>
        <family val="3"/>
        <charset val="134"/>
        <scheme val="minor"/>
      </rPr>
      <t>闫伟</t>
    </r>
  </si>
  <si>
    <r>
      <rPr>
        <sz val="11"/>
        <rFont val="ＭＳ Ｐゴシック"/>
        <family val="3"/>
        <charset val="134"/>
        <scheme val="minor"/>
      </rPr>
      <t>铭</t>
    </r>
    <r>
      <rPr>
        <sz val="11"/>
        <rFont val="ＭＳ Ｐゴシック"/>
        <family val="3"/>
        <charset val="128"/>
        <scheme val="minor"/>
      </rPr>
      <t>盛</t>
    </r>
    <r>
      <rPr>
        <sz val="11"/>
        <rFont val="ＭＳ Ｐゴシック"/>
        <family val="3"/>
        <charset val="134"/>
        <scheme val="minor"/>
      </rPr>
      <t>赵</t>
    </r>
    <r>
      <rPr>
        <sz val="11"/>
        <rFont val="ＭＳ Ｐゴシック"/>
        <family val="3"/>
        <charset val="128"/>
        <scheme val="minor"/>
      </rPr>
      <t>公液</t>
    </r>
  </si>
  <si>
    <r>
      <t>宜</t>
    </r>
    <r>
      <rPr>
        <sz val="11"/>
        <rFont val="ＭＳ Ｐゴシック"/>
        <family val="3"/>
        <charset val="134"/>
        <scheme val="minor"/>
      </rPr>
      <t>宾</t>
    </r>
    <r>
      <rPr>
        <sz val="11"/>
        <rFont val="ＭＳ Ｐゴシック"/>
        <family val="3"/>
        <charset val="128"/>
        <scheme val="minor"/>
      </rPr>
      <t>富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</si>
  <si>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含酒精的气泡水; 威士忌; 果酒; 白酒; 米酒;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</si>
  <si>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老</t>
    </r>
    <r>
      <rPr>
        <sz val="11"/>
        <rFont val="ＭＳ Ｐゴシック"/>
        <family val="3"/>
        <charset val="134"/>
        <scheme val="minor"/>
      </rPr>
      <t>圆</t>
    </r>
    <r>
      <rPr>
        <sz val="11"/>
        <rFont val="ＭＳ Ｐゴシック"/>
        <family val="3"/>
        <charset val="128"/>
        <scheme val="minor"/>
      </rPr>
      <t>瓶酒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(</t>
    </r>
    <r>
      <rPr>
        <sz val="11"/>
        <rFont val="ＭＳ Ｐゴシック"/>
        <family val="3"/>
        <charset val="134"/>
        <scheme val="minor"/>
      </rPr>
      <t>泸</t>
    </r>
    <r>
      <rPr>
        <sz val="11"/>
        <rFont val="ＭＳ Ｐゴシック"/>
        <family val="3"/>
        <charset val="128"/>
        <scheme val="minor"/>
      </rPr>
      <t>州)有限公司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</si>
  <si>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黄酒</t>
    </r>
  </si>
  <si>
    <r>
      <rPr>
        <sz val="11"/>
        <rFont val="ＭＳ Ｐゴシック"/>
        <family val="3"/>
        <charset val="134"/>
        <scheme val="minor"/>
      </rPr>
      <t>鹟</t>
    </r>
  </si>
  <si>
    <r>
      <rPr>
        <sz val="11"/>
        <rFont val="ＭＳ Ｐゴシック"/>
        <family val="3"/>
        <charset val="134"/>
        <scheme val="minor"/>
      </rPr>
      <t>龙冈</t>
    </r>
    <r>
      <rPr>
        <sz val="11"/>
        <rFont val="ＭＳ Ｐゴシック"/>
        <family val="3"/>
        <charset val="128"/>
        <scheme val="minor"/>
      </rPr>
      <t>弘道</t>
    </r>
  </si>
  <si>
    <r>
      <t xml:space="preserve"> 利口酒;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餐后酒(利口酒和烈酒); 黄酒</t>
    </r>
  </si>
  <si>
    <r>
      <t>福建</t>
    </r>
    <r>
      <rPr>
        <sz val="11"/>
        <rFont val="ＭＳ Ｐゴシック"/>
        <family val="3"/>
        <charset val="134"/>
        <scheme val="minor"/>
      </rPr>
      <t>银领</t>
    </r>
    <r>
      <rPr>
        <sz val="11"/>
        <rFont val="ＭＳ Ｐゴシック"/>
        <family val="3"/>
        <charset val="128"/>
        <scheme val="minor"/>
      </rPr>
      <t>服装科技有限公司</t>
    </r>
  </si>
  <si>
    <r>
      <t xml:space="preserve"> 利口酒;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青稞酒; 食用酒精; 黄酒</t>
    </r>
  </si>
  <si>
    <r>
      <rPr>
        <sz val="11"/>
        <rFont val="ＭＳ Ｐゴシック"/>
        <family val="3"/>
        <charset val="134"/>
        <scheme val="minor"/>
      </rPr>
      <t>荞财</t>
    </r>
  </si>
  <si>
    <r>
      <t>珀莱雅化</t>
    </r>
    <r>
      <rPr>
        <sz val="11"/>
        <rFont val="ＭＳ Ｐゴシック"/>
        <family val="3"/>
        <charset val="134"/>
        <scheme val="minor"/>
      </rPr>
      <t>妆</t>
    </r>
    <r>
      <rPr>
        <sz val="11"/>
        <rFont val="ＭＳ Ｐゴシック"/>
        <family val="3"/>
        <charset val="128"/>
        <scheme val="minor"/>
      </rPr>
      <t>品股份有限公司</t>
    </r>
  </si>
  <si>
    <r>
      <t xml:space="preserve"> 伏特加酒; 威士忌; 朗姆酒;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</si>
  <si>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沁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悦</t>
    </r>
  </si>
  <si>
    <r>
      <t>深圳市神州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</si>
  <si>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汽酒;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</si>
  <si>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飞</t>
    </r>
    <r>
      <rPr>
        <sz val="11"/>
        <rFont val="ＭＳ Ｐゴシック"/>
        <family val="3"/>
        <charset val="128"/>
        <scheme val="minor"/>
      </rPr>
      <t>霞谷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</si>
  <si>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松</t>
    </r>
  </si>
  <si>
    <r>
      <t>赫富金</t>
    </r>
    <r>
      <rPr>
        <sz val="11"/>
        <rFont val="ＭＳ Ｐゴシック"/>
        <family val="3"/>
        <charset val="134"/>
        <scheme val="minor"/>
      </rPr>
      <t>锤</t>
    </r>
  </si>
  <si>
    <r>
      <t xml:space="preserve"> 伏特加酒;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</si>
  <si>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湖南灵越商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</si>
  <si>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果酒; 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青稞酒; 黄酒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</si>
  <si>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樽潭</t>
    </r>
  </si>
  <si>
    <r>
      <t>深圳市鼐尊</t>
    </r>
    <r>
      <rPr>
        <sz val="11"/>
        <rFont val="ＭＳ Ｐゴシック"/>
        <family val="3"/>
        <charset val="134"/>
        <scheme val="minor"/>
      </rPr>
      <t>产业发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</si>
  <si>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食用酒精; 高粱酒</t>
    </r>
  </si>
  <si>
    <r>
      <t xml:space="preserve"> 伏特加酒; 威士忌; 朗姆酒;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</si>
  <si>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狄岳</t>
    </r>
  </si>
  <si>
    <r>
      <t>上浦</t>
    </r>
    <r>
      <rPr>
        <sz val="11"/>
        <rFont val="ＭＳ Ｐゴシック"/>
        <family val="3"/>
        <charset val="134"/>
        <scheme val="minor"/>
      </rPr>
      <t>馆</t>
    </r>
  </si>
  <si>
    <r>
      <t>金氿</t>
    </r>
    <r>
      <rPr>
        <sz val="11"/>
        <rFont val="ＭＳ Ｐゴシック"/>
        <family val="3"/>
        <charset val="134"/>
        <scheme val="minor"/>
      </rPr>
      <t>蓝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</si>
  <si>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市茅合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酒(集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)有限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</si>
  <si>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餐后酒(利口酒和烈酒)</t>
    </r>
  </si>
  <si>
    <r>
      <t>云</t>
    </r>
    <r>
      <rPr>
        <sz val="11"/>
        <rFont val="ＭＳ Ｐゴシック"/>
        <family val="3"/>
        <charset val="134"/>
        <scheme val="minor"/>
      </rPr>
      <t>仓</t>
    </r>
    <r>
      <rPr>
        <sz val="11"/>
        <rFont val="ＭＳ Ｐゴシック"/>
        <family val="3"/>
        <charset val="128"/>
        <scheme val="minor"/>
      </rPr>
      <t>酒庄 酒</t>
    </r>
  </si>
  <si>
    <r>
      <t>海南云</t>
    </r>
    <r>
      <rPr>
        <sz val="11"/>
        <rFont val="ＭＳ Ｐゴシック"/>
        <family val="3"/>
        <charset val="134"/>
        <scheme val="minor"/>
      </rPr>
      <t>仓</t>
    </r>
    <r>
      <rPr>
        <sz val="11"/>
        <rFont val="ＭＳ Ｐゴシック"/>
        <family val="3"/>
        <charset val="128"/>
        <scheme val="minor"/>
      </rPr>
      <t>酒庄有限公司</t>
    </r>
  </si>
  <si>
    <r>
      <t xml:space="preserve"> 威士忌; 开胃酒;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</si>
  <si>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州景明酒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</si>
  <si>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</si>
  <si>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义乌</t>
    </r>
    <r>
      <rPr>
        <sz val="11"/>
        <rFont val="ＭＳ Ｐゴシック"/>
        <family val="3"/>
        <charset val="128"/>
        <scheme val="minor"/>
      </rPr>
      <t>市恒格食品商行(个体工商</t>
    </r>
    <r>
      <rPr>
        <sz val="11"/>
        <rFont val="ＭＳ Ｐゴシック"/>
        <family val="3"/>
        <charset val="134"/>
        <scheme val="minor"/>
      </rPr>
      <t>户</t>
    </r>
    <r>
      <rPr>
        <sz val="11"/>
        <rFont val="ＭＳ Ｐゴシック"/>
        <family val="3"/>
        <charset val="128"/>
        <scheme val="minor"/>
      </rPr>
      <t>)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</si>
  <si>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</si>
  <si>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赏</t>
    </r>
    <r>
      <rPr>
        <sz val="11"/>
        <rFont val="ＭＳ Ｐゴシック"/>
        <family val="3"/>
        <charset val="128"/>
        <scheme val="minor"/>
      </rPr>
      <t>荷</t>
    </r>
  </si>
  <si>
    <r>
      <t>宿迁淮天下酒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</si>
  <si>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</si>
  <si>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“</t>
    </r>
    <r>
      <rPr>
        <sz val="11"/>
        <rFont val="ＭＳ Ｐゴシック"/>
        <family val="3"/>
        <charset val="134"/>
        <scheme val="minor"/>
      </rPr>
      <t>玛</t>
    </r>
    <r>
      <rPr>
        <sz val="11"/>
        <rFont val="ＭＳ Ｐゴシック"/>
        <family val="3"/>
        <charset val="128"/>
        <scheme val="minor"/>
      </rPr>
      <t>桑德拉生</t>
    </r>
    <r>
      <rPr>
        <sz val="11"/>
        <rFont val="ＭＳ Ｐゴシック"/>
        <family val="3"/>
        <charset val="134"/>
        <scheme val="minor"/>
      </rPr>
      <t>产农业联</t>
    </r>
    <r>
      <rPr>
        <sz val="11"/>
        <rFont val="ＭＳ Ｐゴシック"/>
        <family val="3"/>
        <charset val="128"/>
        <scheme val="minor"/>
      </rPr>
      <t>合”股份公司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</si>
  <si>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伏特加酒; 加烈葡萄酒;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桃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葡萄酒; 白葡萄酒;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葡萄酒; 葡萄酒; 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制好的葡萄酒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</si>
  <si>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新疆瑚希娜孜科技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</si>
  <si>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</si>
  <si>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州天生喜酒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</si>
  <si>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</si>
  <si>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再</t>
    </r>
    <r>
      <rPr>
        <sz val="11"/>
        <rFont val="ＭＳ Ｐゴシック"/>
        <family val="3"/>
        <charset val="134"/>
        <scheme val="minor"/>
      </rPr>
      <t>见</t>
    </r>
    <r>
      <rPr>
        <sz val="11"/>
        <rFont val="ＭＳ Ｐゴシック"/>
        <family val="3"/>
        <charset val="128"/>
        <scheme val="minor"/>
      </rPr>
      <t>杏花村</t>
    </r>
  </si>
  <si>
    <r>
      <t>河南契文</t>
    </r>
    <r>
      <rPr>
        <sz val="11"/>
        <rFont val="ＭＳ Ｐゴシック"/>
        <family val="3"/>
        <charset val="134"/>
        <scheme val="minor"/>
      </rPr>
      <t>传习</t>
    </r>
    <r>
      <rPr>
        <sz val="11"/>
        <rFont val="ＭＳ Ｐゴシック"/>
        <family val="3"/>
        <charset val="128"/>
        <scheme val="minor"/>
      </rPr>
      <t>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播有限公司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</si>
  <si>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果酒(含酒精);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</si>
  <si>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谷神</t>
    </r>
    <r>
      <rPr>
        <sz val="11"/>
        <rFont val="ＭＳ Ｐゴシック"/>
        <family val="3"/>
        <charset val="134"/>
        <scheme val="minor"/>
      </rPr>
      <t>农饮</t>
    </r>
  </si>
  <si>
    <r>
      <rPr>
        <sz val="11"/>
        <rFont val="ＭＳ Ｐゴシック"/>
        <family val="3"/>
        <charset val="134"/>
        <scheme val="minor"/>
      </rPr>
      <t>华华</t>
    </r>
    <r>
      <rPr>
        <sz val="11"/>
        <rFont val="ＭＳ Ｐゴシック"/>
        <family val="3"/>
        <charset val="128"/>
        <scheme val="minor"/>
      </rPr>
      <t>世界文旅(深圳)有限公司</t>
    </r>
  </si>
  <si>
    <r>
      <t xml:space="preserve"> 威士忌; 果酒(含酒精);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</si>
  <si>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樽</t>
    </r>
    <r>
      <rPr>
        <sz val="11"/>
        <rFont val="ＭＳ Ｐゴシック"/>
        <family val="3"/>
        <charset val="134"/>
        <scheme val="minor"/>
      </rPr>
      <t>统</t>
    </r>
    <r>
      <rPr>
        <sz val="11"/>
        <rFont val="ＭＳ Ｐゴシック"/>
        <family val="3"/>
        <charset val="128"/>
        <scheme val="minor"/>
      </rPr>
      <t>天下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</si>
  <si>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天然汽酒; 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黄酒</t>
    </r>
  </si>
  <si>
    <r>
      <rPr>
        <sz val="11"/>
        <rFont val="ＭＳ Ｐゴシック"/>
        <family val="3"/>
        <charset val="134"/>
        <scheme val="minor"/>
      </rPr>
      <t>诏</t>
    </r>
    <r>
      <rPr>
        <sz val="11"/>
        <rFont val="ＭＳ Ｐゴシック"/>
        <family val="3"/>
        <charset val="128"/>
        <scheme val="minor"/>
      </rPr>
      <t>安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三</t>
    </r>
    <r>
      <rPr>
        <sz val="11"/>
        <rFont val="ＭＳ Ｐゴシック"/>
        <family val="3"/>
        <charset val="134"/>
        <scheme val="minor"/>
      </rPr>
      <t>顾</t>
    </r>
    <r>
      <rPr>
        <sz val="11"/>
        <rFont val="ＭＳ Ｐゴシック"/>
        <family val="3"/>
        <charset val="128"/>
        <scheme val="minor"/>
      </rPr>
      <t>食品有限公司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</si>
  <si>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水果汽酒;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青梅酒;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</si>
  <si>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嚛嚛</t>
    </r>
    <r>
      <rPr>
        <sz val="11"/>
        <rFont val="ＭＳ Ｐゴシック"/>
        <family val="3"/>
        <charset val="128"/>
        <scheme val="minor"/>
      </rPr>
      <t>喜</t>
    </r>
    <r>
      <rPr>
        <sz val="11"/>
        <rFont val="ＭＳ Ｐゴシック"/>
        <family val="3"/>
        <charset val="134"/>
        <scheme val="minor"/>
      </rPr>
      <t>乐</t>
    </r>
  </si>
  <si>
    <r>
      <rPr>
        <sz val="11"/>
        <rFont val="ＭＳ Ｐゴシック"/>
        <family val="3"/>
        <charset val="134"/>
        <scheme val="minor"/>
      </rPr>
      <t>辽</t>
    </r>
    <r>
      <rPr>
        <sz val="11"/>
        <rFont val="ＭＳ Ｐゴシック"/>
        <family val="3"/>
        <charset val="128"/>
        <scheme val="minor"/>
      </rPr>
      <t>宁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菲菲信息科技有限公司</t>
    </r>
  </si>
  <si>
    <r>
      <t xml:space="preserve"> 伏特加酒; 果酒; 烈性干酒; 烈酒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</si>
  <si>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rPr>
        <sz val="11"/>
        <rFont val="ＭＳ Ｐゴシック"/>
        <family val="3"/>
        <charset val="134"/>
        <scheme val="minor"/>
      </rPr>
      <t>逊</t>
    </r>
    <r>
      <rPr>
        <sz val="11"/>
        <rFont val="ＭＳ Ｐゴシック"/>
        <family val="3"/>
        <charset val="128"/>
        <scheme val="minor"/>
      </rPr>
      <t>古</t>
    </r>
  </si>
  <si>
    <r>
      <t>南昌市</t>
    </r>
    <r>
      <rPr>
        <sz val="11"/>
        <rFont val="ＭＳ Ｐゴシック"/>
        <family val="3"/>
        <charset val="134"/>
        <scheme val="minor"/>
      </rPr>
      <t>逊</t>
    </r>
    <r>
      <rPr>
        <sz val="11"/>
        <rFont val="ＭＳ Ｐゴシック"/>
        <family val="3"/>
        <charset val="128"/>
        <scheme val="minor"/>
      </rPr>
      <t>古酒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</si>
  <si>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松叶酒; 梨酒; 汽酒;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用烈酒; 高粱酒; 黄酒</t>
    </r>
  </si>
  <si>
    <r>
      <t>福之</t>
    </r>
    <r>
      <rPr>
        <sz val="11"/>
        <rFont val="ＭＳ Ｐゴシック"/>
        <family val="3"/>
        <charset val="134"/>
        <scheme val="minor"/>
      </rPr>
      <t>财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</si>
  <si>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国涛</t>
    </r>
  </si>
  <si>
    <r>
      <rPr>
        <sz val="11"/>
        <rFont val="ＭＳ Ｐゴシック"/>
        <family val="3"/>
        <charset val="134"/>
        <scheme val="minor"/>
      </rPr>
      <t>义难</t>
    </r>
    <r>
      <rPr>
        <sz val="11"/>
        <rFont val="ＭＳ Ｐゴシック"/>
        <family val="3"/>
        <charset val="128"/>
        <scheme val="minor"/>
      </rPr>
      <t>舍</t>
    </r>
  </si>
  <si>
    <r>
      <t>麦扎</t>
    </r>
    <r>
      <rPr>
        <sz val="11"/>
        <rFont val="ＭＳ Ｐゴシック"/>
        <family val="3"/>
        <charset val="134"/>
        <scheme val="minor"/>
      </rPr>
      <t>乐</t>
    </r>
  </si>
  <si>
    <r>
      <t>成都麦扎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啤酒</t>
    </r>
    <r>
      <rPr>
        <sz val="11"/>
        <rFont val="ＭＳ Ｐゴシック"/>
        <family val="3"/>
        <charset val="134"/>
        <scheme val="minor"/>
      </rPr>
      <t>销</t>
    </r>
    <r>
      <rPr>
        <sz val="11"/>
        <rFont val="ＭＳ Ｐゴシック"/>
        <family val="3"/>
        <charset val="128"/>
        <scheme val="minor"/>
      </rPr>
      <t>售有限公司</t>
    </r>
  </si>
  <si>
    <r>
      <t>蔡永</t>
    </r>
    <r>
      <rPr>
        <sz val="11"/>
        <rFont val="ＭＳ Ｐゴシック"/>
        <family val="3"/>
        <charset val="134"/>
        <scheme val="minor"/>
      </rPr>
      <t>锋</t>
    </r>
  </si>
  <si>
    <r>
      <t xml:space="preserve"> 果酒; 汽酒; 烈性干酒;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高粱酒; 黄酒</t>
    </r>
  </si>
  <si>
    <r>
      <rPr>
        <sz val="11"/>
        <rFont val="ＭＳ Ｐゴシック"/>
        <family val="3"/>
        <charset val="134"/>
        <scheme val="minor"/>
      </rPr>
      <t>鹤驻</t>
    </r>
    <r>
      <rPr>
        <sz val="11"/>
        <rFont val="ＭＳ Ｐゴシック"/>
        <family val="3"/>
        <charset val="128"/>
        <scheme val="minor"/>
      </rPr>
      <t>云</t>
    </r>
    <r>
      <rPr>
        <sz val="11"/>
        <rFont val="ＭＳ Ｐゴシック"/>
        <family val="3"/>
        <charset val="134"/>
        <scheme val="minor"/>
      </rPr>
      <t>归</t>
    </r>
  </si>
  <si>
    <r>
      <t>海南原野投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</si>
  <si>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</si>
  <si>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树</t>
    </r>
    <r>
      <rPr>
        <sz val="11"/>
        <rFont val="ＭＳ Ｐゴシック"/>
        <family val="3"/>
        <charset val="128"/>
        <scheme val="minor"/>
      </rPr>
      <t>墩家</t>
    </r>
  </si>
  <si>
    <r>
      <t>南阳喜和堂健康服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</si>
  <si>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草莓酒;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</t>
    </r>
  </si>
  <si>
    <r>
      <t>哈</t>
    </r>
    <r>
      <rPr>
        <sz val="11"/>
        <rFont val="ＭＳ Ｐゴシック"/>
        <family val="3"/>
        <charset val="134"/>
        <scheme val="minor"/>
      </rPr>
      <t>尔滨</t>
    </r>
    <r>
      <rPr>
        <sz val="11"/>
        <rFont val="ＭＳ Ｐゴシック"/>
        <family val="3"/>
        <charset val="128"/>
        <scheme val="minor"/>
      </rPr>
      <t>市雷程商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</si>
  <si>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含酒精的气泡水; 威士忌;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米酒; 苹果酒;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</si>
  <si>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醉美天草</t>
    </r>
    <r>
      <rPr>
        <sz val="11"/>
        <rFont val="ＭＳ Ｐゴシック"/>
        <family val="3"/>
        <charset val="134"/>
        <scheme val="minor"/>
      </rPr>
      <t>润东</t>
    </r>
  </si>
  <si>
    <r>
      <t>四川天草</t>
    </r>
    <r>
      <rPr>
        <sz val="11"/>
        <rFont val="ＭＳ Ｐゴシック"/>
        <family val="3"/>
        <charset val="134"/>
        <scheme val="minor"/>
      </rPr>
      <t>润东</t>
    </r>
    <r>
      <rPr>
        <sz val="11"/>
        <rFont val="ＭＳ Ｐゴシック"/>
        <family val="3"/>
        <charset val="128"/>
        <scheme val="minor"/>
      </rPr>
      <t>生物科技有限公司</t>
    </r>
  </si>
  <si>
    <r>
      <t xml:space="preserve"> 果酒; 果酒(含酒精); 梅酒;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清酒(日本米酒); 甜酒; 白酒; 米酒; 薄荷酒;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</si>
  <si>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利口酒; 果酒; 果酒(含酒精); 烈性干酒;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酒(烈酒);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餐后酒(利口酒和烈酒); 高粱酒</t>
    </r>
  </si>
  <si>
    <r>
      <t>北京福杰酒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</si>
  <si>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</si>
  <si>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龟</t>
    </r>
    <r>
      <rPr>
        <sz val="11"/>
        <rFont val="ＭＳ Ｐゴシック"/>
        <family val="3"/>
        <charset val="128"/>
        <scheme val="minor"/>
      </rPr>
      <t>泰益安</t>
    </r>
  </si>
  <si>
    <r>
      <t>刘世</t>
    </r>
    <r>
      <rPr>
        <sz val="11"/>
        <rFont val="ＭＳ Ｐゴシック"/>
        <family val="3"/>
        <charset val="134"/>
        <scheme val="minor"/>
      </rPr>
      <t>红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</si>
  <si>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含酒精的气泡水;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蜂蜜酒; 黄酒</t>
    </r>
  </si>
  <si>
    <r>
      <rPr>
        <sz val="11"/>
        <rFont val="ＭＳ Ｐゴシック"/>
        <family val="3"/>
        <charset val="134"/>
        <scheme val="minor"/>
      </rPr>
      <t>张伟宾</t>
    </r>
  </si>
  <si>
    <r>
      <t xml:space="preserve">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</t>
    </r>
  </si>
  <si>
    <r>
      <rPr>
        <sz val="11"/>
        <rFont val="ＭＳ Ｐゴシック"/>
        <family val="3"/>
        <charset val="134"/>
        <scheme val="minor"/>
      </rPr>
      <t>乌</t>
    </r>
    <r>
      <rPr>
        <sz val="11"/>
        <rFont val="ＭＳ Ｐゴシック"/>
        <family val="3"/>
        <charset val="128"/>
        <scheme val="minor"/>
      </rPr>
      <t>蒙</t>
    </r>
    <r>
      <rPr>
        <sz val="11"/>
        <rFont val="ＭＳ Ｐゴシック"/>
        <family val="3"/>
        <charset val="134"/>
        <scheme val="minor"/>
      </rPr>
      <t>朤</t>
    </r>
  </si>
  <si>
    <r>
      <t>亳州九卜健康</t>
    </r>
    <r>
      <rPr>
        <sz val="11"/>
        <rFont val="ＭＳ Ｐゴシック"/>
        <family val="3"/>
        <charset val="134"/>
        <scheme val="minor"/>
      </rPr>
      <t>产业发</t>
    </r>
    <r>
      <rPr>
        <sz val="11"/>
        <rFont val="ＭＳ Ｐゴシック"/>
        <family val="3"/>
        <charset val="128"/>
        <scheme val="minor"/>
      </rPr>
      <t>展有限公司</t>
    </r>
  </si>
  <si>
    <r>
      <rPr>
        <sz val="11"/>
        <rFont val="ＭＳ Ｐゴシック"/>
        <family val="3"/>
        <charset val="134"/>
        <scheme val="minor"/>
      </rPr>
      <t>维</t>
    </r>
    <r>
      <rPr>
        <sz val="11"/>
        <rFont val="ＭＳ Ｐゴシック"/>
        <family val="3"/>
        <charset val="128"/>
        <scheme val="minor"/>
      </rPr>
      <t>吉斯餐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</si>
  <si>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</si>
  <si>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武蒙</t>
    </r>
    <r>
      <rPr>
        <sz val="11"/>
        <rFont val="ＭＳ Ｐゴシック"/>
        <family val="3"/>
        <charset val="134"/>
        <scheme val="minor"/>
      </rPr>
      <t>华</t>
    </r>
  </si>
  <si>
    <r>
      <t>厦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灌</t>
    </r>
    <r>
      <rPr>
        <sz val="11"/>
        <rFont val="ＭＳ Ｐゴシック"/>
        <family val="3"/>
        <charset val="134"/>
        <scheme val="minor"/>
      </rPr>
      <t>顶</t>
    </r>
    <r>
      <rPr>
        <sz val="11"/>
        <rFont val="ＭＳ Ｐゴシック"/>
        <family val="3"/>
        <charset val="128"/>
        <scheme val="minor"/>
      </rPr>
      <t>食品有限公司</t>
    </r>
  </si>
  <si>
    <r>
      <t xml:space="preserve"> 伏特加酒; 威士忌; 朗姆酒; 果酒(含酒精);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黄酒</t>
    </r>
  </si>
  <si>
    <r>
      <t>宜</t>
    </r>
    <r>
      <rPr>
        <sz val="11"/>
        <rFont val="ＭＳ Ｐゴシック"/>
        <family val="3"/>
        <charset val="134"/>
        <scheme val="minor"/>
      </rPr>
      <t>宾华</t>
    </r>
    <r>
      <rPr>
        <sz val="11"/>
        <rFont val="ＭＳ Ｐゴシック"/>
        <family val="3"/>
        <charset val="128"/>
        <scheme val="minor"/>
      </rPr>
      <t>梦酒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</si>
  <si>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果酒; 汽酒;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</si>
  <si>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生</t>
    </r>
    <r>
      <rPr>
        <sz val="11"/>
        <rFont val="ＭＳ Ｐゴシック"/>
        <family val="3"/>
        <charset val="134"/>
        <scheme val="minor"/>
      </rPr>
      <t>赋</t>
    </r>
  </si>
  <si>
    <r>
      <t>茗氿</t>
    </r>
    <r>
      <rPr>
        <sz val="11"/>
        <rFont val="ＭＳ Ｐゴシック"/>
        <family val="3"/>
        <charset val="134"/>
        <scheme val="minor"/>
      </rPr>
      <t>库</t>
    </r>
    <r>
      <rPr>
        <sz val="11"/>
        <rFont val="ＭＳ Ｐゴシック"/>
        <family val="3"/>
        <charset val="128"/>
        <scheme val="minor"/>
      </rPr>
      <t>(成都)供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</si>
  <si>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</si>
  <si>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禾</t>
    </r>
    <r>
      <rPr>
        <sz val="11"/>
        <rFont val="ＭＳ Ｐゴシック"/>
        <family val="3"/>
        <charset val="134"/>
        <scheme val="minor"/>
      </rPr>
      <t>畅欢</t>
    </r>
  </si>
  <si>
    <r>
      <t>世</t>
    </r>
    <r>
      <rPr>
        <sz val="11"/>
        <rFont val="ＭＳ Ｐゴシック"/>
        <family val="3"/>
        <charset val="134"/>
        <scheme val="minor"/>
      </rPr>
      <t>纪</t>
    </r>
    <r>
      <rPr>
        <sz val="11"/>
        <rFont val="ＭＳ Ｐゴシック"/>
        <family val="3"/>
        <charset val="128"/>
        <scheme val="minor"/>
      </rPr>
      <t>荣光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</si>
  <si>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世</t>
    </r>
    <r>
      <rPr>
        <sz val="11"/>
        <rFont val="ＭＳ Ｐゴシック"/>
        <family val="3"/>
        <charset val="134"/>
        <scheme val="minor"/>
      </rPr>
      <t>纪</t>
    </r>
    <r>
      <rPr>
        <sz val="11"/>
        <rFont val="ＭＳ Ｐゴシック"/>
        <family val="3"/>
        <charset val="128"/>
        <scheme val="minor"/>
      </rPr>
      <t>荣光酒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</si>
  <si>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露酒;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高粱酒; 黄酒</t>
    </r>
  </si>
  <si>
    <r>
      <t>断</t>
    </r>
    <r>
      <rPr>
        <sz val="11"/>
        <rFont val="ＭＳ Ｐゴシック"/>
        <family val="3"/>
        <charset val="134"/>
        <scheme val="minor"/>
      </rPr>
      <t>桥</t>
    </r>
    <r>
      <rPr>
        <sz val="11"/>
        <rFont val="ＭＳ Ｐゴシック"/>
        <family val="3"/>
        <charset val="128"/>
        <scheme val="minor"/>
      </rPr>
      <t>旁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</si>
  <si>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吾迪木商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</si>
  <si>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甜酒; 白酒; 米酒; 葡萄酒; 蜂蜜酒; 青梅酒; 高粱酒; 黄酒</t>
    </r>
  </si>
  <si>
    <r>
      <rPr>
        <sz val="11"/>
        <rFont val="ＭＳ Ｐゴシック"/>
        <family val="3"/>
        <charset val="134"/>
        <scheme val="minor"/>
      </rPr>
      <t>纵览</t>
    </r>
    <r>
      <rPr>
        <sz val="11"/>
        <rFont val="ＭＳ Ｐゴシック"/>
        <family val="3"/>
        <charset val="128"/>
        <scheme val="minor"/>
      </rPr>
      <t>乾坤</t>
    </r>
  </si>
  <si>
    <r>
      <rPr>
        <sz val="11"/>
        <rFont val="ＭＳ Ｐゴシック"/>
        <family val="3"/>
        <charset val="134"/>
        <scheme val="minor"/>
      </rPr>
      <t>归</t>
    </r>
    <r>
      <rPr>
        <sz val="11"/>
        <rFont val="ＭＳ Ｐゴシック"/>
        <family val="3"/>
        <charset val="128"/>
        <scheme val="minor"/>
      </rPr>
      <t>心</t>
    </r>
    <r>
      <rPr>
        <sz val="11"/>
        <rFont val="ＭＳ Ｐゴシック"/>
        <family val="3"/>
        <charset val="134"/>
        <scheme val="minor"/>
      </rPr>
      <t>闲</t>
    </r>
  </si>
  <si>
    <r>
      <t>河南</t>
    </r>
    <r>
      <rPr>
        <sz val="11"/>
        <rFont val="ＭＳ Ｐゴシック"/>
        <family val="3"/>
        <charset val="134"/>
        <scheme val="minor"/>
      </rPr>
      <t>归</t>
    </r>
    <r>
      <rPr>
        <sz val="11"/>
        <rFont val="ＭＳ Ｐゴシック"/>
        <family val="3"/>
        <charset val="128"/>
        <scheme val="minor"/>
      </rPr>
      <t>心</t>
    </r>
    <r>
      <rPr>
        <sz val="11"/>
        <rFont val="ＭＳ Ｐゴシック"/>
        <family val="3"/>
        <charset val="134"/>
        <scheme val="minor"/>
      </rPr>
      <t>闲</t>
    </r>
    <r>
      <rPr>
        <sz val="11"/>
        <rFont val="ＭＳ Ｐゴシック"/>
        <family val="3"/>
        <charset val="128"/>
        <scheme val="minor"/>
      </rPr>
      <t>文旅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</si>
  <si>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清酒; 甜果酒; 白酒; 葡萄酒; 蜂蜜酒; 露酒; 黄酒</t>
    </r>
  </si>
  <si>
    <r>
      <rPr>
        <sz val="11"/>
        <rFont val="ＭＳ Ｐゴシック"/>
        <family val="3"/>
        <charset val="134"/>
        <scheme val="minor"/>
      </rPr>
      <t>忆</t>
    </r>
    <r>
      <rPr>
        <sz val="11"/>
        <rFont val="ＭＳ Ｐゴシック"/>
        <family val="3"/>
        <charset val="128"/>
        <scheme val="minor"/>
      </rPr>
      <t>品金匠</t>
    </r>
  </si>
  <si>
    <r>
      <t>河南省</t>
    </r>
    <r>
      <rPr>
        <sz val="11"/>
        <rFont val="ＭＳ Ｐゴシック"/>
        <family val="3"/>
        <charset val="134"/>
        <scheme val="minor"/>
      </rPr>
      <t>鸿兴</t>
    </r>
    <r>
      <rPr>
        <sz val="11"/>
        <rFont val="ＭＳ Ｐゴシック"/>
        <family val="3"/>
        <charset val="128"/>
        <scheme val="minor"/>
      </rPr>
      <t>曲酒厂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</si>
  <si>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威士忌;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</si>
  <si>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rPr>
        <sz val="11"/>
        <rFont val="ＭＳ Ｐゴシック"/>
        <family val="3"/>
        <charset val="134"/>
        <scheme val="minor"/>
      </rPr>
      <t>贺鹏飞</t>
    </r>
  </si>
  <si>
    <r>
      <t xml:space="preserve"> 含酒精的气泡水; 含酒精蛋奶酒; 果酒;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苹果酒; 青稞酒; 高粱酒</t>
    </r>
  </si>
  <si>
    <r>
      <t>曾小</t>
    </r>
    <r>
      <rPr>
        <sz val="11"/>
        <rFont val="ＭＳ Ｐゴシック"/>
        <family val="3"/>
        <charset val="134"/>
        <scheme val="minor"/>
      </rPr>
      <t>红</t>
    </r>
  </si>
  <si>
    <r>
      <t xml:space="preserve"> 威士忌; 开胃酒;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</si>
  <si>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山西后浪酒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</si>
  <si>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威士忌; 果酒; 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蜂蜜酒</t>
    </r>
  </si>
  <si>
    <r>
      <t>安徽省准丰富</t>
    </r>
    <r>
      <rPr>
        <sz val="11"/>
        <rFont val="ＭＳ Ｐゴシック"/>
        <family val="3"/>
        <charset val="134"/>
        <scheme val="minor"/>
      </rPr>
      <t>满</t>
    </r>
    <r>
      <rPr>
        <sz val="11"/>
        <rFont val="ＭＳ Ｐゴシック"/>
        <family val="3"/>
        <charset val="128"/>
        <scheme val="minor"/>
      </rPr>
      <t>园</t>
    </r>
    <r>
      <rPr>
        <sz val="11"/>
        <rFont val="ＭＳ Ｐゴシック"/>
        <family val="3"/>
        <charset val="134"/>
        <scheme val="minor"/>
      </rPr>
      <t>农业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</si>
  <si>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高粱酒; 黄酒</t>
    </r>
  </si>
  <si>
    <r>
      <rPr>
        <sz val="11"/>
        <rFont val="ＭＳ Ｐゴシック"/>
        <family val="3"/>
        <charset val="134"/>
        <scheme val="minor"/>
      </rPr>
      <t>浏</t>
    </r>
    <r>
      <rPr>
        <sz val="11"/>
        <rFont val="ＭＳ Ｐゴシック"/>
        <family val="3"/>
        <charset val="128"/>
        <scheme val="minor"/>
      </rPr>
      <t>阳市意德泉</t>
    </r>
    <r>
      <rPr>
        <sz val="11"/>
        <rFont val="ＭＳ Ｐゴシック"/>
        <family val="3"/>
        <charset val="134"/>
        <scheme val="minor"/>
      </rPr>
      <t>营销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</si>
  <si>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露酒; 黄酒</t>
    </r>
  </si>
  <si>
    <r>
      <rPr>
        <sz val="11"/>
        <rFont val="ＭＳ Ｐゴシック"/>
        <family val="3"/>
        <charset val="134"/>
        <scheme val="minor"/>
      </rPr>
      <t>贾</t>
    </r>
    <r>
      <rPr>
        <sz val="11"/>
        <rFont val="ＭＳ Ｐゴシック"/>
        <family val="3"/>
        <charset val="128"/>
        <scheme val="minor"/>
      </rPr>
      <t>志</t>
    </r>
    <r>
      <rPr>
        <sz val="11"/>
        <rFont val="ＭＳ Ｐゴシック"/>
        <family val="3"/>
        <charset val="134"/>
        <scheme val="minor"/>
      </rPr>
      <t>强</t>
    </r>
  </si>
  <si>
    <r>
      <t xml:space="preserve"> 开胃酒;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餐后酒(利口酒和烈酒)</t>
    </r>
  </si>
  <si>
    <r>
      <t>棠</t>
    </r>
    <r>
      <rPr>
        <sz val="11"/>
        <rFont val="ＭＳ Ｐゴシック"/>
        <family val="3"/>
        <charset val="134"/>
        <scheme val="minor"/>
      </rPr>
      <t>枫</t>
    </r>
    <r>
      <rPr>
        <sz val="11"/>
        <rFont val="ＭＳ Ｐゴシック"/>
        <family val="3"/>
        <charset val="128"/>
        <scheme val="minor"/>
      </rPr>
      <t>露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</si>
  <si>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米酒; 苹果酒;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</si>
  <si>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万</t>
    </r>
    <r>
      <rPr>
        <sz val="11"/>
        <rFont val="ＭＳ Ｐゴシック"/>
        <family val="3"/>
        <charset val="134"/>
        <scheme val="minor"/>
      </rPr>
      <t>晓东</t>
    </r>
  </si>
  <si>
    <r>
      <t xml:space="preserve"> 开胃酒; 果酒; 清酒;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酒(烈酒); 白酒; 米酒;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</si>
  <si>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威士忌;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</t>
    </r>
  </si>
  <si>
    <r>
      <t>祁酒</t>
    </r>
    <r>
      <rPr>
        <sz val="11"/>
        <rFont val="ＭＳ Ｐゴシック"/>
        <family val="3"/>
        <charset val="134"/>
        <scheme val="minor"/>
      </rPr>
      <t>师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</si>
  <si>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</si>
  <si>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厦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壮途医</t>
    </r>
    <r>
      <rPr>
        <sz val="11"/>
        <rFont val="ＭＳ Ｐゴシック"/>
        <family val="3"/>
        <charset val="134"/>
        <scheme val="minor"/>
      </rPr>
      <t>药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</si>
  <si>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含酒精的气泡水; 朗姆酒; 杜松子酒; 甜酒;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蜂蜜酒; 露酒; 青梅酒; 高粱酒; 黑覆盆子酒</t>
    </r>
  </si>
  <si>
    <r>
      <t>滇</t>
    </r>
    <r>
      <rPr>
        <sz val="11"/>
        <rFont val="ＭＳ Ｐゴシック"/>
        <family val="3"/>
        <charset val="134"/>
        <scheme val="minor"/>
      </rPr>
      <t>乌</t>
    </r>
    <r>
      <rPr>
        <sz val="11"/>
        <rFont val="ＭＳ Ｐゴシック"/>
        <family val="3"/>
        <charset val="128"/>
        <scheme val="minor"/>
      </rPr>
      <t>蒙</t>
    </r>
  </si>
  <si>
    <r>
      <t>富源</t>
    </r>
    <r>
      <rPr>
        <sz val="11"/>
        <rFont val="ＭＳ Ｐゴシック"/>
        <family val="3"/>
        <charset val="134"/>
        <scheme val="minor"/>
      </rPr>
      <t>县乌</t>
    </r>
    <r>
      <rPr>
        <sz val="11"/>
        <rFont val="ＭＳ Ｐゴシック"/>
        <family val="3"/>
        <charset val="128"/>
        <scheme val="minor"/>
      </rPr>
      <t>蒙洞藏酒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</si>
  <si>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青稞酒; 食用酒精</t>
    </r>
  </si>
  <si>
    <r>
      <t>蛟</t>
    </r>
    <r>
      <rPr>
        <sz val="11"/>
        <rFont val="ＭＳ Ｐゴシック"/>
        <family val="3"/>
        <charset val="134"/>
        <scheme val="minor"/>
      </rPr>
      <t>鹤</t>
    </r>
    <r>
      <rPr>
        <sz val="11"/>
        <rFont val="ＭＳ Ｐゴシック"/>
        <family val="3"/>
        <charset val="128"/>
        <scheme val="minor"/>
      </rPr>
      <t>堂</t>
    </r>
  </si>
  <si>
    <r>
      <t xml:space="preserve"> 果酒(含酒精); 清酒(日本米酒);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甜酒; 白酒;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</si>
  <si>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rPr>
        <sz val="11"/>
        <rFont val="ＭＳ Ｐゴシック"/>
        <family val="3"/>
        <charset val="134"/>
        <scheme val="minor"/>
      </rPr>
      <t>维</t>
    </r>
    <r>
      <rPr>
        <sz val="11"/>
        <rFont val="ＭＳ Ｐゴシック"/>
        <family val="3"/>
        <charset val="128"/>
        <scheme val="minor"/>
      </rPr>
      <t>莱悦</t>
    </r>
  </si>
  <si>
    <r>
      <t>深圳市</t>
    </r>
    <r>
      <rPr>
        <sz val="11"/>
        <rFont val="ＭＳ Ｐゴシック"/>
        <family val="3"/>
        <charset val="134"/>
        <scheme val="minor"/>
      </rPr>
      <t>维</t>
    </r>
    <r>
      <rPr>
        <sz val="11"/>
        <rFont val="ＭＳ Ｐゴシック"/>
        <family val="3"/>
        <charset val="128"/>
        <scheme val="minor"/>
      </rPr>
      <t>莱悦酒店管理有限公司</t>
    </r>
  </si>
  <si>
    <r>
      <t>德利源亨</t>
    </r>
    <r>
      <rPr>
        <sz val="11"/>
        <rFont val="ＭＳ Ｐゴシック"/>
        <family val="3"/>
        <charset val="134"/>
        <scheme val="minor"/>
      </rPr>
      <t>贸</t>
    </r>
  </si>
  <si>
    <r>
      <rPr>
        <sz val="11"/>
        <rFont val="ＭＳ Ｐゴシック"/>
        <family val="3"/>
        <charset val="134"/>
        <scheme val="minor"/>
      </rPr>
      <t>陈跃</t>
    </r>
    <r>
      <rPr>
        <sz val="11"/>
        <rFont val="ＭＳ Ｐゴシック"/>
        <family val="3"/>
        <charset val="128"/>
        <scheme val="minor"/>
      </rPr>
      <t>丹</t>
    </r>
  </si>
  <si>
    <r>
      <t xml:space="preserve"> 威士忌;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</si>
  <si>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t>穆森黑</t>
    </r>
    <r>
      <rPr>
        <sz val="11"/>
        <rFont val="ＭＳ Ｐゴシック"/>
        <family val="3"/>
        <charset val="134"/>
        <scheme val="minor"/>
      </rPr>
      <t>马</t>
    </r>
  </si>
  <si>
    <r>
      <t>池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匠</t>
    </r>
  </si>
  <si>
    <r>
      <t xml:space="preserve"> 开胃酒;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高粱酒;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</si>
  <si>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州薏粮醇</t>
    </r>
    <r>
      <rPr>
        <sz val="11"/>
        <rFont val="ＭＳ Ｐゴシック"/>
        <family val="3"/>
        <charset val="134"/>
        <scheme val="minor"/>
      </rPr>
      <t>酱</t>
    </r>
    <r>
      <rPr>
        <sz val="11"/>
        <rFont val="ＭＳ Ｐゴシック"/>
        <family val="3"/>
        <charset val="128"/>
        <scheme val="minor"/>
      </rPr>
      <t>酒有限公司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</si>
  <si>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酒; 烈性干酒;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蒸煮提取物(利口酒和烈酒);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食用酒精; 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用烈酒; 高粱酒</t>
    </r>
  </si>
  <si>
    <r>
      <rPr>
        <sz val="11"/>
        <rFont val="ＭＳ Ｐゴシック"/>
        <family val="3"/>
        <charset val="134"/>
        <scheme val="minor"/>
      </rPr>
      <t>聪实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</si>
  <si>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州博台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酒(集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)有限公司</t>
    </r>
  </si>
  <si>
    <r>
      <rPr>
        <sz val="11"/>
        <rFont val="ＭＳ Ｐゴシック"/>
        <family val="3"/>
        <charset val="134"/>
        <scheme val="minor"/>
      </rPr>
      <t>陈坚强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</si>
  <si>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高粱酒; 黄酒</t>
    </r>
  </si>
  <si>
    <r>
      <rPr>
        <sz val="11"/>
        <rFont val="ＭＳ Ｐゴシック"/>
        <family val="3"/>
        <charset val="134"/>
        <scheme val="minor"/>
      </rPr>
      <t>宽</t>
    </r>
    <r>
      <rPr>
        <sz val="11"/>
        <rFont val="ＭＳ Ｐゴシック"/>
        <family val="3"/>
        <charset val="128"/>
        <scheme val="minor"/>
      </rPr>
      <t>恒</t>
    </r>
  </si>
  <si>
    <r>
      <rPr>
        <sz val="11"/>
        <rFont val="ＭＳ Ｐゴシック"/>
        <family val="3"/>
        <charset val="134"/>
        <scheme val="minor"/>
      </rPr>
      <t>贾</t>
    </r>
    <r>
      <rPr>
        <sz val="11"/>
        <rFont val="ＭＳ Ｐゴシック"/>
        <family val="3"/>
        <charset val="128"/>
        <scheme val="minor"/>
      </rPr>
      <t>迎秋</t>
    </r>
  </si>
  <si>
    <r>
      <rPr>
        <sz val="11"/>
        <rFont val="ＭＳ Ｐゴシック"/>
        <family val="3"/>
        <charset val="134"/>
        <scheme val="minor"/>
      </rPr>
      <t>诗</t>
    </r>
    <r>
      <rPr>
        <sz val="11"/>
        <rFont val="ＭＳ Ｐゴシック"/>
        <family val="3"/>
        <charset val="128"/>
        <scheme val="minor"/>
      </rPr>
      <t>之音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</si>
  <si>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志</t>
    </r>
    <r>
      <rPr>
        <sz val="11"/>
        <rFont val="ＭＳ Ｐゴシック"/>
        <family val="3"/>
        <charset val="134"/>
        <scheme val="minor"/>
      </rPr>
      <t>华</t>
    </r>
  </si>
  <si>
    <r>
      <t xml:space="preserve"> 清酒; 甜酒; 白酒; 米酒; 葡萄酒;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</si>
  <si>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t>湖北省</t>
    </r>
    <r>
      <rPr>
        <sz val="11"/>
        <rFont val="ＭＳ Ｐゴシック"/>
        <family val="3"/>
        <charset val="134"/>
        <scheme val="minor"/>
      </rPr>
      <t>贺</t>
    </r>
    <r>
      <rPr>
        <sz val="11"/>
        <rFont val="ＭＳ Ｐゴシック"/>
        <family val="3"/>
        <charset val="128"/>
        <scheme val="minor"/>
      </rPr>
      <t>隆商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</si>
  <si>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果酒; 清酒(日本米酒); 甜酒; 白酒; 米酒; 葡萄酒; 青稞酒; 黄酒</t>
    </r>
  </si>
  <si>
    <r>
      <t>拳球拳</t>
    </r>
    <r>
      <rPr>
        <sz val="11"/>
        <rFont val="ＭＳ Ｐゴシック"/>
        <family val="3"/>
        <charset val="134"/>
        <scheme val="minor"/>
      </rPr>
      <t>击</t>
    </r>
  </si>
  <si>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沙壹玖道体育文化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</si>
  <si>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威士忌; 开胃酒;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</si>
  <si>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利福</t>
    </r>
    <r>
      <rPr>
        <sz val="11"/>
        <rFont val="ＭＳ Ｐゴシック"/>
        <family val="3"/>
        <charset val="134"/>
        <scheme val="minor"/>
      </rPr>
      <t>鲜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</si>
  <si>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昊大控股有限公司</t>
    </r>
  </si>
  <si>
    <r>
      <t xml:space="preserve"> 威士忌; 朗姆酒;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白葡萄酒; 白酒; 米酒; 葡萄酒; 黄酒</t>
    </r>
  </si>
  <si>
    <r>
      <rPr>
        <sz val="11"/>
        <rFont val="ＭＳ Ｐゴシック"/>
        <family val="3"/>
        <charset val="134"/>
        <scheme val="minor"/>
      </rPr>
      <t>飞</t>
    </r>
    <r>
      <rPr>
        <sz val="11"/>
        <rFont val="ＭＳ Ｐゴシック"/>
        <family val="3"/>
        <charset val="128"/>
        <scheme val="minor"/>
      </rPr>
      <t>北星</t>
    </r>
  </si>
  <si>
    <r>
      <t>保定京城酒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</si>
  <si>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青稞酒;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</si>
  <si>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赣</t>
    </r>
    <r>
      <rPr>
        <sz val="11"/>
        <rFont val="ＭＳ Ｐゴシック"/>
        <family val="3"/>
        <charset val="128"/>
        <scheme val="minor"/>
      </rPr>
      <t>清</t>
    </r>
    <r>
      <rPr>
        <sz val="11"/>
        <rFont val="ＭＳ Ｐゴシック"/>
        <family val="3"/>
        <charset val="134"/>
        <scheme val="minor"/>
      </rPr>
      <t>临</t>
    </r>
    <r>
      <rPr>
        <sz val="11"/>
        <rFont val="ＭＳ Ｐゴシック"/>
        <family val="3"/>
        <charset val="128"/>
        <scheme val="minor"/>
      </rPr>
      <t>江</t>
    </r>
  </si>
  <si>
    <r>
      <t>樟</t>
    </r>
    <r>
      <rPr>
        <sz val="11"/>
        <rFont val="ＭＳ Ｐゴシック"/>
        <family val="3"/>
        <charset val="134"/>
        <scheme val="minor"/>
      </rPr>
      <t>树</t>
    </r>
    <r>
      <rPr>
        <sz val="11"/>
        <rFont val="ＭＳ Ｐゴシック"/>
        <family val="3"/>
        <charset val="128"/>
        <scheme val="minor"/>
      </rPr>
      <t>市古城酒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</si>
  <si>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威士忌;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餐后酒(利口酒和烈酒)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</si>
  <si>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</si>
  <si>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t>微</t>
    </r>
    <r>
      <rPr>
        <sz val="11"/>
        <rFont val="ＭＳ Ｐゴシック"/>
        <family val="3"/>
        <charset val="134"/>
        <scheme val="minor"/>
      </rPr>
      <t>选汇</t>
    </r>
    <r>
      <rPr>
        <sz val="11"/>
        <rFont val="ＭＳ Ｐゴシック"/>
        <family val="3"/>
        <charset val="128"/>
        <scheme val="minor"/>
      </rPr>
      <t>(北京)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</si>
  <si>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归</t>
    </r>
    <r>
      <rPr>
        <sz val="11"/>
        <rFont val="ＭＳ Ｐゴシック"/>
        <family val="3"/>
        <charset val="128"/>
        <scheme val="minor"/>
      </rPr>
      <t>涛</t>
    </r>
  </si>
  <si>
    <r>
      <t>江西</t>
    </r>
    <r>
      <rPr>
        <sz val="11"/>
        <rFont val="ＭＳ Ｐゴシック"/>
        <family val="3"/>
        <charset val="134"/>
        <scheme val="minor"/>
      </rPr>
      <t>银</t>
    </r>
    <r>
      <rPr>
        <sz val="11"/>
        <rFont val="ＭＳ Ｐゴシック"/>
        <family val="3"/>
        <charset val="128"/>
        <scheme val="minor"/>
      </rPr>
      <t>涛</t>
    </r>
    <r>
      <rPr>
        <sz val="11"/>
        <rFont val="ＭＳ Ｐゴシック"/>
        <family val="3"/>
        <charset val="134"/>
        <scheme val="minor"/>
      </rPr>
      <t>药业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</si>
  <si>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高粱酒; 黄酒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</si>
  <si>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白葡萄酒;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</si>
  <si>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山西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臻酒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</si>
  <si>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</si>
  <si>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李</t>
    </r>
    <r>
      <rPr>
        <sz val="11"/>
        <rFont val="ＭＳ Ｐゴシック"/>
        <family val="3"/>
        <charset val="134"/>
        <scheme val="minor"/>
      </rPr>
      <t>俭</t>
    </r>
    <r>
      <rPr>
        <sz val="11"/>
        <rFont val="ＭＳ Ｐゴシック"/>
        <family val="3"/>
        <charset val="128"/>
        <scheme val="minor"/>
      </rPr>
      <t>英</t>
    </r>
  </si>
  <si>
    <r>
      <t xml:space="preserve">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黄酒</t>
    </r>
  </si>
  <si>
    <r>
      <rPr>
        <sz val="11"/>
        <rFont val="ＭＳ Ｐゴシック"/>
        <family val="3"/>
        <charset val="134"/>
        <scheme val="minor"/>
      </rPr>
      <t>进</t>
    </r>
    <r>
      <rPr>
        <sz val="11"/>
        <rFont val="ＭＳ Ｐゴシック"/>
        <family val="3"/>
        <charset val="128"/>
        <scheme val="minor"/>
      </rPr>
      <t>者无界</t>
    </r>
  </si>
  <si>
    <r>
      <t>深圳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方城国</t>
    </r>
    <r>
      <rPr>
        <sz val="11"/>
        <rFont val="ＭＳ Ｐゴシック"/>
        <family val="3"/>
        <charset val="134"/>
        <scheme val="minor"/>
      </rPr>
      <t>际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</si>
  <si>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</si>
  <si>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张红</t>
    </r>
    <r>
      <rPr>
        <sz val="11"/>
        <rFont val="ＭＳ Ｐゴシック"/>
        <family val="3"/>
        <charset val="128"/>
        <scheme val="minor"/>
      </rPr>
      <t>立</t>
    </r>
  </si>
  <si>
    <r>
      <t xml:space="preserve"> 利口酒;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蒸煮提取物(利口酒和烈酒);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高粱酒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</si>
  <si>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运天路</t>
    </r>
  </si>
  <si>
    <r>
      <rPr>
        <sz val="11"/>
        <rFont val="ＭＳ Ｐゴシック"/>
        <family val="3"/>
        <charset val="134"/>
        <scheme val="minor"/>
      </rPr>
      <t>鹓鸾</t>
    </r>
  </si>
  <si>
    <r>
      <t>定</t>
    </r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金</t>
    </r>
    <r>
      <rPr>
        <sz val="11"/>
        <rFont val="ＭＳ Ｐゴシック"/>
        <family val="3"/>
        <charset val="134"/>
        <scheme val="minor"/>
      </rPr>
      <t>鹏农业</t>
    </r>
    <r>
      <rPr>
        <sz val="11"/>
        <rFont val="ＭＳ Ｐゴシック"/>
        <family val="3"/>
        <charset val="128"/>
        <scheme val="minor"/>
      </rPr>
      <t>生</t>
    </r>
    <r>
      <rPr>
        <sz val="11"/>
        <rFont val="ＭＳ Ｐゴシック"/>
        <family val="3"/>
        <charset val="134"/>
        <scheme val="minor"/>
      </rPr>
      <t>态农产</t>
    </r>
    <r>
      <rPr>
        <sz val="11"/>
        <rFont val="ＭＳ Ｐゴシック"/>
        <family val="3"/>
        <charset val="128"/>
        <scheme val="minor"/>
      </rPr>
      <t>品</t>
    </r>
    <r>
      <rPr>
        <sz val="11"/>
        <rFont val="ＭＳ Ｐゴシック"/>
        <family val="3"/>
        <charset val="134"/>
        <scheme val="minor"/>
      </rPr>
      <t>经营</t>
    </r>
    <r>
      <rPr>
        <sz val="11"/>
        <rFont val="ＭＳ Ｐゴシック"/>
        <family val="3"/>
        <charset val="128"/>
        <scheme val="minor"/>
      </rPr>
      <t>部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</si>
  <si>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清酒(日本米酒); 烈性干酒;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</t>
    </r>
  </si>
  <si>
    <r>
      <t>瓶中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奇</t>
    </r>
  </si>
  <si>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香</t>
    </r>
    <r>
      <rPr>
        <sz val="11"/>
        <rFont val="ＭＳ Ｐゴシック"/>
        <family val="3"/>
        <charset val="134"/>
        <scheme val="minor"/>
      </rPr>
      <t>龙凤</t>
    </r>
    <r>
      <rPr>
        <sz val="11"/>
        <rFont val="ＭＳ Ｐゴシック"/>
        <family val="3"/>
        <charset val="128"/>
        <scheme val="minor"/>
      </rPr>
      <t>双雄</t>
    </r>
  </si>
  <si>
    <r>
      <t>海南高海香黎族</t>
    </r>
    <r>
      <rPr>
        <sz val="11"/>
        <rFont val="ＭＳ Ｐゴシック"/>
        <family val="3"/>
        <charset val="134"/>
        <scheme val="minor"/>
      </rPr>
      <t>龙凤</t>
    </r>
    <r>
      <rPr>
        <sz val="11"/>
        <rFont val="ＭＳ Ｐゴシック"/>
        <family val="3"/>
        <charset val="128"/>
        <scheme val="minor"/>
      </rPr>
      <t>双雄酒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坊(个人独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)</t>
    </r>
  </si>
  <si>
    <r>
      <t xml:space="preserve">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苦味酒; 茴芹酒(利口酒); 葡萄酒; 青稞酒; 食用酒精; 餐后酒(利口酒和烈酒); 黄酒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</si>
  <si>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餐后酒(利口酒和烈酒)</t>
    </r>
  </si>
  <si>
    <r>
      <t>玖月</t>
    </r>
    <r>
      <rPr>
        <sz val="11"/>
        <rFont val="ＭＳ Ｐゴシック"/>
        <family val="3"/>
        <charset val="134"/>
        <scheme val="minor"/>
      </rPr>
      <t>绯</t>
    </r>
  </si>
  <si>
    <r>
      <t>衡阳市佰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</si>
  <si>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>小</t>
    </r>
    <r>
      <rPr>
        <sz val="11"/>
        <rFont val="ＭＳ Ｐゴシック"/>
        <family val="3"/>
        <charset val="134"/>
        <scheme val="minor"/>
      </rPr>
      <t>馋</t>
    </r>
    <r>
      <rPr>
        <sz val="11"/>
        <rFont val="ＭＳ Ｐゴシック"/>
        <family val="3"/>
        <charset val="128"/>
        <scheme val="minor"/>
      </rPr>
      <t>鬼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</si>
  <si>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</si>
  <si>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沙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</si>
  <si>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</si>
  <si>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薄荷酒;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</si>
  <si>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云南玉露</t>
    </r>
    <r>
      <rPr>
        <sz val="11"/>
        <rFont val="ＭＳ Ｐゴシック"/>
        <family val="3"/>
        <charset val="134"/>
        <scheme val="minor"/>
      </rPr>
      <t>轩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</si>
  <si>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高粱酒</t>
    </r>
  </si>
  <si>
    <r>
      <t>厦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冉健投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</si>
  <si>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</si>
  <si>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州国</t>
    </r>
    <r>
      <rPr>
        <sz val="11"/>
        <rFont val="ＭＳ Ｐゴシック"/>
        <family val="3"/>
        <charset val="134"/>
        <scheme val="minor"/>
      </rPr>
      <t>酱</t>
    </r>
    <r>
      <rPr>
        <sz val="11"/>
        <rFont val="ＭＳ Ｐゴシック"/>
        <family val="3"/>
        <charset val="128"/>
        <scheme val="minor"/>
      </rPr>
      <t>乾元酒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</si>
  <si>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主的开胃酒; 利口酒; 含酒精的气泡水;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</si>
  <si>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</si>
  <si>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银</t>
    </r>
    <r>
      <rPr>
        <sz val="11"/>
        <rFont val="ＭＳ Ｐゴシック"/>
        <family val="3"/>
        <charset val="128"/>
        <scheme val="minor"/>
      </rPr>
      <t>河</t>
    </r>
    <r>
      <rPr>
        <sz val="11"/>
        <rFont val="ＭＳ Ｐゴシック"/>
        <family val="3"/>
        <charset val="134"/>
        <scheme val="minor"/>
      </rPr>
      <t>银</t>
    </r>
    <r>
      <rPr>
        <sz val="11"/>
        <rFont val="ＭＳ Ｐゴシック"/>
        <family val="3"/>
        <charset val="128"/>
        <scheme val="minor"/>
      </rPr>
      <t>重九</t>
    </r>
  </si>
  <si>
    <r>
      <t>弼</t>
    </r>
    <r>
      <rPr>
        <sz val="11"/>
        <rFont val="ＭＳ Ｐゴシック"/>
        <family val="3"/>
        <charset val="134"/>
        <scheme val="minor"/>
      </rPr>
      <t>聪</t>
    </r>
  </si>
  <si>
    <r>
      <t>福建省晋丰香山体育</t>
    </r>
    <r>
      <rPr>
        <sz val="11"/>
        <rFont val="ＭＳ Ｐゴシック"/>
        <family val="3"/>
        <charset val="134"/>
        <scheme val="minor"/>
      </rPr>
      <t>产业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</si>
  <si>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</si>
  <si>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广州海上</t>
    </r>
    <r>
      <rPr>
        <sz val="11"/>
        <rFont val="ＭＳ Ｐゴシック"/>
        <family val="3"/>
        <charset val="134"/>
        <scheme val="minor"/>
      </rPr>
      <t>丝绸</t>
    </r>
    <r>
      <rPr>
        <sz val="11"/>
        <rFont val="ＭＳ Ｐゴシック"/>
        <family val="3"/>
        <charset val="128"/>
        <scheme val="minor"/>
      </rPr>
      <t>之路文化</t>
    </r>
    <r>
      <rPr>
        <sz val="11"/>
        <rFont val="ＭＳ Ｐゴシック"/>
        <family val="3"/>
        <charset val="134"/>
        <scheme val="minor"/>
      </rPr>
      <t>艺术</t>
    </r>
    <r>
      <rPr>
        <sz val="11"/>
        <rFont val="ＭＳ Ｐゴシック"/>
        <family val="3"/>
        <charset val="128"/>
        <scheme val="minor"/>
      </rPr>
      <t>中心</t>
    </r>
  </si>
  <si>
    <r>
      <t xml:space="preserve"> 果酒(含酒精); 汽酒; 清酒(日本米酒); 烈酒;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</si>
  <si>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rPr>
        <sz val="11"/>
        <rFont val="ＭＳ Ｐゴシック"/>
        <family val="3"/>
        <charset val="134"/>
        <scheme val="minor"/>
      </rPr>
      <t>龙门</t>
    </r>
    <r>
      <rPr>
        <sz val="11"/>
        <rFont val="ＭＳ Ｐゴシック"/>
        <family val="3"/>
        <charset val="128"/>
        <scheme val="minor"/>
      </rPr>
      <t>策</t>
    </r>
  </si>
  <si>
    <r>
      <rPr>
        <sz val="11"/>
        <rFont val="ＭＳ Ｐゴシック"/>
        <family val="3"/>
        <charset val="134"/>
        <scheme val="minor"/>
      </rPr>
      <t>垛</t>
    </r>
    <r>
      <rPr>
        <sz val="11"/>
        <rFont val="ＭＳ Ｐゴシック"/>
        <family val="3"/>
        <charset val="128"/>
        <scheme val="minor"/>
      </rPr>
      <t>上</t>
    </r>
    <r>
      <rPr>
        <sz val="11"/>
        <rFont val="ＭＳ Ｐゴシック"/>
        <family val="3"/>
        <charset val="134"/>
        <scheme val="minor"/>
      </rPr>
      <t>谣</t>
    </r>
  </si>
  <si>
    <r>
      <rPr>
        <sz val="11"/>
        <rFont val="ＭＳ Ｐゴシック"/>
        <family val="3"/>
        <charset val="134"/>
        <scheme val="minor"/>
      </rPr>
      <t>顾红</t>
    </r>
    <r>
      <rPr>
        <sz val="11"/>
        <rFont val="ＭＳ Ｐゴシック"/>
        <family val="3"/>
        <charset val="128"/>
        <scheme val="minor"/>
      </rPr>
      <t>干(***)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</si>
  <si>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</si>
  <si>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壶</t>
    </r>
    <r>
      <rPr>
        <sz val="11"/>
        <rFont val="ＭＳ Ｐゴシック"/>
        <family val="3"/>
        <charset val="128"/>
        <scheme val="minor"/>
      </rPr>
      <t>留湘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</si>
  <si>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方玉</t>
    </r>
  </si>
  <si>
    <r>
      <rPr>
        <sz val="11"/>
        <rFont val="ＭＳ Ｐゴシック"/>
        <family val="3"/>
        <charset val="134"/>
        <scheme val="minor"/>
      </rPr>
      <t>赵凯</t>
    </r>
  </si>
  <si>
    <r>
      <t xml:space="preserve">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</si>
  <si>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福建拉曼</t>
    </r>
    <r>
      <rPr>
        <sz val="11"/>
        <rFont val="ＭＳ Ｐゴシック"/>
        <family val="3"/>
        <charset val="134"/>
        <scheme val="minor"/>
      </rPr>
      <t>进</t>
    </r>
    <r>
      <rPr>
        <sz val="11"/>
        <rFont val="ＭＳ Ｐゴシック"/>
        <family val="3"/>
        <charset val="128"/>
        <scheme val="minor"/>
      </rPr>
      <t>出口有限公司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</si>
  <si>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酸酒(低等葡萄酒);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</si>
  <si>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刘</t>
    </r>
    <r>
      <rPr>
        <sz val="11"/>
        <rFont val="ＭＳ Ｐゴシック"/>
        <family val="3"/>
        <charset val="134"/>
        <scheme val="minor"/>
      </rPr>
      <t>红伟</t>
    </r>
  </si>
  <si>
    <r>
      <t xml:space="preserve"> 果酒(含酒精);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葡萄酒; 青稞酒; 高粱酒</t>
    </r>
  </si>
  <si>
    <r>
      <t>福建中</t>
    </r>
    <r>
      <rPr>
        <sz val="11"/>
        <rFont val="ＭＳ Ｐゴシック"/>
        <family val="3"/>
        <charset val="134"/>
        <scheme val="minor"/>
      </rPr>
      <t>闽</t>
    </r>
    <r>
      <rPr>
        <sz val="11"/>
        <rFont val="ＭＳ Ｐゴシック"/>
        <family val="3"/>
        <charset val="128"/>
        <scheme val="minor"/>
      </rPr>
      <t>映象文化投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</si>
  <si>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清酒(日本米酒);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</si>
  <si>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桂林市稻</t>
    </r>
    <r>
      <rPr>
        <sz val="11"/>
        <rFont val="ＭＳ Ｐゴシック"/>
        <family val="3"/>
        <charset val="134"/>
        <scheme val="minor"/>
      </rPr>
      <t>鸣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</si>
  <si>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</si>
  <si>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初</t>
    </r>
    <r>
      <rPr>
        <sz val="11"/>
        <rFont val="ＭＳ Ｐゴシック"/>
        <family val="3"/>
        <charset val="134"/>
        <scheme val="minor"/>
      </rPr>
      <t>袅</t>
    </r>
    <r>
      <rPr>
        <sz val="11"/>
        <rFont val="ＭＳ Ｐゴシック"/>
        <family val="3"/>
        <charset val="128"/>
        <scheme val="minor"/>
      </rPr>
      <t>娜</t>
    </r>
  </si>
  <si>
    <r>
      <t xml:space="preserve"> 朝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族米酒; 白酒</t>
    </r>
  </si>
  <si>
    <r>
      <t>近</t>
    </r>
    <r>
      <rPr>
        <sz val="11"/>
        <rFont val="ＭＳ Ｐゴシック"/>
        <family val="3"/>
        <charset val="134"/>
        <scheme val="minor"/>
      </rPr>
      <t>鲁</t>
    </r>
  </si>
  <si>
    <r>
      <t>宜</t>
    </r>
    <r>
      <rPr>
        <sz val="11"/>
        <rFont val="ＭＳ Ｐゴシック"/>
        <family val="3"/>
        <charset val="134"/>
        <scheme val="minor"/>
      </rPr>
      <t>宾</t>
    </r>
    <r>
      <rPr>
        <sz val="11"/>
        <rFont val="ＭＳ Ｐゴシック"/>
        <family val="3"/>
        <charset val="128"/>
        <scheme val="minor"/>
      </rPr>
      <t>宜人吉清洗服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</si>
  <si>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</si>
  <si>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志全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</si>
  <si>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舟里</t>
    </r>
  </si>
  <si>
    <r>
      <t>杭州</t>
    </r>
    <r>
      <rPr>
        <sz val="11"/>
        <rFont val="ＭＳ Ｐゴシック"/>
        <family val="3"/>
        <charset val="134"/>
        <scheme val="minor"/>
      </rPr>
      <t>华畅</t>
    </r>
    <r>
      <rPr>
        <sz val="11"/>
        <rFont val="ＭＳ Ｐゴシック"/>
        <family val="3"/>
        <charset val="128"/>
        <scheme val="minor"/>
      </rPr>
      <t>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</si>
  <si>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</si>
  <si>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湖北健中</t>
    </r>
    <r>
      <rPr>
        <sz val="11"/>
        <rFont val="ＭＳ Ｐゴシック"/>
        <family val="3"/>
        <charset val="134"/>
        <scheme val="minor"/>
      </rPr>
      <t>农业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</si>
  <si>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汽酒;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</si>
  <si>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帝</t>
    </r>
    <r>
      <rPr>
        <sz val="11"/>
        <rFont val="ＭＳ Ｐゴシック"/>
        <family val="3"/>
        <charset val="134"/>
        <scheme val="minor"/>
      </rPr>
      <t>阙</t>
    </r>
    <r>
      <rPr>
        <sz val="11"/>
        <rFont val="ＭＳ Ｐゴシック"/>
        <family val="3"/>
        <charset val="128"/>
        <scheme val="minor"/>
      </rPr>
      <t>天枢</t>
    </r>
  </si>
  <si>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底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</si>
  <si>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州荣</t>
    </r>
    <r>
      <rPr>
        <sz val="11"/>
        <rFont val="ＭＳ Ｐゴシック"/>
        <family val="3"/>
        <charset val="134"/>
        <scheme val="minor"/>
      </rPr>
      <t>焕贸</t>
    </r>
    <r>
      <rPr>
        <sz val="11"/>
        <rFont val="ＭＳ Ｐゴシック"/>
        <family val="3"/>
        <charset val="128"/>
        <scheme val="minor"/>
      </rPr>
      <t>易有限公司</t>
    </r>
  </si>
  <si>
    <r>
      <t>周吴礼</t>
    </r>
    <r>
      <rPr>
        <sz val="11"/>
        <rFont val="ＭＳ Ｐゴシック"/>
        <family val="3"/>
        <charset val="134"/>
        <scheme val="minor"/>
      </rPr>
      <t>记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</si>
  <si>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梨酒;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甜果酒; 白酒; 米酒; 葡萄汽酒; 薄荷酒</t>
    </r>
  </si>
  <si>
    <r>
      <rPr>
        <sz val="11"/>
        <rFont val="ＭＳ Ｐゴシック"/>
        <family val="3"/>
        <charset val="134"/>
        <scheme val="minor"/>
      </rPr>
      <t>织</t>
    </r>
    <r>
      <rPr>
        <sz val="11"/>
        <rFont val="ＭＳ Ｐゴシック"/>
        <family val="3"/>
        <charset val="128"/>
        <scheme val="minor"/>
      </rPr>
      <t>金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梁氏酒坊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</si>
  <si>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</si>
  <si>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龙晖</t>
    </r>
    <r>
      <rPr>
        <sz val="11"/>
        <rFont val="ＭＳ Ｐゴシック"/>
        <family val="3"/>
        <charset val="128"/>
        <scheme val="minor"/>
      </rPr>
      <t>翠山</t>
    </r>
  </si>
  <si>
    <r>
      <t xml:space="preserve"> 果酒; 果酒(含酒精); 桃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葡萄酒;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薄荷酒</t>
    </r>
  </si>
  <si>
    <r>
      <t>浙江意隆国</t>
    </r>
    <r>
      <rPr>
        <sz val="11"/>
        <rFont val="ＭＳ Ｐゴシック"/>
        <family val="3"/>
        <charset val="134"/>
        <scheme val="minor"/>
      </rPr>
      <t>际贸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</si>
  <si>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白葡萄酒;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</t>
    </r>
  </si>
  <si>
    <r>
      <t>眉窖</t>
    </r>
    <r>
      <rPr>
        <sz val="11"/>
        <rFont val="ＭＳ Ｐゴシック"/>
        <family val="3"/>
        <charset val="134"/>
        <scheme val="minor"/>
      </rPr>
      <t>龙</t>
    </r>
  </si>
  <si>
    <r>
      <t>平</t>
    </r>
    <r>
      <rPr>
        <sz val="11"/>
        <rFont val="ＭＳ Ｐゴシック"/>
        <family val="3"/>
        <charset val="134"/>
        <scheme val="minor"/>
      </rPr>
      <t>顶</t>
    </r>
    <r>
      <rPr>
        <sz val="11"/>
        <rFont val="ＭＳ Ｐゴシック"/>
        <family val="3"/>
        <charset val="128"/>
        <scheme val="minor"/>
      </rPr>
      <t>山昆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</si>
  <si>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</si>
  <si>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>江</t>
    </r>
    <r>
      <rPr>
        <sz val="11"/>
        <rFont val="ＭＳ Ｐゴシック"/>
        <family val="3"/>
        <charset val="134"/>
        <scheme val="minor"/>
      </rPr>
      <t>边</t>
    </r>
    <r>
      <rPr>
        <sz val="11"/>
        <rFont val="ＭＳ Ｐゴシック"/>
        <family val="3"/>
        <charset val="128"/>
        <scheme val="minor"/>
      </rPr>
      <t>令</t>
    </r>
  </si>
  <si>
    <r>
      <t>上古正</t>
    </r>
    <r>
      <rPr>
        <sz val="11"/>
        <rFont val="ＭＳ Ｐゴシック"/>
        <family val="3"/>
        <charset val="134"/>
        <scheme val="minor"/>
      </rPr>
      <t>蕴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</si>
  <si>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荟</t>
    </r>
    <r>
      <rPr>
        <sz val="11"/>
        <rFont val="ＭＳ Ｐゴシック"/>
        <family val="3"/>
        <charset val="128"/>
        <scheme val="minor"/>
      </rPr>
      <t>翠文化</t>
    </r>
    <r>
      <rPr>
        <sz val="11"/>
        <rFont val="ＭＳ Ｐゴシック"/>
        <family val="3"/>
        <charset val="134"/>
        <scheme val="minor"/>
      </rPr>
      <t>产业</t>
    </r>
    <r>
      <rPr>
        <sz val="11"/>
        <rFont val="ＭＳ Ｐゴシック"/>
        <family val="3"/>
        <charset val="128"/>
        <scheme val="minor"/>
      </rPr>
      <t>中心有限公司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</si>
  <si>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高粱酒</t>
    </r>
  </si>
  <si>
    <r>
      <rPr>
        <sz val="11"/>
        <rFont val="ＭＳ Ｐゴシック"/>
        <family val="3"/>
        <charset val="134"/>
        <scheme val="minor"/>
      </rPr>
      <t>獭欢</t>
    </r>
  </si>
  <si>
    <r>
      <t>海南天蛟国</t>
    </r>
    <r>
      <rPr>
        <sz val="11"/>
        <rFont val="ＭＳ Ｐゴシック"/>
        <family val="3"/>
        <charset val="134"/>
        <scheme val="minor"/>
      </rPr>
      <t>际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</si>
  <si>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</si>
  <si>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柠</t>
    </r>
    <r>
      <rPr>
        <sz val="11"/>
        <rFont val="ＭＳ Ｐゴシック"/>
        <family val="3"/>
        <charset val="128"/>
        <scheme val="minor"/>
      </rPr>
      <t>小酌</t>
    </r>
  </si>
  <si>
    <r>
      <t>四川尚</t>
    </r>
    <r>
      <rPr>
        <sz val="11"/>
        <rFont val="ＭＳ Ｐゴシック"/>
        <family val="3"/>
        <charset val="134"/>
        <scheme val="minor"/>
      </rPr>
      <t>阁贸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</si>
  <si>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青稞酒; 高粱酒</t>
    </r>
  </si>
  <si>
    <r>
      <t>微元洞</t>
    </r>
    <r>
      <rPr>
        <sz val="11"/>
        <rFont val="ＭＳ Ｐゴシック"/>
        <family val="3"/>
        <charset val="134"/>
        <scheme val="minor"/>
      </rPr>
      <t>储</t>
    </r>
    <r>
      <rPr>
        <sz val="11"/>
        <rFont val="ＭＳ Ｐゴシック"/>
        <family val="3"/>
        <charset val="128"/>
        <scheme val="minor"/>
      </rPr>
      <t>露</t>
    </r>
  </si>
  <si>
    <r>
      <t>桑</t>
    </r>
    <r>
      <rPr>
        <sz val="11"/>
        <rFont val="ＭＳ Ｐゴシック"/>
        <family val="3"/>
        <charset val="134"/>
        <scheme val="minor"/>
      </rPr>
      <t>过</t>
    </r>
    <r>
      <rPr>
        <sz val="11"/>
        <rFont val="ＭＳ Ｐゴシック"/>
        <family val="3"/>
        <charset val="128"/>
        <scheme val="minor"/>
      </rPr>
      <t>哩</t>
    </r>
  </si>
  <si>
    <r>
      <rPr>
        <sz val="11"/>
        <rFont val="ＭＳ Ｐゴシック"/>
        <family val="3"/>
        <charset val="134"/>
        <scheme val="minor"/>
      </rPr>
      <t>冯</t>
    </r>
    <r>
      <rPr>
        <sz val="11"/>
        <rFont val="ＭＳ Ｐゴシック"/>
        <family val="3"/>
        <charset val="128"/>
        <scheme val="minor"/>
      </rPr>
      <t>玉</t>
    </r>
    <r>
      <rPr>
        <sz val="11"/>
        <rFont val="ＭＳ Ｐゴシック"/>
        <family val="3"/>
        <charset val="134"/>
        <scheme val="minor"/>
      </rPr>
      <t>龙</t>
    </r>
  </si>
  <si>
    <r>
      <t>老</t>
    </r>
    <r>
      <rPr>
        <sz val="11"/>
        <rFont val="ＭＳ Ｐゴシック"/>
        <family val="3"/>
        <charset val="134"/>
        <scheme val="minor"/>
      </rPr>
      <t>顽农</t>
    </r>
  </si>
  <si>
    <r>
      <t>湖南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健茶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</si>
  <si>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黄酒</t>
    </r>
  </si>
  <si>
    <r>
      <t>安徽亳酒酒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</si>
  <si>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>上海</t>
    </r>
    <r>
      <rPr>
        <sz val="11"/>
        <rFont val="ＭＳ Ｐゴシック"/>
        <family val="3"/>
        <charset val="134"/>
        <scheme val="minor"/>
      </rPr>
      <t>查</t>
    </r>
    <r>
      <rPr>
        <sz val="11"/>
        <rFont val="ＭＳ Ｐゴシック"/>
        <family val="3"/>
        <charset val="128"/>
        <scheme val="minor"/>
      </rPr>
      <t>久科技有限公司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</si>
  <si>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</si>
  <si>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惠</t>
    </r>
    <r>
      <rPr>
        <sz val="11"/>
        <rFont val="ＭＳ Ｐゴシック"/>
        <family val="3"/>
        <charset val="134"/>
        <scheme val="minor"/>
      </rPr>
      <t>风</t>
    </r>
    <r>
      <rPr>
        <sz val="11"/>
        <rFont val="ＭＳ Ｐゴシック"/>
        <family val="3"/>
        <charset val="128"/>
        <scheme val="minor"/>
      </rPr>
      <t>雅</t>
    </r>
    <r>
      <rPr>
        <sz val="11"/>
        <rFont val="ＭＳ Ｐゴシック"/>
        <family val="3"/>
        <charset val="134"/>
        <scheme val="minor"/>
      </rPr>
      <t>颂</t>
    </r>
  </si>
  <si>
    <r>
      <t>吴</t>
    </r>
    <r>
      <rPr>
        <sz val="11"/>
        <rFont val="ＭＳ Ｐゴシック"/>
        <family val="3"/>
        <charset val="134"/>
        <scheme val="minor"/>
      </rPr>
      <t>晓</t>
    </r>
  </si>
  <si>
    <r>
      <t xml:space="preserve"> 含酒精的充气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酒(烈酒); 甜果酒; 白葡萄酒;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葡萄汽酒</t>
    </r>
  </si>
  <si>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放平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</si>
  <si>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</si>
  <si>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江印像</t>
    </r>
  </si>
  <si>
    <r>
      <t>四川亨</t>
    </r>
    <r>
      <rPr>
        <sz val="11"/>
        <rFont val="ＭＳ Ｐゴシック"/>
        <family val="3"/>
        <charset val="134"/>
        <scheme val="minor"/>
      </rPr>
      <t>远</t>
    </r>
    <r>
      <rPr>
        <sz val="11"/>
        <rFont val="ＭＳ Ｐゴシック"/>
        <family val="3"/>
        <charset val="128"/>
        <scheme val="minor"/>
      </rPr>
      <t>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</si>
  <si>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露酒; 食用酒精;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</si>
  <si>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四川</t>
    </r>
    <r>
      <rPr>
        <sz val="11"/>
        <rFont val="ＭＳ Ｐゴシック"/>
        <family val="3"/>
        <charset val="134"/>
        <scheme val="minor"/>
      </rPr>
      <t>绵</t>
    </r>
    <r>
      <rPr>
        <sz val="11"/>
        <rFont val="ＭＳ Ｐゴシック"/>
        <family val="3"/>
        <charset val="128"/>
        <scheme val="minor"/>
      </rPr>
      <t>竹酒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</si>
  <si>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</t>
    </r>
  </si>
  <si>
    <r>
      <t xml:space="preserve"> 含酒精的充气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品; 果酒; 清酒;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</si>
  <si>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州最藏酒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</si>
  <si>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铁</t>
    </r>
    <r>
      <rPr>
        <sz val="11"/>
        <rFont val="ＭＳ Ｐゴシック"/>
        <family val="3"/>
        <charset val="128"/>
        <scheme val="minor"/>
      </rPr>
      <t>清 TIEQIN</t>
    </r>
  </si>
  <si>
    <r>
      <t>宜</t>
    </r>
    <r>
      <rPr>
        <sz val="11"/>
        <rFont val="ＭＳ Ｐゴシック"/>
        <family val="3"/>
        <charset val="134"/>
        <scheme val="minor"/>
      </rPr>
      <t>宾</t>
    </r>
    <r>
      <rPr>
        <sz val="11"/>
        <rFont val="ＭＳ Ｐゴシック"/>
        <family val="3"/>
        <charset val="128"/>
        <scheme val="minor"/>
      </rPr>
      <t>三桂酒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</si>
  <si>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开胃酒;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</si>
  <si>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 xml:space="preserve"> 威士忌;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</si>
  <si>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>杭州</t>
    </r>
    <r>
      <rPr>
        <sz val="11"/>
        <rFont val="ＭＳ Ｐゴシック"/>
        <family val="3"/>
        <charset val="134"/>
        <scheme val="minor"/>
      </rPr>
      <t>砚龙</t>
    </r>
    <r>
      <rPr>
        <sz val="11"/>
        <rFont val="ＭＳ Ｐゴシック"/>
        <family val="3"/>
        <charset val="128"/>
        <scheme val="minor"/>
      </rPr>
      <t>茶叶有限公司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</si>
  <si>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咖啡利口酒; 果酒; 水果汽酒; 烈酒; 甜酒; 白干酒(中国白酒);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</si>
  <si>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市五十三度酒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(集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)有限公司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</si>
  <si>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蒸煮提取物(利口酒和烈酒); 蜂蜜酒;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</si>
  <si>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 xml:space="preserve"> 开胃酒;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</si>
  <si>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</si>
  <si>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双</t>
    </r>
    <r>
      <rPr>
        <sz val="11"/>
        <rFont val="ＭＳ Ｐゴシック"/>
        <family val="3"/>
        <charset val="134"/>
        <scheme val="minor"/>
      </rPr>
      <t>龙戏</t>
    </r>
    <r>
      <rPr>
        <sz val="11"/>
        <rFont val="ＭＳ Ｐゴシック"/>
        <family val="3"/>
        <charset val="128"/>
        <scheme val="minor"/>
      </rPr>
      <t>珠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 xml:space="preserve"> 8</t>
    </r>
  </si>
  <si>
    <r>
      <t>古</t>
    </r>
    <r>
      <rPr>
        <sz val="11"/>
        <rFont val="ＭＳ Ｐゴシック"/>
        <family val="3"/>
        <charset val="134"/>
        <scheme val="minor"/>
      </rPr>
      <t>鱼</t>
    </r>
    <r>
      <rPr>
        <sz val="11"/>
        <rFont val="ＭＳ Ｐゴシック"/>
        <family val="3"/>
        <charset val="128"/>
        <scheme val="minor"/>
      </rPr>
      <t>荷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</si>
  <si>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</si>
  <si>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>富士施</t>
    </r>
    <r>
      <rPr>
        <sz val="11"/>
        <rFont val="ＭＳ Ｐゴシック"/>
        <family val="3"/>
        <charset val="134"/>
        <scheme val="minor"/>
      </rPr>
      <t>乐</t>
    </r>
  </si>
  <si>
    <r>
      <t>施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公司</t>
    </r>
  </si>
  <si>
    <r>
      <t xml:space="preserve">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</si>
  <si>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州一一四啦啦网</t>
    </r>
    <r>
      <rPr>
        <sz val="11"/>
        <rFont val="ＭＳ Ｐゴシック"/>
        <family val="3"/>
        <charset val="134"/>
        <scheme val="minor"/>
      </rPr>
      <t>络</t>
    </r>
    <r>
      <rPr>
        <sz val="11"/>
        <rFont val="ＭＳ Ｐゴシック"/>
        <family val="3"/>
        <charset val="128"/>
        <scheme val="minor"/>
      </rPr>
      <t>信息技</t>
    </r>
    <r>
      <rPr>
        <sz val="11"/>
        <rFont val="ＭＳ Ｐゴシック"/>
        <family val="3"/>
        <charset val="134"/>
        <scheme val="minor"/>
      </rPr>
      <t>术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</si>
  <si>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蜂蜜酒; 黄酒</t>
    </r>
  </si>
  <si>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宸美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</si>
  <si>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宸</t>
    </r>
    <r>
      <rPr>
        <sz val="11"/>
        <rFont val="ＭＳ Ｐゴシック"/>
        <family val="3"/>
        <charset val="134"/>
        <scheme val="minor"/>
      </rPr>
      <t>矿</t>
    </r>
    <r>
      <rPr>
        <sz val="11"/>
        <rFont val="ＭＳ Ｐゴシック"/>
        <family val="3"/>
        <charset val="128"/>
        <scheme val="minor"/>
      </rPr>
      <t>山机</t>
    </r>
    <r>
      <rPr>
        <sz val="11"/>
        <rFont val="ＭＳ Ｐゴシック"/>
        <family val="3"/>
        <charset val="134"/>
        <scheme val="minor"/>
      </rPr>
      <t>电设备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</si>
  <si>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鹿岭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</si>
  <si>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</si>
  <si>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深圳吉嘉科</t>
    </r>
    <r>
      <rPr>
        <sz val="11"/>
        <rFont val="ＭＳ Ｐゴシック"/>
        <family val="3"/>
        <charset val="134"/>
        <scheme val="minor"/>
      </rPr>
      <t>讯</t>
    </r>
    <r>
      <rPr>
        <sz val="11"/>
        <rFont val="ＭＳ Ｐゴシック"/>
        <family val="3"/>
        <charset val="128"/>
        <scheme val="minor"/>
      </rPr>
      <t>科技有限公司</t>
    </r>
  </si>
  <si>
    <r>
      <t>宁夏沙湖春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</si>
  <si>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食用酒精; 黄酒</t>
    </r>
  </si>
  <si>
    <r>
      <rPr>
        <sz val="11"/>
        <rFont val="ＭＳ Ｐゴシック"/>
        <family val="3"/>
        <charset val="134"/>
        <scheme val="minor"/>
      </rPr>
      <t>莲</t>
    </r>
    <r>
      <rPr>
        <sz val="11"/>
        <rFont val="ＭＳ Ｐゴシック"/>
        <family val="3"/>
        <charset val="128"/>
        <scheme val="minor"/>
      </rPr>
      <t>溪荷</t>
    </r>
  </si>
  <si>
    <r>
      <t xml:space="preserve"> 利口酒;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</si>
  <si>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蒋</t>
    </r>
    <r>
      <rPr>
        <sz val="11"/>
        <rFont val="ＭＳ Ｐゴシック"/>
        <family val="3"/>
        <charset val="134"/>
        <scheme val="minor"/>
      </rPr>
      <t>刚</t>
    </r>
  </si>
  <si>
    <r>
      <t xml:space="preserve">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</si>
  <si>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妃</t>
    </r>
    <r>
      <rPr>
        <sz val="11"/>
        <rFont val="ＭＳ Ｐゴシック"/>
        <family val="3"/>
        <charset val="134"/>
        <scheme val="minor"/>
      </rPr>
      <t>朵</t>
    </r>
  </si>
  <si>
    <r>
      <t>薏</t>
    </r>
    <r>
      <rPr>
        <sz val="11"/>
        <rFont val="ＭＳ Ｐゴシック"/>
        <family val="3"/>
        <charset val="134"/>
        <scheme val="minor"/>
      </rPr>
      <t>鸣</t>
    </r>
  </si>
  <si>
    <r>
      <t>醉翁无</t>
    </r>
    <r>
      <rPr>
        <sz val="11"/>
        <rFont val="ＭＳ Ｐゴシック"/>
        <family val="3"/>
        <charset val="134"/>
        <scheme val="minor"/>
      </rPr>
      <t>忧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</si>
  <si>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州无</t>
    </r>
    <r>
      <rPr>
        <sz val="11"/>
        <rFont val="ＭＳ Ｐゴシック"/>
        <family val="3"/>
        <charset val="134"/>
        <scheme val="minor"/>
      </rPr>
      <t>忧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(集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)有限公司</t>
    </r>
  </si>
  <si>
    <r>
      <t xml:space="preserve"> 伏特加酒; 威士忌; 朗姆酒; 梅酒;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黄酒</t>
    </r>
  </si>
  <si>
    <r>
      <t>胡幼</t>
    </r>
    <r>
      <rPr>
        <sz val="11"/>
        <rFont val="ＭＳ Ｐゴシック"/>
        <family val="3"/>
        <charset val="134"/>
        <scheme val="minor"/>
      </rPr>
      <t>龙</t>
    </r>
  </si>
  <si>
    <r>
      <t>亳州吉草堂</t>
    </r>
    <r>
      <rPr>
        <sz val="11"/>
        <rFont val="ＭＳ Ｐゴシック"/>
        <family val="3"/>
        <charset val="134"/>
        <scheme val="minor"/>
      </rPr>
      <t>药业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</si>
  <si>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苹果酒;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</si>
  <si>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吉福八大</t>
    </r>
    <r>
      <rPr>
        <sz val="11"/>
        <rFont val="ＭＳ Ｐゴシック"/>
        <family val="3"/>
        <charset val="134"/>
        <scheme val="minor"/>
      </rPr>
      <t>门</t>
    </r>
  </si>
  <si>
    <r>
      <rPr>
        <sz val="11"/>
        <rFont val="ＭＳ Ｐゴシック"/>
        <family val="3"/>
        <charset val="134"/>
        <scheme val="minor"/>
      </rPr>
      <t>韩东辉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</si>
  <si>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开胃酒;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</si>
  <si>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雄</t>
    </r>
    <r>
      <rPr>
        <sz val="11"/>
        <rFont val="ＭＳ Ｐゴシック"/>
        <family val="3"/>
        <charset val="134"/>
        <scheme val="minor"/>
      </rPr>
      <t>鹤</t>
    </r>
  </si>
  <si>
    <r>
      <t>广州至悦文化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媒科技有限公司</t>
    </r>
  </si>
  <si>
    <r>
      <t xml:space="preserve"> 利口酒; 威士忌;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</si>
  <si>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飒</t>
    </r>
    <r>
      <rPr>
        <sz val="11"/>
        <rFont val="ＭＳ Ｐゴシック"/>
        <family val="3"/>
        <charset val="128"/>
        <scheme val="minor"/>
      </rPr>
      <t>之道</t>
    </r>
  </si>
  <si>
    <r>
      <rPr>
        <sz val="11"/>
        <rFont val="ＭＳ Ｐゴシック"/>
        <family val="3"/>
        <charset val="134"/>
        <scheme val="minor"/>
      </rPr>
      <t>沧</t>
    </r>
    <r>
      <rPr>
        <sz val="11"/>
        <rFont val="ＭＳ Ｐゴシック"/>
        <family val="3"/>
        <charset val="128"/>
        <scheme val="minor"/>
      </rPr>
      <t>州市</t>
    </r>
    <r>
      <rPr>
        <sz val="11"/>
        <rFont val="ＭＳ Ｐゴシック"/>
        <family val="3"/>
        <charset val="134"/>
        <scheme val="minor"/>
      </rPr>
      <t>飒</t>
    </r>
    <r>
      <rPr>
        <sz val="11"/>
        <rFont val="ＭＳ Ｐゴシック"/>
        <family val="3"/>
        <charset val="128"/>
        <scheme val="minor"/>
      </rPr>
      <t>恩科技有限公司</t>
    </r>
  </si>
  <si>
    <r>
      <t xml:space="preserve"> 威士忌; 果酒;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</si>
  <si>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中企航天</t>
    </r>
    <r>
      <rPr>
        <sz val="11"/>
        <rFont val="ＭＳ Ｐゴシック"/>
        <family val="3"/>
        <charset val="134"/>
        <scheme val="minor"/>
      </rPr>
      <t>专</t>
    </r>
    <r>
      <rPr>
        <sz val="11"/>
        <rFont val="ＭＳ Ｐゴシック"/>
        <family val="3"/>
        <charset val="128"/>
        <scheme val="minor"/>
      </rPr>
      <t>用</t>
    </r>
    <r>
      <rPr>
        <sz val="11"/>
        <rFont val="ＭＳ Ｐゴシック"/>
        <family val="3"/>
        <charset val="134"/>
        <scheme val="minor"/>
      </rPr>
      <t>车辆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</si>
  <si>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果酒(含酒精); 白酒;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</si>
  <si>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市原泉酒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</si>
  <si>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</si>
  <si>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伏特加酒;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苦味酒; 葡萄酒; 黄酒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</si>
  <si>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子尹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</si>
  <si>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小安</t>
    </r>
  </si>
  <si>
    <r>
      <t>朝阳</t>
    </r>
    <r>
      <rPr>
        <sz val="11"/>
        <rFont val="ＭＳ Ｐゴシック"/>
        <family val="3"/>
        <charset val="134"/>
        <scheme val="minor"/>
      </rPr>
      <t>辉</t>
    </r>
  </si>
  <si>
    <r>
      <t>深圳市朝阳</t>
    </r>
    <r>
      <rPr>
        <sz val="11"/>
        <rFont val="ＭＳ Ｐゴシック"/>
        <family val="3"/>
        <charset val="134"/>
        <scheme val="minor"/>
      </rPr>
      <t>辉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</si>
  <si>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青稞酒; 餐后酒(利口酒和烈酒); 高粱酒</t>
    </r>
  </si>
  <si>
    <r>
      <rPr>
        <sz val="11"/>
        <rFont val="ＭＳ Ｐゴシック"/>
        <family val="3"/>
        <charset val="134"/>
        <scheme val="minor"/>
      </rPr>
      <t>蕴</t>
    </r>
    <r>
      <rPr>
        <sz val="11"/>
        <rFont val="ＭＳ Ｐゴシック"/>
        <family val="3"/>
        <charset val="128"/>
        <scheme val="minor"/>
      </rPr>
      <t>古藏今秦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</si>
  <si>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州国白酒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</si>
  <si>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葡萄酒;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</si>
  <si>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品百味雄</t>
    </r>
    <r>
      <rPr>
        <sz val="11"/>
        <rFont val="ＭＳ Ｐゴシック"/>
        <family val="3"/>
        <charset val="134"/>
        <scheme val="minor"/>
      </rPr>
      <t>风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</si>
  <si>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州品百味</t>
    </r>
    <r>
      <rPr>
        <sz val="11"/>
        <rFont val="ＭＳ Ｐゴシック"/>
        <family val="3"/>
        <charset val="134"/>
        <scheme val="minor"/>
      </rPr>
      <t>纯</t>
    </r>
    <r>
      <rPr>
        <sz val="11"/>
        <rFont val="ＭＳ Ｐゴシック"/>
        <family val="3"/>
        <charset val="128"/>
        <scheme val="minor"/>
      </rPr>
      <t>粮</t>
    </r>
    <r>
      <rPr>
        <sz val="11"/>
        <rFont val="ＭＳ Ｐゴシック"/>
        <family val="3"/>
        <charset val="134"/>
        <scheme val="minor"/>
      </rPr>
      <t>酱</t>
    </r>
    <r>
      <rPr>
        <sz val="11"/>
        <rFont val="ＭＳ Ｐゴシック"/>
        <family val="3"/>
        <charset val="128"/>
        <scheme val="minor"/>
      </rPr>
      <t>香酒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</si>
  <si>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黄酒</t>
    </r>
  </si>
  <si>
    <r>
      <t>蜀九</t>
    </r>
    <r>
      <rPr>
        <sz val="11"/>
        <rFont val="ＭＳ Ｐゴシック"/>
        <family val="3"/>
        <charset val="134"/>
        <scheme val="minor"/>
      </rPr>
      <t>酝</t>
    </r>
  </si>
  <si>
    <r>
      <t xml:space="preserve">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酒(烈酒); 白酒; 米酒; 葡萄酒; 青稞酒;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</si>
  <si>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纬</t>
    </r>
    <r>
      <rPr>
        <sz val="11"/>
        <rFont val="ＭＳ Ｐゴシック"/>
        <family val="3"/>
        <charset val="128"/>
        <scheme val="minor"/>
      </rPr>
      <t>度</t>
    </r>
    <r>
      <rPr>
        <sz val="11"/>
        <rFont val="ＭＳ Ｐゴシック"/>
        <family val="3"/>
        <charset val="134"/>
        <scheme val="minor"/>
      </rPr>
      <t>觅</t>
    </r>
    <r>
      <rPr>
        <sz val="11"/>
        <rFont val="ＭＳ Ｐゴシック"/>
        <family val="3"/>
        <charset val="128"/>
        <scheme val="minor"/>
      </rPr>
      <t>迹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</si>
  <si>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薄荷酒; 黄酒</t>
    </r>
  </si>
  <si>
    <r>
      <t>福将荣</t>
    </r>
    <r>
      <rPr>
        <sz val="11"/>
        <rFont val="ＭＳ Ｐゴシック"/>
        <family val="3"/>
        <charset val="134"/>
        <scheme val="minor"/>
      </rPr>
      <t>华</t>
    </r>
  </si>
  <si>
    <r>
      <t>福建省酒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</si>
  <si>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含酒精的气泡水; 开胃酒; 果酒(含酒精); 汽酒; 白酒; 米酒; 葡萄酒;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</si>
  <si>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延天</t>
    </r>
    <r>
      <rPr>
        <sz val="11"/>
        <rFont val="ＭＳ Ｐゴシック"/>
        <family val="3"/>
        <charset val="134"/>
        <scheme val="minor"/>
      </rPr>
      <t>龄</t>
    </r>
  </si>
  <si>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州正和</t>
    </r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代商</t>
    </r>
    <r>
      <rPr>
        <sz val="11"/>
        <rFont val="ＭＳ Ｐゴシック"/>
        <family val="3"/>
        <charset val="134"/>
        <scheme val="minor"/>
      </rPr>
      <t>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</si>
  <si>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米酒; 葡萄酒; 黄酒</t>
    </r>
  </si>
  <si>
    <r>
      <t>山西古城</t>
    </r>
    <r>
      <rPr>
        <sz val="11"/>
        <rFont val="ＭＳ Ｐゴシック"/>
        <family val="3"/>
        <charset val="134"/>
        <scheme val="minor"/>
      </rPr>
      <t>墚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</si>
  <si>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含酒精的气泡水;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青稞酒;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</si>
  <si>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州赤冰</t>
    </r>
    <r>
      <rPr>
        <sz val="11"/>
        <rFont val="ＭＳ Ｐゴシック"/>
        <family val="3"/>
        <charset val="134"/>
        <scheme val="minor"/>
      </rPr>
      <t>环</t>
    </r>
    <r>
      <rPr>
        <sz val="11"/>
        <rFont val="ＭＳ Ｐゴシック"/>
        <family val="3"/>
        <charset val="128"/>
        <scheme val="minor"/>
      </rPr>
      <t>保科技有限公司</t>
    </r>
  </si>
  <si>
    <r>
      <t xml:space="preserve"> 利口酒;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</si>
  <si>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佩</t>
    </r>
    <r>
      <rPr>
        <sz val="11"/>
        <rFont val="ＭＳ Ｐゴシック"/>
        <family val="3"/>
        <charset val="134"/>
        <scheme val="minor"/>
      </rPr>
      <t>尔</t>
    </r>
    <r>
      <rPr>
        <sz val="11"/>
        <rFont val="ＭＳ Ｐゴシック"/>
        <family val="3"/>
        <charset val="128"/>
        <scheme val="minor"/>
      </rPr>
      <t>迪多 LE MONT PERDU</t>
    </r>
  </si>
  <si>
    <r>
      <t>厦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人人</t>
    </r>
    <r>
      <rPr>
        <sz val="11"/>
        <rFont val="ＭＳ Ｐゴシック"/>
        <family val="3"/>
        <charset val="134"/>
        <scheme val="minor"/>
      </rPr>
      <t>优</t>
    </r>
    <r>
      <rPr>
        <sz val="11"/>
        <rFont val="ＭＳ Ｐゴシック"/>
        <family val="3"/>
        <charset val="128"/>
        <scheme val="minor"/>
      </rPr>
      <t>品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</si>
  <si>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汽酒;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黄酒</t>
    </r>
  </si>
  <si>
    <r>
      <rPr>
        <sz val="11"/>
        <rFont val="ＭＳ Ｐゴシック"/>
        <family val="3"/>
        <charset val="134"/>
        <scheme val="minor"/>
      </rPr>
      <t>鹤</t>
    </r>
    <r>
      <rPr>
        <sz val="11"/>
        <rFont val="ＭＳ Ｐゴシック"/>
        <family val="3"/>
        <charset val="128"/>
        <scheme val="minor"/>
      </rPr>
      <t>造了凡心</t>
    </r>
  </si>
  <si>
    <r>
      <t>金寨原始森林商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</si>
  <si>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清酒(日本米酒);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黄酒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</si>
  <si>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唯泰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</si>
  <si>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葡萄酒; 蒸煮提取物(利口酒和烈酒);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</si>
  <si>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伏特加酒;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</si>
  <si>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孙</t>
    </r>
    <r>
      <rPr>
        <sz val="11"/>
        <rFont val="ＭＳ Ｐゴシック"/>
        <family val="3"/>
        <charset val="128"/>
        <scheme val="minor"/>
      </rPr>
      <t>玉</t>
    </r>
    <r>
      <rPr>
        <sz val="11"/>
        <rFont val="ＭＳ Ｐゴシック"/>
        <family val="3"/>
        <charset val="134"/>
        <scheme val="minor"/>
      </rPr>
      <t>环</t>
    </r>
  </si>
  <si>
    <r>
      <t xml:space="preserve"> 伏特加酒; 威士忌; 清酒(日本米酒); 烈酒;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</si>
  <si>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t>勃第堡国</t>
    </r>
    <r>
      <rPr>
        <sz val="11"/>
        <rFont val="ＭＳ Ｐゴシック"/>
        <family val="3"/>
        <charset val="134"/>
        <scheme val="minor"/>
      </rPr>
      <t>际贸</t>
    </r>
    <r>
      <rPr>
        <sz val="11"/>
        <rFont val="ＭＳ Ｐゴシック"/>
        <family val="3"/>
        <charset val="128"/>
        <scheme val="minor"/>
      </rPr>
      <t>易(杭州)有限公司</t>
    </r>
  </si>
  <si>
    <r>
      <t xml:space="preserve"> 威士忌; 果酒(含酒精); 烈酒; 甜果酒;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白葡萄酒;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草莓酒; 蒸煮提取物(利口酒和烈酒)</t>
    </r>
  </si>
  <si>
    <r>
      <t>衡水孟状元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酒厂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</si>
  <si>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柑香酒;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</si>
  <si>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周公</t>
    </r>
    <r>
      <rPr>
        <sz val="11"/>
        <rFont val="ＭＳ Ｐゴシック"/>
        <family val="3"/>
        <charset val="134"/>
        <scheme val="minor"/>
      </rPr>
      <t>营</t>
    </r>
    <r>
      <rPr>
        <sz val="11"/>
        <rFont val="ＭＳ Ｐゴシック"/>
        <family val="3"/>
        <charset val="128"/>
        <scheme val="minor"/>
      </rPr>
      <t>洛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</si>
  <si>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餐后酒(利口酒和烈酒); 黄酒</t>
    </r>
  </si>
  <si>
    <r>
      <t>酉</t>
    </r>
    <r>
      <rPr>
        <sz val="11"/>
        <rFont val="ＭＳ Ｐゴシック"/>
        <family val="3"/>
        <charset val="134"/>
        <scheme val="minor"/>
      </rPr>
      <t>坛</t>
    </r>
    <r>
      <rPr>
        <sz val="11"/>
        <rFont val="ＭＳ Ｐゴシック"/>
        <family val="3"/>
        <charset val="128"/>
        <scheme val="minor"/>
      </rPr>
      <t>养</t>
    </r>
  </si>
  <si>
    <r>
      <rPr>
        <sz val="11"/>
        <rFont val="ＭＳ Ｐゴシック"/>
        <family val="3"/>
        <charset val="134"/>
        <scheme val="minor"/>
      </rPr>
      <t>汉传贵</t>
    </r>
    <r>
      <rPr>
        <sz val="11"/>
        <rFont val="ＭＳ Ｐゴシック"/>
        <family val="3"/>
        <charset val="128"/>
        <scheme val="minor"/>
      </rPr>
      <t>沙</t>
    </r>
  </si>
  <si>
    <r>
      <rPr>
        <sz val="11"/>
        <rFont val="ＭＳ Ｐゴシック"/>
        <family val="3"/>
        <charset val="134"/>
        <scheme val="minor"/>
      </rPr>
      <t>芈</t>
    </r>
    <r>
      <rPr>
        <sz val="11"/>
        <rFont val="ＭＳ Ｐゴシック"/>
        <family val="3"/>
        <charset val="128"/>
        <scheme val="minor"/>
      </rPr>
      <t>望</t>
    </r>
  </si>
  <si>
    <r>
      <rPr>
        <sz val="11"/>
        <rFont val="ＭＳ Ｐゴシック"/>
        <family val="3"/>
        <charset val="134"/>
        <scheme val="minor"/>
      </rPr>
      <t>谭</t>
    </r>
    <r>
      <rPr>
        <sz val="11"/>
        <rFont val="ＭＳ Ｐゴシック"/>
        <family val="3"/>
        <charset val="128"/>
        <scheme val="minor"/>
      </rPr>
      <t>延</t>
    </r>
  </si>
  <si>
    <r>
      <t xml:space="preserve"> 利口酒;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薄荷酒;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</si>
  <si>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果酒(含酒精); 汽酒; 白酒; 米酒; 苦味酒;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</t>
    </r>
  </si>
  <si>
    <r>
      <t>省大</t>
    </r>
    <r>
      <rPr>
        <sz val="11"/>
        <rFont val="ＭＳ Ｐゴシック"/>
        <family val="3"/>
        <charset val="134"/>
        <scheme val="minor"/>
      </rPr>
      <t>师</t>
    </r>
    <r>
      <rPr>
        <sz val="11"/>
        <rFont val="ＭＳ Ｐゴシック"/>
        <family val="3"/>
        <charset val="128"/>
        <scheme val="minor"/>
      </rPr>
      <t>酒庄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</si>
  <si>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</si>
  <si>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明</t>
    </r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</si>
  <si>
    <r>
      <t>遵</t>
    </r>
    <r>
      <rPr>
        <sz val="11"/>
        <rFont val="ＭＳ Ｐゴシック"/>
        <family val="3"/>
        <charset val="134"/>
        <scheme val="minor"/>
      </rPr>
      <t>义</t>
    </r>
    <r>
      <rPr>
        <sz val="11"/>
        <rFont val="ＭＳ Ｐゴシック"/>
        <family val="3"/>
        <charset val="128"/>
        <scheme val="minor"/>
      </rPr>
      <t>乾尚商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</si>
  <si>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杜松子酒;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</si>
  <si>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蒙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来</t>
    </r>
  </si>
  <si>
    <r>
      <t>内蒙古自治区鄂</t>
    </r>
    <r>
      <rPr>
        <sz val="11"/>
        <rFont val="ＭＳ Ｐゴシック"/>
        <family val="3"/>
        <charset val="134"/>
        <scheme val="minor"/>
      </rPr>
      <t>尔</t>
    </r>
    <r>
      <rPr>
        <sz val="11"/>
        <rFont val="ＭＳ Ｐゴシック"/>
        <family val="3"/>
        <charset val="128"/>
        <scheme val="minor"/>
      </rPr>
      <t>多斯市康巴什区蒙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来管理有限公司</t>
    </r>
  </si>
  <si>
    <r>
      <t xml:space="preserve">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 xml:space="preserve">酒; 葡萄酒; 青稞酒;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</si>
  <si>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许</t>
    </r>
    <r>
      <rPr>
        <sz val="11"/>
        <rFont val="ＭＳ Ｐゴシック"/>
        <family val="3"/>
        <charset val="128"/>
        <scheme val="minor"/>
      </rPr>
      <t>文涛</t>
    </r>
  </si>
  <si>
    <r>
      <t>壮</t>
    </r>
    <r>
      <rPr>
        <sz val="11"/>
        <rFont val="ＭＳ Ｐゴシック"/>
        <family val="3"/>
        <charset val="134"/>
        <scheme val="minor"/>
      </rPr>
      <t>贡</t>
    </r>
  </si>
  <si>
    <r>
      <t>广西高田投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</si>
  <si>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</si>
  <si>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轻</t>
    </r>
    <r>
      <rPr>
        <sz val="11"/>
        <rFont val="ＭＳ Ｐゴシック"/>
        <family val="3"/>
        <charset val="128"/>
        <scheme val="minor"/>
      </rPr>
      <t>与零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</si>
  <si>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梨酒;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</si>
  <si>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扎坤固</t>
    </r>
    <r>
      <rPr>
        <sz val="11"/>
        <rFont val="ＭＳ Ｐゴシック"/>
        <family val="3"/>
        <charset val="134"/>
        <scheme val="minor"/>
      </rPr>
      <t>萨</t>
    </r>
  </si>
  <si>
    <r>
      <t>沈阳市新盛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酒厂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</si>
  <si>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苦味酒;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</si>
  <si>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北京好兄弟一</t>
    </r>
    <r>
      <rPr>
        <sz val="11"/>
        <rFont val="ＭＳ Ｐゴシック"/>
        <family val="3"/>
        <charset val="134"/>
        <scheme val="minor"/>
      </rPr>
      <t>辈</t>
    </r>
    <r>
      <rPr>
        <sz val="11"/>
        <rFont val="ＭＳ Ｐゴシック"/>
        <family val="3"/>
        <charset val="128"/>
        <scheme val="minor"/>
      </rPr>
      <t>子酒</t>
    </r>
    <r>
      <rPr>
        <sz val="11"/>
        <rFont val="ＭＳ Ｐゴシック"/>
        <family val="3"/>
        <charset val="134"/>
        <scheme val="minor"/>
      </rPr>
      <t>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</si>
  <si>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果酒; 汽酒;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黄酒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</si>
  <si>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餐后酒(利口酒和烈酒);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</si>
  <si>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米酒;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葡萄酒; 高粱酒; 黄酒</t>
    </r>
  </si>
  <si>
    <r>
      <t>客家姑</t>
    </r>
    <r>
      <rPr>
        <sz val="11"/>
        <rFont val="ＭＳ Ｐゴシック"/>
        <family val="3"/>
        <charset val="134"/>
        <scheme val="minor"/>
      </rPr>
      <t>爷</t>
    </r>
  </si>
  <si>
    <r>
      <rPr>
        <sz val="11"/>
        <rFont val="ＭＳ Ｐゴシック"/>
        <family val="3"/>
        <charset val="134"/>
        <scheme val="minor"/>
      </rPr>
      <t>辽</t>
    </r>
    <r>
      <rPr>
        <sz val="11"/>
        <rFont val="ＭＳ Ｐゴシック"/>
        <family val="3"/>
        <charset val="128"/>
        <scheme val="minor"/>
      </rPr>
      <t>宁客家人文化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播有限公司</t>
    </r>
  </si>
  <si>
    <r>
      <t xml:space="preserve"> 果酒(含酒精); 清酒;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</si>
  <si>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四川中幺酒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</si>
  <si>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鼎盛帆</t>
    </r>
  </si>
  <si>
    <r>
      <t>海南省盛帆</t>
    </r>
    <r>
      <rPr>
        <sz val="11"/>
        <rFont val="ＭＳ Ｐゴシック"/>
        <family val="3"/>
        <charset val="134"/>
        <scheme val="minor"/>
      </rPr>
      <t>进</t>
    </r>
    <r>
      <rPr>
        <sz val="11"/>
        <rFont val="ＭＳ Ｐゴシック"/>
        <family val="3"/>
        <charset val="128"/>
        <scheme val="minor"/>
      </rPr>
      <t>出口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</si>
  <si>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rPr>
        <sz val="11"/>
        <rFont val="ＭＳ Ｐゴシック"/>
        <family val="3"/>
        <charset val="134"/>
        <scheme val="minor"/>
      </rPr>
      <t>总</t>
    </r>
    <r>
      <rPr>
        <sz val="11"/>
        <rFont val="ＭＳ Ｐゴシック"/>
        <family val="3"/>
        <charset val="128"/>
        <scheme val="minor"/>
      </rPr>
      <t>堡</t>
    </r>
    <r>
      <rPr>
        <sz val="11"/>
        <rFont val="ＭＳ Ｐゴシック"/>
        <family val="3"/>
        <charset val="134"/>
        <scheme val="minor"/>
      </rPr>
      <t>龙鸿</t>
    </r>
  </si>
  <si>
    <r>
      <t>民和</t>
    </r>
    <r>
      <rPr>
        <sz val="11"/>
        <rFont val="ＭＳ Ｐゴシック"/>
        <family val="3"/>
        <charset val="134"/>
        <scheme val="minor"/>
      </rPr>
      <t>龙鸿</t>
    </r>
    <r>
      <rPr>
        <sz val="11"/>
        <rFont val="ＭＳ Ｐゴシック"/>
        <family val="3"/>
        <charset val="128"/>
        <scheme val="minor"/>
      </rPr>
      <t>种植</t>
    </r>
    <r>
      <rPr>
        <sz val="11"/>
        <rFont val="ＭＳ Ｐゴシック"/>
        <family val="3"/>
        <charset val="134"/>
        <scheme val="minor"/>
      </rPr>
      <t>专业</t>
    </r>
    <r>
      <rPr>
        <sz val="11"/>
        <rFont val="ＭＳ Ｐゴシック"/>
        <family val="3"/>
        <charset val="128"/>
        <scheme val="minor"/>
      </rPr>
      <t>合作社</t>
    </r>
  </si>
  <si>
    <r>
      <t xml:space="preserve">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</t>
    </r>
  </si>
  <si>
    <r>
      <rPr>
        <sz val="11"/>
        <rFont val="ＭＳ Ｐゴシック"/>
        <family val="3"/>
        <charset val="134"/>
        <scheme val="minor"/>
      </rPr>
      <t>孙</t>
    </r>
    <r>
      <rPr>
        <sz val="11"/>
        <rFont val="ＭＳ Ｐゴシック"/>
        <family val="3"/>
        <charset val="128"/>
        <scheme val="minor"/>
      </rPr>
      <t>运</t>
    </r>
    <r>
      <rPr>
        <sz val="11"/>
        <rFont val="ＭＳ Ｐゴシック"/>
        <family val="3"/>
        <charset val="134"/>
        <scheme val="minor"/>
      </rPr>
      <t>强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</si>
  <si>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酸酒(低等葡萄酒); 露酒</t>
    </r>
  </si>
  <si>
    <r>
      <t xml:space="preserve"> 伏特加酒; 威士忌; 开胃酒; 朗姆酒;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</si>
  <si>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收</t>
    </r>
  </si>
  <si>
    <r>
      <t>越</t>
    </r>
    <r>
      <rPr>
        <sz val="11"/>
        <rFont val="ＭＳ Ｐゴシック"/>
        <family val="3"/>
        <charset val="134"/>
        <scheme val="minor"/>
      </rPr>
      <t>赞</t>
    </r>
  </si>
  <si>
    <r>
      <t>稻</t>
    </r>
    <r>
      <rPr>
        <sz val="11"/>
        <rFont val="ＭＳ Ｐゴシック"/>
        <family val="3"/>
        <charset val="134"/>
        <scheme val="minor"/>
      </rPr>
      <t>岁</t>
    </r>
    <r>
      <rPr>
        <sz val="11"/>
        <rFont val="ＭＳ Ｐゴシック"/>
        <family val="3"/>
        <charset val="128"/>
        <scheme val="minor"/>
      </rPr>
      <t>柔</t>
    </r>
  </si>
  <si>
    <r>
      <t>黄友</t>
    </r>
    <r>
      <rPr>
        <sz val="11"/>
        <rFont val="ＭＳ Ｐゴシック"/>
        <family val="3"/>
        <charset val="134"/>
        <scheme val="minor"/>
      </rPr>
      <t>胜</t>
    </r>
  </si>
  <si>
    <r>
      <rPr>
        <sz val="11"/>
        <rFont val="ＭＳ Ｐゴシック"/>
        <family val="3"/>
        <charset val="134"/>
        <scheme val="minor"/>
      </rPr>
      <t>缇</t>
    </r>
    <r>
      <rPr>
        <sz val="11"/>
        <rFont val="ＭＳ Ｐゴシック"/>
        <family val="3"/>
        <charset val="128"/>
        <scheme val="minor"/>
      </rPr>
      <t>香</t>
    </r>
    <r>
      <rPr>
        <sz val="11"/>
        <rFont val="ＭＳ Ｐゴシック"/>
        <family val="3"/>
        <charset val="134"/>
        <scheme val="minor"/>
      </rPr>
      <t>转</t>
    </r>
    <r>
      <rPr>
        <sz val="11"/>
        <rFont val="ＭＳ Ｐゴシック"/>
        <family val="3"/>
        <charset val="128"/>
        <scheme val="minor"/>
      </rPr>
      <t>角</t>
    </r>
  </si>
  <si>
    <r>
      <t>上海</t>
    </r>
    <r>
      <rPr>
        <sz val="11"/>
        <rFont val="ＭＳ Ｐゴシック"/>
        <family val="3"/>
        <charset val="134"/>
        <scheme val="minor"/>
      </rPr>
      <t>缇</t>
    </r>
    <r>
      <rPr>
        <sz val="11"/>
        <rFont val="ＭＳ Ｐゴシック"/>
        <family val="3"/>
        <charset val="128"/>
        <scheme val="minor"/>
      </rPr>
      <t>香</t>
    </r>
    <r>
      <rPr>
        <sz val="11"/>
        <rFont val="ＭＳ Ｐゴシック"/>
        <family val="3"/>
        <charset val="134"/>
        <scheme val="minor"/>
      </rPr>
      <t>转</t>
    </r>
    <r>
      <rPr>
        <sz val="11"/>
        <rFont val="ＭＳ Ｐゴシック"/>
        <family val="3"/>
        <charset val="128"/>
        <scheme val="minor"/>
      </rPr>
      <t>角餐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</si>
  <si>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伏特加酒;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</si>
  <si>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情依旧</t>
    </r>
  </si>
  <si>
    <r>
      <t xml:space="preserve"> 伏特加酒; 朝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族米酒; 果酒(含酒精); 清酒(日本米酒);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</si>
  <si>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蜂</t>
    </r>
    <r>
      <rPr>
        <sz val="11"/>
        <rFont val="ＭＳ Ｐゴシック"/>
        <family val="3"/>
        <charset val="134"/>
        <scheme val="minor"/>
      </rPr>
      <t>优</t>
    </r>
    <r>
      <rPr>
        <sz val="11"/>
        <rFont val="ＭＳ Ｐゴシック"/>
        <family val="3"/>
        <charset val="128"/>
        <scheme val="minor"/>
      </rPr>
      <t>养</t>
    </r>
  </si>
  <si>
    <r>
      <rPr>
        <sz val="11"/>
        <rFont val="ＭＳ Ｐゴシック"/>
        <family val="3"/>
        <charset val="134"/>
        <scheme val="minor"/>
      </rPr>
      <t>卢</t>
    </r>
    <r>
      <rPr>
        <sz val="11"/>
        <rFont val="ＭＳ Ｐゴシック"/>
        <family val="3"/>
        <charset val="128"/>
        <scheme val="minor"/>
      </rPr>
      <t>秀</t>
    </r>
    <r>
      <rPr>
        <sz val="11"/>
        <rFont val="ＭＳ Ｐゴシック"/>
        <family val="3"/>
        <charset val="134"/>
        <scheme val="minor"/>
      </rPr>
      <t>丽</t>
    </r>
  </si>
  <si>
    <r>
      <t xml:space="preserve"> 威士忌; 开胃酒; 果酒; 清酒; 甜酒; 白酒;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露酒;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</si>
  <si>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进远</t>
    </r>
    <r>
      <rPr>
        <sz val="11"/>
        <rFont val="ＭＳ Ｐゴシック"/>
        <family val="3"/>
        <charset val="128"/>
        <scheme val="minor"/>
      </rPr>
      <t>九峰山</t>
    </r>
  </si>
  <si>
    <r>
      <t>广西天等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振</t>
    </r>
    <r>
      <rPr>
        <sz val="11"/>
        <rFont val="ＭＳ Ｐゴシック"/>
        <family val="3"/>
        <charset val="134"/>
        <scheme val="minor"/>
      </rPr>
      <t>远农业</t>
    </r>
    <r>
      <rPr>
        <sz val="11"/>
        <rFont val="ＭＳ Ｐゴシック"/>
        <family val="3"/>
        <charset val="128"/>
        <scheme val="minor"/>
      </rPr>
      <t>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</si>
  <si>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甜酒; 白酒; 米酒; 葡萄酒; 薄荷酒;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</si>
  <si>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t>大</t>
    </r>
    <r>
      <rPr>
        <sz val="11"/>
        <rFont val="ＭＳ Ｐゴシック"/>
        <family val="3"/>
        <charset val="134"/>
        <scheme val="minor"/>
      </rPr>
      <t>话</t>
    </r>
    <r>
      <rPr>
        <sz val="11"/>
        <rFont val="ＭＳ Ｐゴシック"/>
        <family val="3"/>
        <charset val="128"/>
        <scheme val="minor"/>
      </rPr>
      <t>悟空</t>
    </r>
  </si>
  <si>
    <r>
      <t>北京清</t>
    </r>
    <r>
      <rPr>
        <sz val="11"/>
        <rFont val="ＭＳ Ｐゴシック"/>
        <family val="3"/>
        <charset val="134"/>
        <scheme val="minor"/>
      </rPr>
      <t>浊</t>
    </r>
    <r>
      <rPr>
        <sz val="11"/>
        <rFont val="ＭＳ Ｐゴシック"/>
        <family val="3"/>
        <charset val="128"/>
        <scheme val="minor"/>
      </rPr>
      <t>上</t>
    </r>
    <r>
      <rPr>
        <sz val="11"/>
        <rFont val="ＭＳ Ｐゴシック"/>
        <family val="3"/>
        <charset val="134"/>
        <scheme val="minor"/>
      </rPr>
      <t>选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</si>
  <si>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</si>
  <si>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天使</t>
    </r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伯</t>
    </r>
  </si>
  <si>
    <r>
      <t>金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市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民新材料有限公司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</si>
  <si>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</si>
  <si>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金</t>
    </r>
    <r>
      <rPr>
        <sz val="11"/>
        <rFont val="ＭＳ Ｐゴシック"/>
        <family val="3"/>
        <charset val="134"/>
        <scheme val="minor"/>
      </rPr>
      <t>銮</t>
    </r>
    <r>
      <rPr>
        <sz val="11"/>
        <rFont val="ＭＳ Ｐゴシック"/>
        <family val="3"/>
        <charset val="128"/>
        <scheme val="minor"/>
      </rPr>
      <t>玉</t>
    </r>
    <r>
      <rPr>
        <sz val="11"/>
        <rFont val="ＭＳ Ｐゴシック"/>
        <family val="3"/>
        <charset val="134"/>
        <scheme val="minor"/>
      </rPr>
      <t>阶</t>
    </r>
  </si>
  <si>
    <r>
      <t>杭州亮片独角</t>
    </r>
    <r>
      <rPr>
        <sz val="11"/>
        <rFont val="ＭＳ Ｐゴシック"/>
        <family val="3"/>
        <charset val="134"/>
        <scheme val="minor"/>
      </rPr>
      <t>兽</t>
    </r>
    <r>
      <rPr>
        <sz val="11"/>
        <rFont val="ＭＳ Ｐゴシック"/>
        <family val="3"/>
        <charset val="128"/>
        <scheme val="minor"/>
      </rPr>
      <t>文化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意有限公司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</si>
  <si>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朗姆酒; 果酒;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</si>
  <si>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吟</t>
    </r>
    <r>
      <rPr>
        <sz val="11"/>
        <rFont val="ＭＳ Ｐゴシック"/>
        <family val="3"/>
        <charset val="134"/>
        <scheme val="minor"/>
      </rPr>
      <t>涧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</si>
  <si>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朗姆酒;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</si>
  <si>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稛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</si>
  <si>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酱时</t>
    </r>
    <r>
      <rPr>
        <sz val="11"/>
        <rFont val="ＭＳ Ｐゴシック"/>
        <family val="3"/>
        <charset val="128"/>
        <scheme val="minor"/>
      </rPr>
      <t>代酒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</si>
  <si>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含酒精的充气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果酒; 烈酒;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</si>
  <si>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源宏</t>
    </r>
  </si>
  <si>
    <r>
      <t>康巨</t>
    </r>
    <r>
      <rPr>
        <sz val="11"/>
        <rFont val="ＭＳ Ｐゴシック"/>
        <family val="3"/>
        <charset val="134"/>
        <scheme val="minor"/>
      </rPr>
      <t>维</t>
    </r>
  </si>
  <si>
    <r>
      <t>福建九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山米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</si>
  <si>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</si>
  <si>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柑香酒;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茴香酒(利口酒);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</si>
  <si>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>拓</t>
    </r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花海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</si>
  <si>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拓</t>
    </r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花海</t>
    </r>
    <r>
      <rPr>
        <sz val="11"/>
        <rFont val="ＭＳ Ｐゴシック"/>
        <family val="3"/>
        <charset val="134"/>
        <scheme val="minor"/>
      </rPr>
      <t>现</t>
    </r>
    <r>
      <rPr>
        <sz val="11"/>
        <rFont val="ＭＳ Ｐゴシック"/>
        <family val="3"/>
        <charset val="128"/>
        <scheme val="minor"/>
      </rPr>
      <t>代</t>
    </r>
    <r>
      <rPr>
        <sz val="11"/>
        <rFont val="ＭＳ Ｐゴシック"/>
        <family val="3"/>
        <charset val="134"/>
        <scheme val="minor"/>
      </rPr>
      <t>农业发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</si>
  <si>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果酒(含酒精); 梨酒; 白酒; 米酒; 苹果酒;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</si>
  <si>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独步</t>
    </r>
    <r>
      <rPr>
        <sz val="11"/>
        <rFont val="ＭＳ Ｐゴシック"/>
        <family val="3"/>
        <charset val="134"/>
        <scheme val="minor"/>
      </rPr>
      <t>绝顶</t>
    </r>
  </si>
  <si>
    <r>
      <t>高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食上</t>
    </r>
  </si>
  <si>
    <r>
      <t>涂</t>
    </r>
    <r>
      <rPr>
        <sz val="11"/>
        <rFont val="ＭＳ Ｐゴシック"/>
        <family val="3"/>
        <charset val="134"/>
        <scheme val="minor"/>
      </rPr>
      <t>钦</t>
    </r>
    <r>
      <rPr>
        <sz val="11"/>
        <rFont val="ＭＳ Ｐゴシック"/>
        <family val="3"/>
        <charset val="128"/>
        <scheme val="minor"/>
      </rPr>
      <t>公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</si>
  <si>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州聚</t>
    </r>
    <r>
      <rPr>
        <sz val="11"/>
        <rFont val="ＭＳ Ｐゴシック"/>
        <family val="3"/>
        <charset val="134"/>
        <scheme val="minor"/>
      </rPr>
      <t>强</t>
    </r>
    <r>
      <rPr>
        <sz val="11"/>
        <rFont val="ＭＳ Ｐゴシック"/>
        <family val="3"/>
        <charset val="128"/>
        <scheme val="minor"/>
      </rPr>
      <t>品牌管理有限公司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</si>
  <si>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白葡萄酒; 白酒;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高粱酒</t>
    </r>
  </si>
  <si>
    <r>
      <rPr>
        <sz val="11"/>
        <rFont val="ＭＳ Ｐゴシック"/>
        <family val="3"/>
        <charset val="134"/>
        <scheme val="minor"/>
      </rPr>
      <t>济</t>
    </r>
    <r>
      <rPr>
        <sz val="11"/>
        <rFont val="ＭＳ Ｐゴシック"/>
        <family val="3"/>
        <charset val="128"/>
        <scheme val="minor"/>
      </rPr>
      <t>宁儒尊文化有限公司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</si>
  <si>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品; 朗姆酒; 果酒; 梅酒; 清酒; 白酒; 米酒; 葡萄酒; 薄荷酒; 蜂蜜酒</t>
    </r>
  </si>
  <si>
    <r>
      <t>巨鹿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玖赫供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</si>
  <si>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果酒(含酒精); 汽酒;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</si>
  <si>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雅</t>
    </r>
    <r>
      <rPr>
        <sz val="11"/>
        <rFont val="ＭＳ Ｐゴシック"/>
        <family val="3"/>
        <charset val="134"/>
        <scheme val="minor"/>
      </rPr>
      <t>铂</t>
    </r>
    <r>
      <rPr>
        <sz val="11"/>
        <rFont val="ＭＳ Ｐゴシック"/>
        <family val="3"/>
        <charset val="128"/>
        <scheme val="minor"/>
      </rPr>
      <t>天醇</t>
    </r>
  </si>
  <si>
    <r>
      <t>厦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悠</t>
    </r>
    <r>
      <rPr>
        <sz val="11"/>
        <rFont val="ＭＳ Ｐゴシック"/>
        <family val="3"/>
        <charset val="134"/>
        <scheme val="minor"/>
      </rPr>
      <t>迈进</t>
    </r>
    <r>
      <rPr>
        <sz val="11"/>
        <rFont val="ＭＳ Ｐゴシック"/>
        <family val="3"/>
        <charset val="128"/>
        <scheme val="minor"/>
      </rPr>
      <t>出口有限公司</t>
    </r>
  </si>
  <si>
    <r>
      <t xml:space="preserve"> 伏特加酒; 威士忌;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</si>
  <si>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盛国</t>
    </r>
    <r>
      <rPr>
        <sz val="11"/>
        <rFont val="ＭＳ Ｐゴシック"/>
        <family val="3"/>
        <charset val="134"/>
        <scheme val="minor"/>
      </rPr>
      <t>军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</si>
  <si>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</si>
  <si>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天草</t>
    </r>
    <r>
      <rPr>
        <sz val="11"/>
        <rFont val="ＭＳ Ｐゴシック"/>
        <family val="3"/>
        <charset val="134"/>
        <scheme val="minor"/>
      </rPr>
      <t>润东</t>
    </r>
    <r>
      <rPr>
        <sz val="11"/>
        <rFont val="ＭＳ Ｐゴシック"/>
        <family val="3"/>
        <charset val="128"/>
        <scheme val="minor"/>
      </rPr>
      <t>天</t>
    </r>
    <r>
      <rPr>
        <sz val="11"/>
        <rFont val="ＭＳ Ｐゴシック"/>
        <family val="3"/>
        <charset val="134"/>
        <scheme val="minor"/>
      </rPr>
      <t>东</t>
    </r>
  </si>
  <si>
    <r>
      <t>九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黄河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</si>
  <si>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锦</t>
    </r>
    <r>
      <rPr>
        <sz val="11"/>
        <rFont val="ＭＳ Ｐゴシック"/>
        <family val="3"/>
        <charset val="128"/>
        <scheme val="minor"/>
      </rPr>
      <t>泰祥商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</si>
  <si>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</si>
  <si>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今喜</t>
    </r>
    <r>
      <rPr>
        <sz val="11"/>
        <rFont val="ＭＳ Ｐゴシック"/>
        <family val="3"/>
        <charset val="134"/>
        <scheme val="minor"/>
      </rPr>
      <t>农</t>
    </r>
  </si>
  <si>
    <r>
      <t>上海今喜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新</t>
    </r>
    <r>
      <rPr>
        <sz val="11"/>
        <rFont val="ＭＳ Ｐゴシック"/>
        <family val="3"/>
        <charset val="134"/>
        <scheme val="minor"/>
      </rPr>
      <t>农业发</t>
    </r>
    <r>
      <rPr>
        <sz val="11"/>
        <rFont val="ＭＳ Ｐゴシック"/>
        <family val="3"/>
        <charset val="128"/>
        <scheme val="minor"/>
      </rPr>
      <t>展集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</si>
  <si>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葡萄酒; 蜂蜜酒;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</si>
  <si>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苗</t>
    </r>
  </si>
  <si>
    <r>
      <rPr>
        <sz val="11"/>
        <rFont val="ＭＳ Ｐゴシック"/>
        <family val="3"/>
        <charset val="134"/>
        <scheme val="minor"/>
      </rPr>
      <t>赖贵红</t>
    </r>
  </si>
  <si>
    <r>
      <t xml:space="preserve">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甜果酒; 白酒;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</si>
  <si>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t>湖南省湄江春酒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</si>
  <si>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</si>
  <si>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四</t>
    </r>
    <r>
      <rPr>
        <sz val="11"/>
        <rFont val="ＭＳ Ｐゴシック"/>
        <family val="3"/>
        <charset val="134"/>
        <scheme val="minor"/>
      </rPr>
      <t>爷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</si>
  <si>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四行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</si>
  <si>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</si>
  <si>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>益福</t>
    </r>
    <r>
      <rPr>
        <sz val="11"/>
        <rFont val="ＭＳ Ｐゴシック"/>
        <family val="3"/>
        <charset val="134"/>
        <scheme val="minor"/>
      </rPr>
      <t>徕</t>
    </r>
  </si>
  <si>
    <r>
      <t>湖南益三家</t>
    </r>
    <r>
      <rPr>
        <sz val="11"/>
        <rFont val="ＭＳ Ｐゴシック"/>
        <family val="3"/>
        <charset val="134"/>
        <scheme val="minor"/>
      </rPr>
      <t>农</t>
    </r>
    <r>
      <rPr>
        <sz val="11"/>
        <rFont val="ＭＳ Ｐゴシック"/>
        <family val="3"/>
        <charset val="128"/>
        <scheme val="minor"/>
      </rPr>
      <t>文化有限公司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</si>
  <si>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威士忌; 果酒;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</si>
  <si>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安</t>
    </r>
    <r>
      <rPr>
        <sz val="11"/>
        <rFont val="ＭＳ Ｐゴシック"/>
        <family val="3"/>
        <charset val="134"/>
        <scheme val="minor"/>
      </rPr>
      <t>诺</t>
    </r>
    <r>
      <rPr>
        <sz val="11"/>
        <rFont val="ＭＳ Ｐゴシック"/>
        <family val="3"/>
        <charset val="128"/>
        <scheme val="minor"/>
      </rPr>
      <t>丘香</t>
    </r>
  </si>
  <si>
    <r>
      <t>烟台安</t>
    </r>
    <r>
      <rPr>
        <sz val="11"/>
        <rFont val="ＭＳ Ｐゴシック"/>
        <family val="3"/>
        <charset val="134"/>
        <scheme val="minor"/>
      </rPr>
      <t>诺</t>
    </r>
    <r>
      <rPr>
        <sz val="11"/>
        <rFont val="ＭＳ Ｐゴシック"/>
        <family val="3"/>
        <charset val="128"/>
        <scheme val="minor"/>
      </rPr>
      <t>酒庄有限公司</t>
    </r>
  </si>
  <si>
    <r>
      <t xml:space="preserve"> 伏特加酒; 威士忌;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</si>
  <si>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果酒;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露酒; 食用酒精; 黄酒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</si>
  <si>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拉古</t>
    </r>
    <r>
      <rPr>
        <sz val="11"/>
        <rFont val="ＭＳ Ｐゴシック"/>
        <family val="3"/>
        <charset val="134"/>
        <scheme val="minor"/>
      </rPr>
      <t>纳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</si>
  <si>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威士忌; 朗姆酒;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</si>
  <si>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钟</t>
    </r>
    <r>
      <rPr>
        <sz val="11"/>
        <rFont val="ＭＳ Ｐゴシック"/>
        <family val="3"/>
        <charset val="128"/>
        <scheme val="minor"/>
      </rPr>
      <t>起柏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</si>
  <si>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白酒; 米酒; 葡萄酒;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</si>
  <si>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t>西口</t>
    </r>
    <r>
      <rPr>
        <sz val="11"/>
        <rFont val="ＭＳ Ｐゴシック"/>
        <family val="3"/>
        <charset val="134"/>
        <scheme val="minor"/>
      </rPr>
      <t>满</t>
    </r>
    <r>
      <rPr>
        <sz val="11"/>
        <rFont val="ＭＳ Ｐゴシック"/>
        <family val="3"/>
        <charset val="128"/>
        <scheme val="minor"/>
      </rPr>
      <t>囤</t>
    </r>
  </si>
  <si>
    <r>
      <t>右玉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有家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</si>
  <si>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含酒精的气泡水; 威士忌;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</si>
  <si>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海南天星万康生物科技有限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</si>
  <si>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果酒(含酒精); 清酒;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预调</t>
    </r>
    <r>
      <rPr>
        <sz val="11"/>
        <rFont val="ＭＳ Ｐゴシック"/>
        <family val="3"/>
        <charset val="128"/>
        <scheme val="minor"/>
      </rPr>
      <t>甜酒; 黄酒</t>
    </r>
  </si>
  <si>
    <r>
      <t>四川</t>
    </r>
    <r>
      <rPr>
        <sz val="11"/>
        <rFont val="ＭＳ Ｐゴシック"/>
        <family val="3"/>
        <charset val="134"/>
        <scheme val="minor"/>
      </rPr>
      <t>顽</t>
    </r>
    <r>
      <rPr>
        <sz val="11"/>
        <rFont val="ＭＳ Ｐゴシック"/>
        <family val="3"/>
        <charset val="128"/>
        <scheme val="minor"/>
      </rPr>
      <t>偶科技有限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</si>
  <si>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>世</t>
    </r>
    <r>
      <rPr>
        <sz val="11"/>
        <rFont val="ＭＳ Ｐゴシック"/>
        <family val="3"/>
        <charset val="134"/>
        <scheme val="minor"/>
      </rPr>
      <t>宾</t>
    </r>
    <r>
      <rPr>
        <sz val="11"/>
        <rFont val="ＭＳ Ｐゴシック"/>
        <family val="3"/>
        <charset val="128"/>
        <scheme val="minor"/>
      </rPr>
      <t>台韵</t>
    </r>
    <r>
      <rPr>
        <sz val="11"/>
        <rFont val="ＭＳ Ｐゴシック"/>
        <family val="3"/>
        <charset val="134"/>
        <scheme val="minor"/>
      </rPr>
      <t>华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</si>
  <si>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州世</t>
    </r>
    <r>
      <rPr>
        <sz val="11"/>
        <rFont val="ＭＳ Ｐゴシック"/>
        <family val="3"/>
        <charset val="134"/>
        <scheme val="minor"/>
      </rPr>
      <t>宾</t>
    </r>
    <r>
      <rPr>
        <sz val="11"/>
        <rFont val="ＭＳ Ｐゴシック"/>
        <family val="3"/>
        <charset val="128"/>
        <scheme val="minor"/>
      </rPr>
      <t>台酒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</si>
  <si>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开江田城建</t>
    </r>
    <r>
      <rPr>
        <sz val="11"/>
        <rFont val="ＭＳ Ｐゴシック"/>
        <family val="3"/>
        <charset val="134"/>
        <scheme val="minor"/>
      </rPr>
      <t>设发</t>
    </r>
    <r>
      <rPr>
        <sz val="11"/>
        <rFont val="ＭＳ Ｐゴシック"/>
        <family val="3"/>
        <charset val="128"/>
        <scheme val="minor"/>
      </rPr>
      <t>展集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</si>
  <si>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高粱酒</t>
    </r>
  </si>
  <si>
    <r>
      <rPr>
        <sz val="11"/>
        <rFont val="ＭＳ Ｐゴシック"/>
        <family val="3"/>
        <charset val="134"/>
        <scheme val="minor"/>
      </rPr>
      <t>岁</t>
    </r>
    <r>
      <rPr>
        <sz val="11"/>
        <rFont val="ＭＳ Ｐゴシック"/>
        <family val="3"/>
        <charset val="128"/>
        <scheme val="minor"/>
      </rPr>
      <t>藏 GJ30</t>
    </r>
  </si>
  <si>
    <r>
      <t>安徽杯酒江湖酒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</si>
  <si>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衡</t>
    </r>
    <r>
      <rPr>
        <sz val="11"/>
        <rFont val="ＭＳ Ｐゴシック"/>
        <family val="3"/>
        <charset val="134"/>
        <scheme val="minor"/>
      </rPr>
      <t>绵</t>
    </r>
    <r>
      <rPr>
        <sz val="11"/>
        <rFont val="ＭＳ Ｐゴシック"/>
        <family val="3"/>
        <charset val="128"/>
        <scheme val="minor"/>
      </rPr>
      <t>白</t>
    </r>
  </si>
  <si>
    <r>
      <t>姜俊</t>
    </r>
    <r>
      <rPr>
        <sz val="11"/>
        <rFont val="ＭＳ Ｐゴシック"/>
        <family val="3"/>
        <charset val="134"/>
        <scheme val="minor"/>
      </rPr>
      <t>强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</si>
  <si>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酒; 果酒(含酒精); 白干酒(中国白酒); 白酒;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青稞酒; 食用酒精; 高粱酒; 黄酒</t>
    </r>
  </si>
  <si>
    <r>
      <t>民福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夏</t>
    </r>
  </si>
  <si>
    <r>
      <t xml:space="preserve">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苦味酒; 蜂蜜酒; 黄酒</t>
    </r>
  </si>
  <si>
    <r>
      <rPr>
        <sz val="11"/>
        <rFont val="ＭＳ Ｐゴシック"/>
        <family val="3"/>
        <charset val="134"/>
        <scheme val="minor"/>
      </rPr>
      <t>闷</t>
    </r>
    <r>
      <rPr>
        <sz val="11"/>
        <rFont val="ＭＳ Ｐゴシック"/>
        <family val="3"/>
        <charset val="128"/>
        <scheme val="minor"/>
      </rPr>
      <t>倒</t>
    </r>
    <r>
      <rPr>
        <sz val="11"/>
        <rFont val="ＭＳ Ｐゴシック"/>
        <family val="3"/>
        <charset val="134"/>
        <scheme val="minor"/>
      </rPr>
      <t>乌</t>
    </r>
    <r>
      <rPr>
        <sz val="11"/>
        <rFont val="ＭＳ Ｐゴシック"/>
        <family val="3"/>
        <charset val="128"/>
        <scheme val="minor"/>
      </rPr>
      <t>广</t>
    </r>
  </si>
  <si>
    <r>
      <t>内蒙古草原王后商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</si>
  <si>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葡萄酒; 蒸煮提取物(利口酒和烈酒);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</si>
  <si>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莫力达瓦达斡</t>
    </r>
    <r>
      <rPr>
        <sz val="11"/>
        <rFont val="ＭＳ Ｐゴシック"/>
        <family val="3"/>
        <charset val="134"/>
        <scheme val="minor"/>
      </rPr>
      <t>尔</t>
    </r>
    <r>
      <rPr>
        <sz val="11"/>
        <rFont val="ＭＳ Ｐゴシック"/>
        <family val="3"/>
        <charset val="128"/>
        <scheme val="minor"/>
      </rPr>
      <t>族自治旗谷泉酒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</si>
  <si>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主的开胃酒;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加烈葡萄酒; 果酒(含酒精); 桃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葡萄酒; 白葡萄酒;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起泡白葡萄酒</t>
    </r>
  </si>
  <si>
    <r>
      <t>广福宏</t>
    </r>
    <r>
      <rPr>
        <sz val="11"/>
        <rFont val="ＭＳ Ｐゴシック"/>
        <family val="3"/>
        <charset val="134"/>
        <scheme val="minor"/>
      </rPr>
      <t>图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</si>
  <si>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州广福酒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</si>
  <si>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>省大</t>
    </r>
    <r>
      <rPr>
        <sz val="11"/>
        <rFont val="ＭＳ Ｐゴシック"/>
        <family val="3"/>
        <charset val="134"/>
        <scheme val="minor"/>
      </rPr>
      <t>师</t>
    </r>
    <r>
      <rPr>
        <sz val="11"/>
        <rFont val="ＭＳ Ｐゴシック"/>
        <family val="3"/>
        <charset val="128"/>
        <scheme val="minor"/>
      </rPr>
      <t>美</t>
    </r>
  </si>
  <si>
    <r>
      <t>北京先通国</t>
    </r>
    <r>
      <rPr>
        <sz val="11"/>
        <rFont val="ＭＳ Ｐゴシック"/>
        <family val="3"/>
        <charset val="134"/>
        <scheme val="minor"/>
      </rPr>
      <t>际</t>
    </r>
    <r>
      <rPr>
        <sz val="11"/>
        <rFont val="ＭＳ Ｐゴシック"/>
        <family val="3"/>
        <charset val="128"/>
        <scheme val="minor"/>
      </rPr>
      <t>医</t>
    </r>
    <r>
      <rPr>
        <sz val="11"/>
        <rFont val="ＭＳ Ｐゴシック"/>
        <family val="3"/>
        <charset val="134"/>
        <scheme val="minor"/>
      </rPr>
      <t>药</t>
    </r>
    <r>
      <rPr>
        <sz val="11"/>
        <rFont val="ＭＳ Ｐゴシック"/>
        <family val="3"/>
        <charset val="128"/>
        <scheme val="minor"/>
      </rPr>
      <t>科技股份有限公司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</si>
  <si>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食用酒精; 高粱酒</t>
    </r>
  </si>
  <si>
    <r>
      <t>四川道</t>
    </r>
    <r>
      <rPr>
        <sz val="11"/>
        <rFont val="ＭＳ Ｐゴシック"/>
        <family val="3"/>
        <charset val="134"/>
        <scheme val="minor"/>
      </rPr>
      <t>扬</t>
    </r>
    <r>
      <rPr>
        <sz val="11"/>
        <rFont val="ＭＳ Ｐゴシック"/>
        <family val="3"/>
        <charset val="128"/>
        <scheme val="minor"/>
      </rPr>
      <t>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</si>
  <si>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朗姆酒;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</si>
  <si>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凯</t>
    </r>
    <r>
      <rPr>
        <sz val="11"/>
        <rFont val="ＭＳ Ｐゴシック"/>
        <family val="3"/>
        <charset val="128"/>
        <scheme val="minor"/>
      </rPr>
      <t>迪日耶·艾</t>
    </r>
    <r>
      <rPr>
        <sz val="11"/>
        <rFont val="ＭＳ Ｐゴシック"/>
        <family val="3"/>
        <charset val="134"/>
        <scheme val="minor"/>
      </rPr>
      <t>尔</t>
    </r>
    <r>
      <rPr>
        <sz val="11"/>
        <rFont val="ＭＳ Ｐゴシック"/>
        <family val="3"/>
        <charset val="128"/>
        <scheme val="minor"/>
      </rPr>
      <t>肯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</si>
  <si>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咖啡利口酒; 果酒(含酒精); 水果汽酒;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</si>
  <si>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九</t>
    </r>
    <r>
      <rPr>
        <sz val="11"/>
        <rFont val="ＭＳ Ｐゴシック"/>
        <family val="3"/>
        <charset val="134"/>
        <scheme val="minor"/>
      </rPr>
      <t>满怀</t>
    </r>
  </si>
  <si>
    <r>
      <t>海</t>
    </r>
    <r>
      <rPr>
        <sz val="11"/>
        <rFont val="ＭＳ Ｐゴシック"/>
        <family val="3"/>
        <charset val="134"/>
        <scheme val="minor"/>
      </rPr>
      <t>纳</t>
    </r>
    <r>
      <rPr>
        <sz val="11"/>
        <rFont val="ＭＳ Ｐゴシック"/>
        <family val="3"/>
        <charset val="128"/>
        <scheme val="minor"/>
      </rPr>
      <t>皓</t>
    </r>
  </si>
  <si>
    <r>
      <t>小</t>
    </r>
    <r>
      <rPr>
        <sz val="11"/>
        <rFont val="ＭＳ Ｐゴシック"/>
        <family val="3"/>
        <charset val="134"/>
        <scheme val="minor"/>
      </rPr>
      <t>鹊</t>
    </r>
    <r>
      <rPr>
        <sz val="11"/>
        <rFont val="ＭＳ Ｐゴシック"/>
        <family val="3"/>
        <charset val="128"/>
        <scheme val="minor"/>
      </rPr>
      <t>同学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</si>
  <si>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</si>
  <si>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百金山</t>
    </r>
  </si>
  <si>
    <r>
      <t xml:space="preserve"> 刺五加酒;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高粱酒</t>
    </r>
  </si>
  <si>
    <r>
      <t>尖嶂</t>
    </r>
    <r>
      <rPr>
        <sz val="11"/>
        <rFont val="ＭＳ Ｐゴシック"/>
        <family val="3"/>
        <charset val="134"/>
        <scheme val="minor"/>
      </rPr>
      <t>顶</t>
    </r>
  </si>
  <si>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敏德商</t>
    </r>
  </si>
  <si>
    <r>
      <t>深圳市湘德</t>
    </r>
    <r>
      <rPr>
        <sz val="11"/>
        <rFont val="ＭＳ Ｐゴシック"/>
        <family val="3"/>
        <charset val="134"/>
        <scheme val="minor"/>
      </rPr>
      <t>辉贸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</si>
  <si>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</si>
  <si>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乌兰</t>
    </r>
    <r>
      <rPr>
        <sz val="11"/>
        <rFont val="ＭＳ Ｐゴシック"/>
        <family val="3"/>
        <charset val="128"/>
        <scheme val="minor"/>
      </rPr>
      <t>木</t>
    </r>
    <r>
      <rPr>
        <sz val="11"/>
        <rFont val="ＭＳ Ｐゴシック"/>
        <family val="3"/>
        <charset val="134"/>
        <scheme val="minor"/>
      </rPr>
      <t>图</t>
    </r>
    <r>
      <rPr>
        <sz val="11"/>
        <rFont val="ＭＳ Ｐゴシック"/>
        <family val="3"/>
        <charset val="128"/>
        <scheme val="minor"/>
      </rPr>
      <t>山</t>
    </r>
  </si>
  <si>
    <r>
      <t xml:space="preserve"> 伏特加酒; 利口酒;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草本型利口酒; 黄酒</t>
    </r>
  </si>
  <si>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君台力</t>
    </r>
  </si>
  <si>
    <r>
      <t>秀</t>
    </r>
    <r>
      <rPr>
        <sz val="11"/>
        <rFont val="ＭＳ Ｐゴシック"/>
        <family val="3"/>
        <charset val="134"/>
        <scheme val="minor"/>
      </rPr>
      <t>丽</t>
    </r>
    <r>
      <rPr>
        <sz val="11"/>
        <rFont val="ＭＳ Ｐゴシック"/>
        <family val="3"/>
        <charset val="128"/>
        <scheme val="minor"/>
      </rPr>
      <t>人生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</si>
  <si>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康地利</t>
    </r>
  </si>
  <si>
    <r>
      <t>石家庄悦</t>
    </r>
    <r>
      <rPr>
        <sz val="11"/>
        <rFont val="ＭＳ Ｐゴシック"/>
        <family val="3"/>
        <charset val="134"/>
        <scheme val="minor"/>
      </rPr>
      <t>凯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</si>
  <si>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苹果酒; 葡萄酒; 青稞酒; 黄酒</t>
    </r>
  </si>
  <si>
    <r>
      <t>上海加派</t>
    </r>
    <r>
      <rPr>
        <sz val="11"/>
        <rFont val="ＭＳ Ｐゴシック"/>
        <family val="3"/>
        <charset val="134"/>
        <scheme val="minor"/>
      </rPr>
      <t>进</t>
    </r>
    <r>
      <rPr>
        <sz val="11"/>
        <rFont val="ＭＳ Ｐゴシック"/>
        <family val="3"/>
        <charset val="128"/>
        <scheme val="minor"/>
      </rPr>
      <t>出口有限公司</t>
    </r>
  </si>
  <si>
    <r>
      <t xml:space="preserve"> 伏特加酒; 利口酒; 威士忌; 朗姆酒; 果酒(含酒精); 清酒(日本米酒);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</si>
  <si>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云南土直楠</t>
    </r>
    <r>
      <rPr>
        <sz val="11"/>
        <rFont val="ＭＳ Ｐゴシック"/>
        <family val="3"/>
        <charset val="134"/>
        <scheme val="minor"/>
      </rPr>
      <t>农产</t>
    </r>
    <r>
      <rPr>
        <sz val="11"/>
        <rFont val="ＭＳ Ｐゴシック"/>
        <family val="3"/>
        <charset val="128"/>
        <scheme val="minor"/>
      </rPr>
      <t>品有限公司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</si>
  <si>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白酒; 米酒;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青稞酒;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</si>
  <si>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匠</t>
    </r>
    <r>
      <rPr>
        <sz val="11"/>
        <rFont val="ＭＳ Ｐゴシック"/>
        <family val="3"/>
        <charset val="134"/>
        <scheme val="minor"/>
      </rPr>
      <t>业</t>
    </r>
  </si>
  <si>
    <r>
      <rPr>
        <sz val="11"/>
        <rFont val="ＭＳ Ｐゴシック"/>
        <family val="3"/>
        <charset val="134"/>
        <scheme val="minor"/>
      </rPr>
      <t>鸿</t>
    </r>
    <r>
      <rPr>
        <sz val="11"/>
        <rFont val="ＭＳ Ｐゴシック"/>
        <family val="3"/>
        <charset val="128"/>
        <scheme val="minor"/>
      </rPr>
      <t>元姜関</t>
    </r>
  </si>
  <si>
    <r>
      <t>山</t>
    </r>
    <r>
      <rPr>
        <sz val="11"/>
        <rFont val="ＭＳ Ｐゴシック"/>
        <family val="3"/>
        <charset val="134"/>
        <scheme val="minor"/>
      </rPr>
      <t>东鸿钧</t>
    </r>
    <r>
      <rPr>
        <sz val="11"/>
        <rFont val="ＭＳ Ｐゴシック"/>
        <family val="3"/>
        <charset val="128"/>
        <scheme val="minor"/>
      </rPr>
      <t>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</si>
  <si>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>黄山梅是酒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</si>
  <si>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</si>
  <si>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昀</t>
    </r>
  </si>
  <si>
    <r>
      <t>何民</t>
    </r>
    <r>
      <rPr>
        <sz val="11"/>
        <rFont val="ＭＳ Ｐゴシック"/>
        <family val="3"/>
        <charset val="134"/>
        <scheme val="minor"/>
      </rPr>
      <t>强</t>
    </r>
  </si>
  <si>
    <r>
      <t>武当坤</t>
    </r>
    <r>
      <rPr>
        <sz val="11"/>
        <rFont val="ＭＳ Ｐゴシック"/>
        <family val="3"/>
        <charset val="134"/>
        <scheme val="minor"/>
      </rPr>
      <t>泽</t>
    </r>
  </si>
  <si>
    <r>
      <t>湖北武当仙尊酒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</si>
  <si>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</si>
  <si>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rPr>
        <sz val="11"/>
        <rFont val="ＭＳ Ｐゴシック"/>
        <family val="3"/>
        <charset val="134"/>
        <scheme val="minor"/>
      </rPr>
      <t>钢</t>
    </r>
    <r>
      <rPr>
        <sz val="11"/>
        <rFont val="ＭＳ Ｐゴシック"/>
        <family val="3"/>
        <charset val="128"/>
        <scheme val="minor"/>
      </rPr>
      <t>山瞻岳</t>
    </r>
  </si>
  <si>
    <r>
      <t>上海如是道建</t>
    </r>
    <r>
      <rPr>
        <sz val="11"/>
        <rFont val="ＭＳ Ｐゴシック"/>
        <family val="3"/>
        <charset val="134"/>
        <scheme val="minor"/>
      </rPr>
      <t>设</t>
    </r>
    <r>
      <rPr>
        <sz val="11"/>
        <rFont val="ＭＳ Ｐゴシック"/>
        <family val="3"/>
        <charset val="128"/>
        <scheme val="minor"/>
      </rPr>
      <t>中心</t>
    </r>
  </si>
  <si>
    <r>
      <t xml:space="preserve">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葡萄酒; 高粱酒; 黄酒</t>
    </r>
  </si>
  <si>
    <r>
      <t>中山市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利宝佳服装</t>
    </r>
    <r>
      <rPr>
        <sz val="11"/>
        <rFont val="ＭＳ Ｐゴシック"/>
        <family val="3"/>
        <charset val="134"/>
        <scheme val="minor"/>
      </rPr>
      <t>辅</t>
    </r>
    <r>
      <rPr>
        <sz val="11"/>
        <rFont val="ＭＳ Ｐゴシック"/>
        <family val="3"/>
        <charset val="128"/>
        <scheme val="minor"/>
      </rPr>
      <t>料有限公司</t>
    </r>
  </si>
  <si>
    <r>
      <t>姚</t>
    </r>
    <r>
      <rPr>
        <sz val="11"/>
        <rFont val="ＭＳ Ｐゴシック"/>
        <family val="3"/>
        <charset val="134"/>
        <scheme val="minor"/>
      </rPr>
      <t>锦</t>
    </r>
    <r>
      <rPr>
        <sz val="11"/>
        <rFont val="ＭＳ Ｐゴシック"/>
        <family val="3"/>
        <charset val="128"/>
        <scheme val="minor"/>
      </rPr>
      <t>程</t>
    </r>
  </si>
  <si>
    <r>
      <t>酥方</t>
    </r>
    <r>
      <rPr>
        <sz val="11"/>
        <rFont val="ＭＳ Ｐゴシック"/>
        <family val="3"/>
        <charset val="134"/>
        <scheme val="minor"/>
      </rPr>
      <t>斋</t>
    </r>
  </si>
  <si>
    <r>
      <t>上海伊</t>
    </r>
    <r>
      <rPr>
        <sz val="11"/>
        <rFont val="ＭＳ Ｐゴシック"/>
        <family val="3"/>
        <charset val="134"/>
        <scheme val="minor"/>
      </rPr>
      <t>辉农业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</si>
  <si>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烈酒;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白葡萄酒;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高粱酒; 黄酒</t>
    </r>
  </si>
  <si>
    <r>
      <t>彩云之</t>
    </r>
    <r>
      <rPr>
        <sz val="11"/>
        <rFont val="ＭＳ Ｐゴシック"/>
        <family val="3"/>
        <charset val="134"/>
        <scheme val="minor"/>
      </rPr>
      <t>农</t>
    </r>
  </si>
  <si>
    <r>
      <rPr>
        <sz val="11"/>
        <rFont val="ＭＳ Ｐゴシック"/>
        <family val="3"/>
        <charset val="134"/>
        <scheme val="minor"/>
      </rPr>
      <t>诸暨</t>
    </r>
    <r>
      <rPr>
        <sz val="11"/>
        <rFont val="ＭＳ Ｐゴシック"/>
        <family val="3"/>
        <charset val="128"/>
        <scheme val="minor"/>
      </rPr>
      <t>市往后余生酒作坊(个体工商</t>
    </r>
    <r>
      <rPr>
        <sz val="11"/>
        <rFont val="ＭＳ Ｐゴシック"/>
        <family val="3"/>
        <charset val="134"/>
        <scheme val="minor"/>
      </rPr>
      <t>户</t>
    </r>
    <r>
      <rPr>
        <sz val="11"/>
        <rFont val="ＭＳ Ｐゴシック"/>
        <family val="3"/>
        <charset val="128"/>
        <scheme val="minor"/>
      </rPr>
      <t>)</t>
    </r>
  </si>
  <si>
    <r>
      <t xml:space="preserve"> 果酒; 清酒; 烈性干酒;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米酒; 高粱酒; 黄酒</t>
    </r>
  </si>
  <si>
    <r>
      <t>玉武</t>
    </r>
    <r>
      <rPr>
        <sz val="11"/>
        <rFont val="ＭＳ Ｐゴシック"/>
        <family val="3"/>
        <charset val="134"/>
        <scheme val="minor"/>
      </rPr>
      <t>门</t>
    </r>
  </si>
  <si>
    <r>
      <rPr>
        <sz val="11"/>
        <rFont val="ＭＳ Ｐゴシック"/>
        <family val="3"/>
        <charset val="134"/>
        <scheme val="minor"/>
      </rPr>
      <t>韩</t>
    </r>
    <r>
      <rPr>
        <sz val="11"/>
        <rFont val="ＭＳ Ｐゴシック"/>
        <family val="3"/>
        <charset val="128"/>
        <scheme val="minor"/>
      </rPr>
      <t>中</t>
    </r>
    <r>
      <rPr>
        <sz val="11"/>
        <rFont val="ＭＳ Ｐゴシック"/>
        <family val="3"/>
        <charset val="134"/>
        <scheme val="minor"/>
      </rPr>
      <t>琼</t>
    </r>
  </si>
  <si>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富金尊</t>
    </r>
  </si>
  <si>
    <r>
      <t>衡</t>
    </r>
    <r>
      <rPr>
        <sz val="11"/>
        <rFont val="ＭＳ Ｐゴシック"/>
        <family val="3"/>
        <charset val="134"/>
        <scheme val="minor"/>
      </rPr>
      <t>骏烧</t>
    </r>
    <r>
      <rPr>
        <sz val="11"/>
        <rFont val="ＭＳ Ｐゴシック"/>
        <family val="3"/>
        <charset val="128"/>
        <scheme val="minor"/>
      </rPr>
      <t>坊</t>
    </r>
  </si>
  <si>
    <r>
      <t xml:space="preserve"> 果酒;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食用酒精; 高粱酒; 黄酒</t>
    </r>
  </si>
  <si>
    <r>
      <rPr>
        <sz val="11"/>
        <rFont val="ＭＳ Ｐゴシック"/>
        <family val="3"/>
        <charset val="134"/>
        <scheme val="minor"/>
      </rPr>
      <t>郑壶</t>
    </r>
    <r>
      <rPr>
        <sz val="11"/>
        <rFont val="ＭＳ Ｐゴシック"/>
        <family val="3"/>
        <charset val="128"/>
        <scheme val="minor"/>
      </rPr>
      <t>仙</t>
    </r>
  </si>
  <si>
    <r>
      <t>富</t>
    </r>
    <r>
      <rPr>
        <sz val="11"/>
        <rFont val="ＭＳ Ｐゴシック"/>
        <family val="3"/>
        <charset val="134"/>
        <scheme val="minor"/>
      </rPr>
      <t>尔</t>
    </r>
    <r>
      <rPr>
        <sz val="11"/>
        <rFont val="ＭＳ Ｐゴシック"/>
        <family val="3"/>
        <charset val="128"/>
        <scheme val="minor"/>
      </rPr>
      <t>奈斯 PITON DE LA FOURNAISE</t>
    </r>
  </si>
  <si>
    <r>
      <rPr>
        <sz val="11"/>
        <rFont val="ＭＳ Ｐゴシック"/>
        <family val="3"/>
        <charset val="134"/>
        <scheme val="minor"/>
      </rPr>
      <t>劲</t>
    </r>
    <r>
      <rPr>
        <sz val="11"/>
        <rFont val="ＭＳ Ｐゴシック"/>
        <family val="3"/>
        <charset val="128"/>
        <scheme val="minor"/>
      </rPr>
      <t>牌有限公司</t>
    </r>
  </si>
  <si>
    <r>
      <t>河北三佑商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</si>
  <si>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餐后酒(利口酒和烈酒); 黄酒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</si>
  <si>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方橘甄</t>
    </r>
  </si>
  <si>
    <r>
      <rPr>
        <sz val="11"/>
        <rFont val="ＭＳ Ｐゴシック"/>
        <family val="3"/>
        <charset val="134"/>
        <scheme val="minor"/>
      </rPr>
      <t>铧镕</t>
    </r>
    <r>
      <rPr>
        <sz val="11"/>
        <rFont val="ＭＳ Ｐゴシック"/>
        <family val="3"/>
        <charset val="128"/>
        <scheme val="minor"/>
      </rPr>
      <t>橘耀(重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)大健康管理有限公司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</si>
  <si>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</si>
  <si>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以朗姆酒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利口酒;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品; 果酒(含酒精); 白酒; 葡萄酒; 蒸煮提取物(利口酒和烈酒); 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制好的葡萄酒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</si>
  <si>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彭</t>
    </r>
    <r>
      <rPr>
        <sz val="11"/>
        <rFont val="ＭＳ Ｐゴシック"/>
        <family val="3"/>
        <charset val="134"/>
        <scheme val="minor"/>
      </rPr>
      <t>诗</t>
    </r>
    <r>
      <rPr>
        <sz val="11"/>
        <rFont val="ＭＳ Ｐゴシック"/>
        <family val="3"/>
        <charset val="128"/>
        <scheme val="minor"/>
      </rPr>
      <t>学</t>
    </r>
  </si>
  <si>
    <r>
      <rPr>
        <sz val="11"/>
        <rFont val="ＭＳ Ｐゴシック"/>
        <family val="3"/>
        <charset val="134"/>
        <scheme val="minor"/>
      </rPr>
      <t>宫</t>
    </r>
    <r>
      <rPr>
        <sz val="11"/>
        <rFont val="ＭＳ Ｐゴシック"/>
        <family val="3"/>
        <charset val="128"/>
        <scheme val="minor"/>
      </rPr>
      <t>旨</t>
    </r>
  </si>
  <si>
    <r>
      <t>雷</t>
    </r>
    <r>
      <rPr>
        <sz val="11"/>
        <rFont val="ＭＳ Ｐゴシック"/>
        <family val="3"/>
        <charset val="134"/>
        <scheme val="minor"/>
      </rPr>
      <t>丽</t>
    </r>
    <r>
      <rPr>
        <sz val="11"/>
        <rFont val="ＭＳ Ｐゴシック"/>
        <family val="3"/>
        <charset val="128"/>
        <scheme val="minor"/>
      </rPr>
      <t>斯琪</t>
    </r>
  </si>
  <si>
    <r>
      <t>汕</t>
    </r>
    <r>
      <rPr>
        <sz val="11"/>
        <rFont val="ＭＳ Ｐゴシック"/>
        <family val="3"/>
        <charset val="134"/>
        <scheme val="minor"/>
      </rPr>
      <t>头</t>
    </r>
    <r>
      <rPr>
        <sz val="11"/>
        <rFont val="ＭＳ Ｐゴシック"/>
        <family val="3"/>
        <charset val="128"/>
        <scheme val="minor"/>
      </rPr>
      <t>市雷</t>
    </r>
    <r>
      <rPr>
        <sz val="11"/>
        <rFont val="ＭＳ Ｐゴシック"/>
        <family val="3"/>
        <charset val="134"/>
        <scheme val="minor"/>
      </rPr>
      <t>丽</t>
    </r>
    <r>
      <rPr>
        <sz val="11"/>
        <rFont val="ＭＳ Ｐゴシック"/>
        <family val="3"/>
        <charset val="128"/>
        <scheme val="minor"/>
      </rPr>
      <t>斯琪商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</si>
  <si>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开胃酒;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</si>
  <si>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朗姆酒;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黄酒</t>
    </r>
  </si>
  <si>
    <r>
      <t>祥瑞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升</t>
    </r>
  </si>
  <si>
    <r>
      <t>沈程</t>
    </r>
    <r>
      <rPr>
        <sz val="11"/>
        <rFont val="ＭＳ Ｐゴシック"/>
        <family val="3"/>
        <charset val="134"/>
        <scheme val="minor"/>
      </rPr>
      <t>鹏</t>
    </r>
  </si>
  <si>
    <r>
      <t xml:space="preserve"> 威士忌; 果酒(含酒精); 梅酒;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</si>
  <si>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皖</t>
    </r>
    <r>
      <rPr>
        <sz val="11"/>
        <rFont val="ＭＳ Ｐゴシック"/>
        <family val="3"/>
        <charset val="134"/>
        <scheme val="minor"/>
      </rPr>
      <t>砚</t>
    </r>
  </si>
  <si>
    <r>
      <t xml:space="preserve"> 利口酒;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米酒;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</si>
  <si>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浙江五芳</t>
    </r>
    <r>
      <rPr>
        <sz val="11"/>
        <rFont val="ＭＳ Ｐゴシック"/>
        <family val="3"/>
        <charset val="134"/>
        <scheme val="minor"/>
      </rPr>
      <t>斋实业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</si>
  <si>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</si>
  <si>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伏特加酒;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葡萄酒; 蜂蜜酒;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</si>
  <si>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郎玉</t>
    </r>
    <r>
      <rPr>
        <sz val="11"/>
        <rFont val="ＭＳ Ｐゴシック"/>
        <family val="3"/>
        <charset val="134"/>
        <scheme val="minor"/>
      </rPr>
      <t>红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</si>
  <si>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食用酒精; 黄酒</t>
    </r>
  </si>
  <si>
    <r>
      <rPr>
        <sz val="11"/>
        <rFont val="ＭＳ Ｐゴシック"/>
        <family val="3"/>
        <charset val="134"/>
        <scheme val="minor"/>
      </rPr>
      <t>艺乡</t>
    </r>
    <r>
      <rPr>
        <sz val="11"/>
        <rFont val="ＭＳ Ｐゴシック"/>
        <family val="3"/>
        <charset val="128"/>
        <scheme val="minor"/>
      </rPr>
      <t>故事</t>
    </r>
  </si>
  <si>
    <r>
      <rPr>
        <sz val="11"/>
        <rFont val="ＭＳ Ｐゴシック"/>
        <family val="3"/>
        <charset val="134"/>
        <scheme val="minor"/>
      </rPr>
      <t>艺乡</t>
    </r>
    <r>
      <rPr>
        <sz val="11"/>
        <rFont val="ＭＳ Ｐゴシック"/>
        <family val="3"/>
        <charset val="128"/>
        <scheme val="minor"/>
      </rPr>
      <t>建</t>
    </r>
    <r>
      <rPr>
        <sz val="11"/>
        <rFont val="ＭＳ Ｐゴシック"/>
        <family val="3"/>
        <charset val="134"/>
        <scheme val="minor"/>
      </rPr>
      <t>设</t>
    </r>
    <r>
      <rPr>
        <sz val="11"/>
        <rFont val="ＭＳ Ｐゴシック"/>
        <family val="3"/>
        <charset val="128"/>
        <scheme val="minor"/>
      </rPr>
      <t>有限公司</t>
    </r>
  </si>
  <si>
    <r>
      <t>正</t>
    </r>
    <r>
      <rPr>
        <sz val="11"/>
        <rFont val="ＭＳ Ｐゴシック"/>
        <family val="3"/>
        <charset val="134"/>
        <scheme val="minor"/>
      </rPr>
      <t>驰</t>
    </r>
    <r>
      <rPr>
        <sz val="11"/>
        <rFont val="ＭＳ Ｐゴシック"/>
        <family val="3"/>
        <charset val="128"/>
        <scheme val="minor"/>
      </rPr>
      <t>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南京有限公司</t>
    </r>
  </si>
  <si>
    <r>
      <t xml:space="preserve"> 威士忌; 朗姆酒;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</si>
  <si>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洋河谷雨</t>
    </r>
    <r>
      <rPr>
        <sz val="11"/>
        <rFont val="ＭＳ Ｐゴシック"/>
        <family val="3"/>
        <charset val="134"/>
        <scheme val="minor"/>
      </rPr>
      <t>论坛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</si>
  <si>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</si>
  <si>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又</t>
    </r>
    <r>
      <rPr>
        <sz val="11"/>
        <rFont val="ＭＳ Ｐゴシック"/>
        <family val="3"/>
        <charset val="134"/>
        <scheme val="minor"/>
      </rPr>
      <t>见</t>
    </r>
    <r>
      <rPr>
        <sz val="11"/>
        <rFont val="ＭＳ Ｐゴシック"/>
        <family val="3"/>
        <charset val="128"/>
        <scheme val="minor"/>
      </rPr>
      <t>杏花村</t>
    </r>
  </si>
  <si>
    <r>
      <t>宇邦</t>
    </r>
    <r>
      <rPr>
        <sz val="11"/>
        <rFont val="ＭＳ Ｐゴシック"/>
        <family val="3"/>
        <charset val="134"/>
        <scheme val="minor"/>
      </rPr>
      <t>优</t>
    </r>
    <r>
      <rPr>
        <sz val="11"/>
        <rFont val="ＭＳ Ｐゴシック"/>
        <family val="3"/>
        <charset val="128"/>
        <scheme val="minor"/>
      </rPr>
      <t>品</t>
    </r>
  </si>
  <si>
    <r>
      <t>深圳市宇邦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</si>
  <si>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含酒精的气泡水; 开胃酒; 果酒; 梅酒;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</si>
  <si>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t>太谷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谷味源种植</t>
    </r>
    <r>
      <rPr>
        <sz val="11"/>
        <rFont val="ＭＳ Ｐゴシック"/>
        <family val="3"/>
        <charset val="134"/>
        <scheme val="minor"/>
      </rPr>
      <t>专业</t>
    </r>
    <r>
      <rPr>
        <sz val="11"/>
        <rFont val="ＭＳ Ｐゴシック"/>
        <family val="3"/>
        <charset val="128"/>
        <scheme val="minor"/>
      </rPr>
      <t>合作社</t>
    </r>
  </si>
  <si>
    <r>
      <t xml:space="preserve"> 威士忌;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葡萄酒; 蜂蜜酒;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</si>
  <si>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李</t>
    </r>
    <r>
      <rPr>
        <sz val="11"/>
        <rFont val="ＭＳ Ｐゴシック"/>
        <family val="3"/>
        <charset val="134"/>
        <scheme val="minor"/>
      </rPr>
      <t>连</t>
    </r>
    <r>
      <rPr>
        <sz val="11"/>
        <rFont val="ＭＳ Ｐゴシック"/>
        <family val="3"/>
        <charset val="128"/>
        <scheme val="minor"/>
      </rPr>
      <t>川</t>
    </r>
  </si>
  <si>
    <r>
      <t xml:space="preserve"> 利口酒;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</si>
  <si>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小米科技有限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</si>
  <si>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米酒;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</si>
  <si>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云南</t>
    </r>
    <r>
      <rPr>
        <sz val="11"/>
        <rFont val="ＭＳ Ｐゴシック"/>
        <family val="3"/>
        <charset val="134"/>
        <scheme val="minor"/>
      </rPr>
      <t>动</t>
    </r>
    <r>
      <rPr>
        <sz val="11"/>
        <rFont val="ＭＳ Ｐゴシック"/>
        <family val="3"/>
        <charset val="128"/>
        <scheme val="minor"/>
      </rPr>
      <t>感生活商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</si>
  <si>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高粱酒; 黄酒</t>
    </r>
  </si>
  <si>
    <r>
      <t>花之</t>
    </r>
    <r>
      <rPr>
        <sz val="11"/>
        <rFont val="ＭＳ Ｐゴシック"/>
        <family val="3"/>
        <charset val="134"/>
        <scheme val="minor"/>
      </rPr>
      <t>凤</t>
    </r>
  </si>
  <si>
    <r>
      <t>福安柒玖供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</si>
  <si>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</si>
  <si>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七安</t>
    </r>
    <r>
      <rPr>
        <sz val="11"/>
        <rFont val="ＭＳ Ｐゴシック"/>
        <family val="3"/>
        <charset val="134"/>
        <scheme val="minor"/>
      </rPr>
      <t>贡</t>
    </r>
  </si>
  <si>
    <r>
      <t>王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芝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</si>
  <si>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家世家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坊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</si>
  <si>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家酒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</si>
  <si>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</si>
  <si>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 xml:space="preserve">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露酒; 高粱酒; 黄酒</t>
    </r>
  </si>
  <si>
    <r>
      <rPr>
        <sz val="11"/>
        <rFont val="ＭＳ Ｐゴシック"/>
        <family val="3"/>
        <charset val="134"/>
        <scheme val="minor"/>
      </rPr>
      <t>单</t>
    </r>
    <r>
      <rPr>
        <sz val="11"/>
        <rFont val="ＭＳ Ｐゴシック"/>
        <family val="3"/>
        <charset val="128"/>
        <scheme val="minor"/>
      </rPr>
      <t>士良</t>
    </r>
  </si>
  <si>
    <r>
      <t xml:space="preserve"> 威士忌; 开胃酒; 果酒(含酒精); 清酒;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</si>
  <si>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rPr>
        <sz val="11"/>
        <rFont val="ＭＳ Ｐゴシック"/>
        <family val="3"/>
        <charset val="134"/>
        <scheme val="minor"/>
      </rPr>
      <t>亚马兰</t>
    </r>
    <r>
      <rPr>
        <sz val="11"/>
        <rFont val="ＭＳ Ｐゴシック"/>
        <family val="3"/>
        <charset val="128"/>
        <scheme val="minor"/>
      </rPr>
      <t>斯</t>
    </r>
  </si>
  <si>
    <r>
      <t>江西</t>
    </r>
    <r>
      <rPr>
        <sz val="11"/>
        <rFont val="ＭＳ Ｐゴシック"/>
        <family val="3"/>
        <charset val="134"/>
        <scheme val="minor"/>
      </rPr>
      <t>蜗</t>
    </r>
    <r>
      <rPr>
        <sz val="11"/>
        <rFont val="ＭＳ Ｐゴシック"/>
        <family val="3"/>
        <charset val="128"/>
        <scheme val="minor"/>
      </rPr>
      <t>牛慢慢爬供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</si>
  <si>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餐后酒(利口酒和烈酒)</t>
    </r>
  </si>
  <si>
    <r>
      <t>川丫</t>
    </r>
    <r>
      <rPr>
        <sz val="11"/>
        <rFont val="ＭＳ Ｐゴシック"/>
        <family val="3"/>
        <charset val="134"/>
        <scheme val="minor"/>
      </rPr>
      <t>头</t>
    </r>
  </si>
  <si>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沙澳航食品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</si>
  <si>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开胃酒;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</si>
  <si>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裕福</t>
    </r>
    <r>
      <rPr>
        <sz val="11"/>
        <rFont val="ＭＳ Ｐゴシック"/>
        <family val="3"/>
        <charset val="134"/>
        <scheme val="minor"/>
      </rPr>
      <t>华</t>
    </r>
  </si>
  <si>
    <r>
      <t>小</t>
    </r>
    <r>
      <rPr>
        <sz val="11"/>
        <rFont val="ＭＳ Ｐゴシック"/>
        <family val="3"/>
        <charset val="134"/>
        <scheme val="minor"/>
      </rPr>
      <t>风</t>
    </r>
    <r>
      <rPr>
        <sz val="11"/>
        <rFont val="ＭＳ Ｐゴシック"/>
        <family val="3"/>
        <charset val="128"/>
        <scheme val="minor"/>
      </rPr>
      <t>起兮</t>
    </r>
  </si>
  <si>
    <r>
      <t>清</t>
    </r>
    <r>
      <rPr>
        <sz val="11"/>
        <rFont val="ＭＳ Ｐゴシック"/>
        <family val="3"/>
        <charset val="134"/>
        <scheme val="minor"/>
      </rPr>
      <t>远</t>
    </r>
    <r>
      <rPr>
        <sz val="11"/>
        <rFont val="ＭＳ Ｐゴシック"/>
        <family val="3"/>
        <charset val="128"/>
        <scheme val="minor"/>
      </rPr>
      <t>市小</t>
    </r>
    <r>
      <rPr>
        <sz val="11"/>
        <rFont val="ＭＳ Ｐゴシック"/>
        <family val="3"/>
        <charset val="134"/>
        <scheme val="minor"/>
      </rPr>
      <t>风</t>
    </r>
    <r>
      <rPr>
        <sz val="11"/>
        <rFont val="ＭＳ Ｐゴシック"/>
        <family val="3"/>
        <charset val="128"/>
        <scheme val="minor"/>
      </rPr>
      <t>起兮科技服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</si>
  <si>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</si>
  <si>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杭州卓色品牌</t>
    </r>
    <r>
      <rPr>
        <sz val="11"/>
        <rFont val="ＭＳ Ｐゴシック"/>
        <family val="3"/>
        <charset val="134"/>
        <scheme val="minor"/>
      </rPr>
      <t>设计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</si>
  <si>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</si>
  <si>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五岳</t>
    </r>
    <r>
      <rPr>
        <sz val="11"/>
        <rFont val="ＭＳ Ｐゴシック"/>
        <family val="3"/>
        <charset val="134"/>
        <scheme val="minor"/>
      </rPr>
      <t>苍</t>
    </r>
    <r>
      <rPr>
        <sz val="11"/>
        <rFont val="ＭＳ Ｐゴシック"/>
        <family val="3"/>
        <charset val="128"/>
        <scheme val="minor"/>
      </rPr>
      <t>穹</t>
    </r>
  </si>
  <si>
    <r>
      <t xml:space="preserve"> 伏特加酒;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蜂蜜酒; 黄酒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</si>
  <si>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</si>
  <si>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谊</t>
    </r>
    <r>
      <rPr>
        <sz val="11"/>
        <rFont val="ＭＳ Ｐゴシック"/>
        <family val="3"/>
        <charset val="128"/>
        <scheme val="minor"/>
      </rPr>
      <t>量液</t>
    </r>
  </si>
  <si>
    <r>
      <t>眉山市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坡区金</t>
    </r>
    <r>
      <rPr>
        <sz val="11"/>
        <rFont val="ＭＳ Ｐゴシック"/>
        <family val="3"/>
        <charset val="134"/>
        <scheme val="minor"/>
      </rPr>
      <t>钟</t>
    </r>
    <r>
      <rPr>
        <sz val="11"/>
        <rFont val="ＭＳ Ｐゴシック"/>
        <family val="3"/>
        <charset val="128"/>
        <scheme val="minor"/>
      </rPr>
      <t>白酒厂</t>
    </r>
  </si>
  <si>
    <r>
      <t xml:space="preserve"> 含酒精的水果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甜酒;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露酒; 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用烈酒; 高粱酒</t>
    </r>
  </si>
  <si>
    <r>
      <t>百福</t>
    </r>
    <r>
      <rPr>
        <sz val="11"/>
        <rFont val="ＭＳ Ｐゴシック"/>
        <family val="3"/>
        <charset val="134"/>
        <scheme val="minor"/>
      </rPr>
      <t>齐</t>
    </r>
    <r>
      <rPr>
        <sz val="11"/>
        <rFont val="ＭＳ Ｐゴシック"/>
        <family val="3"/>
        <charset val="128"/>
        <scheme val="minor"/>
      </rPr>
      <t>天</t>
    </r>
  </si>
  <si>
    <r>
      <t>泉州市丰</t>
    </r>
    <r>
      <rPr>
        <sz val="11"/>
        <rFont val="ＭＳ Ｐゴシック"/>
        <family val="3"/>
        <charset val="134"/>
        <scheme val="minor"/>
      </rPr>
      <t>泽</t>
    </r>
    <r>
      <rPr>
        <sz val="11"/>
        <rFont val="ＭＳ Ｐゴシック"/>
        <family val="3"/>
        <charset val="128"/>
        <scheme val="minor"/>
      </rPr>
      <t>区怡</t>
    </r>
    <r>
      <rPr>
        <sz val="11"/>
        <rFont val="ＭＳ Ｐゴシック"/>
        <family val="3"/>
        <charset val="134"/>
        <scheme val="minor"/>
      </rPr>
      <t>娅贸</t>
    </r>
    <r>
      <rPr>
        <sz val="11"/>
        <rFont val="ＭＳ Ｐゴシック"/>
        <family val="3"/>
        <charset val="128"/>
        <scheme val="minor"/>
      </rPr>
      <t>易商行</t>
    </r>
  </si>
  <si>
    <r>
      <t xml:space="preserve"> 含酒精的气泡水; 朗姆酒;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苹果酒; 葡萄酒; 黄酒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</si>
  <si>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少立</t>
    </r>
  </si>
  <si>
    <r>
      <t xml:space="preserve"> 含酒精的气泡水;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</si>
  <si>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勋</t>
    </r>
    <r>
      <rPr>
        <sz val="11"/>
        <rFont val="ＭＳ Ｐゴシック"/>
        <family val="3"/>
        <charset val="128"/>
        <scheme val="minor"/>
      </rPr>
      <t>爵人生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</si>
  <si>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承</t>
    </r>
    <r>
      <rPr>
        <sz val="11"/>
        <rFont val="ＭＳ Ｐゴシック"/>
        <family val="3"/>
        <charset val="134"/>
        <scheme val="minor"/>
      </rPr>
      <t>勋</t>
    </r>
  </si>
  <si>
    <r>
      <t xml:space="preserve"> 伏特加酒;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烈酒; 甜果酒;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黄酒</t>
    </r>
  </si>
  <si>
    <r>
      <t>普逸</t>
    </r>
    <r>
      <rPr>
        <sz val="11"/>
        <rFont val="ＭＳ Ｐゴシック"/>
        <family val="3"/>
        <charset val="134"/>
        <scheme val="minor"/>
      </rPr>
      <t>车</t>
    </r>
    <r>
      <rPr>
        <sz val="11"/>
        <rFont val="ＭＳ Ｐゴシック"/>
        <family val="3"/>
        <charset val="128"/>
        <scheme val="minor"/>
      </rPr>
      <t>之恋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</si>
  <si>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普逸精工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</si>
  <si>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 xml:space="preserve">力酒; 开胃酒;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茴香酒(利口酒); 薄荷酒; 青稞酒; 黄酒</t>
    </r>
  </si>
  <si>
    <r>
      <rPr>
        <sz val="11"/>
        <rFont val="ＭＳ Ｐゴシック"/>
        <family val="3"/>
        <charset val="134"/>
        <scheme val="minor"/>
      </rPr>
      <t>见</t>
    </r>
    <r>
      <rPr>
        <sz val="11"/>
        <rFont val="ＭＳ Ｐゴシック"/>
        <family val="3"/>
        <charset val="128"/>
        <scheme val="minor"/>
      </rPr>
      <t>年</t>
    </r>
  </si>
  <si>
    <r>
      <rPr>
        <sz val="11"/>
        <rFont val="ＭＳ Ｐゴシック"/>
        <family val="3"/>
        <charset val="134"/>
        <scheme val="minor"/>
      </rPr>
      <t>钟银</t>
    </r>
    <r>
      <rPr>
        <sz val="11"/>
        <rFont val="ＭＳ Ｐゴシック"/>
        <family val="3"/>
        <charset val="128"/>
        <scheme val="minor"/>
      </rPr>
      <t>英</t>
    </r>
  </si>
  <si>
    <r>
      <t>芳草</t>
    </r>
    <r>
      <rPr>
        <sz val="11"/>
        <rFont val="ＭＳ Ｐゴシック"/>
        <family val="3"/>
        <charset val="134"/>
        <scheme val="minor"/>
      </rPr>
      <t>纲</t>
    </r>
    <r>
      <rPr>
        <sz val="11"/>
        <rFont val="ＭＳ Ｐゴシック"/>
        <family val="3"/>
        <charset val="128"/>
        <scheme val="minor"/>
      </rPr>
      <t>目</t>
    </r>
  </si>
  <si>
    <r>
      <t xml:space="preserve"> 开胃酒;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青稞酒; 高粱酒</t>
    </r>
  </si>
  <si>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花人</t>
    </r>
  </si>
  <si>
    <r>
      <t>吉林省中科特殊食品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新研究院有限公司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</si>
  <si>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威士忌;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</si>
  <si>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承歌</t>
    </r>
  </si>
  <si>
    <r>
      <t>疆小</t>
    </r>
    <r>
      <rPr>
        <sz val="11"/>
        <rFont val="ＭＳ Ｐゴシック"/>
        <family val="3"/>
        <charset val="134"/>
        <scheme val="minor"/>
      </rPr>
      <t>飒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</si>
  <si>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焦</t>
    </r>
    <r>
      <rPr>
        <sz val="11"/>
        <rFont val="ＭＳ Ｐゴシック"/>
        <family val="3"/>
        <charset val="134"/>
        <scheme val="minor"/>
      </rPr>
      <t>东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</si>
  <si>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</si>
  <si>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元</t>
    </r>
    <r>
      <rPr>
        <sz val="11"/>
        <rFont val="ＭＳ Ｐゴシック"/>
        <family val="3"/>
        <charset val="134"/>
        <scheme val="minor"/>
      </rPr>
      <t>鲍</t>
    </r>
    <r>
      <rPr>
        <sz val="11"/>
        <rFont val="ＭＳ Ｐゴシック"/>
        <family val="3"/>
        <charset val="128"/>
        <scheme val="minor"/>
      </rPr>
      <t>蹄</t>
    </r>
  </si>
  <si>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州沈万三食品科技有限公司</t>
    </r>
  </si>
  <si>
    <r>
      <t>中利用(北京)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</si>
  <si>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</si>
  <si>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养秘</t>
    </r>
    <r>
      <rPr>
        <sz val="11"/>
        <rFont val="ＭＳ Ｐゴシック"/>
        <family val="3"/>
        <charset val="134"/>
        <scheme val="minor"/>
      </rPr>
      <t>师</t>
    </r>
  </si>
  <si>
    <r>
      <t>山西屯香留味餐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</si>
  <si>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甜酒; 白酒; 米酒; 高粱酒;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</si>
  <si>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</si>
  <si>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酒集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</si>
  <si>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枣</t>
    </r>
    <r>
      <rPr>
        <sz val="11"/>
        <rFont val="ＭＳ Ｐゴシック"/>
        <family val="3"/>
        <charset val="128"/>
        <scheme val="minor"/>
      </rPr>
      <t>园春</t>
    </r>
  </si>
  <si>
    <r>
      <t>延安喜源成企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</si>
  <si>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甜酒; 白酒; 米酒; 青稞酒;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</si>
  <si>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遇仙</t>
    </r>
    <r>
      <rPr>
        <sz val="11"/>
        <rFont val="ＭＳ Ｐゴシック"/>
        <family val="3"/>
        <charset val="134"/>
        <scheme val="minor"/>
      </rPr>
      <t>桥</t>
    </r>
  </si>
  <si>
    <r>
      <rPr>
        <sz val="11"/>
        <rFont val="ＭＳ Ｐゴシック"/>
        <family val="3"/>
        <charset val="134"/>
        <scheme val="minor"/>
      </rPr>
      <t>绵</t>
    </r>
    <r>
      <rPr>
        <sz val="11"/>
        <rFont val="ＭＳ Ｐゴシック"/>
        <family val="3"/>
        <charset val="128"/>
        <scheme val="minor"/>
      </rPr>
      <t>竹</t>
    </r>
    <r>
      <rPr>
        <sz val="11"/>
        <rFont val="ＭＳ Ｐゴシック"/>
        <family val="3"/>
        <charset val="134"/>
        <scheme val="minor"/>
      </rPr>
      <t>绵</t>
    </r>
    <r>
      <rPr>
        <sz val="11"/>
        <rFont val="ＭＳ Ｐゴシック"/>
        <family val="3"/>
        <charset val="128"/>
        <scheme val="minor"/>
      </rPr>
      <t>新</t>
    </r>
    <r>
      <rPr>
        <sz val="11"/>
        <rFont val="ＭＳ Ｐゴシック"/>
        <family val="3"/>
        <charset val="134"/>
        <scheme val="minor"/>
      </rPr>
      <t>检验检测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</si>
  <si>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苹果酒;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</si>
  <si>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邹</t>
    </r>
    <r>
      <rPr>
        <sz val="11"/>
        <rFont val="ＭＳ Ｐゴシック"/>
        <family val="3"/>
        <charset val="128"/>
        <scheme val="minor"/>
      </rPr>
      <t>荣平</t>
    </r>
  </si>
  <si>
    <r>
      <t xml:space="preserve">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青稞酒; 高粱酒</t>
    </r>
  </si>
  <si>
    <r>
      <t>云南男天商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</si>
  <si>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佐餐酒;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青稞酒; 餐后酒(利口酒和烈酒); 高粱酒</t>
    </r>
  </si>
  <si>
    <r>
      <rPr>
        <sz val="11"/>
        <rFont val="ＭＳ Ｐゴシック"/>
        <family val="3"/>
        <charset val="134"/>
        <scheme val="minor"/>
      </rPr>
      <t>谢</t>
    </r>
    <r>
      <rPr>
        <sz val="11"/>
        <rFont val="ＭＳ Ｐゴシック"/>
        <family val="3"/>
        <charset val="128"/>
        <scheme val="minor"/>
      </rPr>
      <t>升</t>
    </r>
    <r>
      <rPr>
        <sz val="11"/>
        <rFont val="ＭＳ Ｐゴシック"/>
        <family val="3"/>
        <charset val="134"/>
        <scheme val="minor"/>
      </rPr>
      <t>伟</t>
    </r>
  </si>
  <si>
    <r>
      <t>福建塞上五宝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</si>
  <si>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威士忌; 果酒; 烈酒;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</si>
  <si>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成都全新</t>
    </r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代文化科技有限公司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</si>
  <si>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汽酒; 白酒; 米酒; 葡萄酒;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食用酒精; 黄酒</t>
    </r>
  </si>
  <si>
    <r>
      <rPr>
        <sz val="11"/>
        <rFont val="ＭＳ Ｐゴシック"/>
        <family val="3"/>
        <charset val="134"/>
        <scheme val="minor"/>
      </rPr>
      <t>龙马</t>
    </r>
    <r>
      <rPr>
        <sz val="11"/>
        <rFont val="ＭＳ Ｐゴシック"/>
        <family val="3"/>
        <charset val="128"/>
        <scheme val="minor"/>
      </rPr>
      <t>岭</t>
    </r>
  </si>
  <si>
    <r>
      <t>安阳市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安区</t>
    </r>
    <r>
      <rPr>
        <sz val="11"/>
        <rFont val="ＭＳ Ｐゴシック"/>
        <family val="3"/>
        <charset val="134"/>
        <scheme val="minor"/>
      </rPr>
      <t>长发酿</t>
    </r>
    <r>
      <rPr>
        <sz val="11"/>
        <rFont val="ＭＳ Ｐゴシック"/>
        <family val="3"/>
        <charset val="128"/>
        <scheme val="minor"/>
      </rPr>
      <t>酒坊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</si>
  <si>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苦味酒; 薄荷酒; 青稞酒; 食用酒精; 黄酒</t>
    </r>
  </si>
  <si>
    <r>
      <t>玖祉</t>
    </r>
    <r>
      <rPr>
        <sz val="11"/>
        <rFont val="ＭＳ Ｐゴシック"/>
        <family val="3"/>
        <charset val="134"/>
        <scheme val="minor"/>
      </rPr>
      <t>杨</t>
    </r>
  </si>
  <si>
    <r>
      <t xml:space="preserve"> 果酒(含酒精);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</si>
  <si>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榴</t>
    </r>
    <r>
      <rPr>
        <sz val="11"/>
        <rFont val="ＭＳ Ｐゴシック"/>
        <family val="3"/>
        <charset val="134"/>
        <scheme val="minor"/>
      </rPr>
      <t>阆</t>
    </r>
  </si>
  <si>
    <r>
      <rPr>
        <sz val="11"/>
        <rFont val="ＭＳ Ｐゴシック"/>
        <family val="3"/>
        <charset val="134"/>
        <scheme val="minor"/>
      </rPr>
      <t>阆</t>
    </r>
    <r>
      <rPr>
        <sz val="11"/>
        <rFont val="ＭＳ Ｐゴシック"/>
        <family val="3"/>
        <charset val="128"/>
        <scheme val="minor"/>
      </rPr>
      <t>中市玖君种养殖</t>
    </r>
    <r>
      <rPr>
        <sz val="11"/>
        <rFont val="ＭＳ Ｐゴシック"/>
        <family val="3"/>
        <charset val="134"/>
        <scheme val="minor"/>
      </rPr>
      <t>专业</t>
    </r>
    <r>
      <rPr>
        <sz val="11"/>
        <rFont val="ＭＳ Ｐゴシック"/>
        <family val="3"/>
        <charset val="128"/>
        <scheme val="minor"/>
      </rPr>
      <t>合作社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</si>
  <si>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甜果酒; 青梅酒;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预调</t>
    </r>
    <r>
      <rPr>
        <sz val="11"/>
        <rFont val="ＭＳ Ｐゴシック"/>
        <family val="3"/>
        <charset val="128"/>
        <scheme val="minor"/>
      </rPr>
      <t>甜酒</t>
    </r>
  </si>
  <si>
    <r>
      <t xml:space="preserve">ADINALSA </t>
    </r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迪娜莉斯</t>
    </r>
  </si>
  <si>
    <r>
      <t>上海</t>
    </r>
    <r>
      <rPr>
        <sz val="11"/>
        <rFont val="ＭＳ Ｐゴシック"/>
        <family val="3"/>
        <charset val="134"/>
        <scheme val="minor"/>
      </rPr>
      <t>丽</t>
    </r>
    <r>
      <rPr>
        <sz val="11"/>
        <rFont val="ＭＳ Ｐゴシック"/>
        <family val="3"/>
        <charset val="128"/>
        <scheme val="minor"/>
      </rPr>
      <t>曦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</si>
  <si>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</si>
  <si>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珍品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辞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</si>
  <si>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粤</t>
    </r>
    <r>
      <rPr>
        <sz val="11"/>
        <rFont val="ＭＳ Ｐゴシック"/>
        <family val="3"/>
        <charset val="134"/>
        <scheme val="minor"/>
      </rPr>
      <t>铭</t>
    </r>
    <r>
      <rPr>
        <sz val="11"/>
        <rFont val="ＭＳ Ｐゴシック"/>
        <family val="3"/>
        <charset val="128"/>
        <scheme val="minor"/>
      </rPr>
      <t>品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(广州)有限公司</t>
    </r>
  </si>
  <si>
    <r>
      <t xml:space="preserve"> 威士忌; 开胃酒;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青稞酒; 黄酒</t>
    </r>
  </si>
  <si>
    <r>
      <t>河</t>
    </r>
    <r>
      <rPr>
        <sz val="11"/>
        <rFont val="ＭＳ Ｐゴシック"/>
        <family val="3"/>
        <charset val="134"/>
        <scheme val="minor"/>
      </rPr>
      <t>间</t>
    </r>
    <r>
      <rPr>
        <sz val="11"/>
        <rFont val="ＭＳ Ｐゴシック"/>
        <family val="3"/>
        <charset val="128"/>
        <scheme val="minor"/>
      </rPr>
      <t>市博浩防水材料有限公司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</si>
  <si>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</si>
  <si>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盛昌</t>
    </r>
    <r>
      <rPr>
        <sz val="11"/>
        <rFont val="ＭＳ Ｐゴシック"/>
        <family val="3"/>
        <charset val="134"/>
        <scheme val="minor"/>
      </rPr>
      <t>纯</t>
    </r>
    <r>
      <rPr>
        <sz val="11"/>
        <rFont val="ＭＳ Ｐゴシック"/>
        <family val="3"/>
        <charset val="128"/>
        <scheme val="minor"/>
      </rPr>
      <t>粮酒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(南京)有限公司</t>
    </r>
  </si>
  <si>
    <r>
      <t xml:space="preserve"> 伏特加酒;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</si>
  <si>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友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</si>
  <si>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州云景</t>
    </r>
    <r>
      <rPr>
        <sz val="11"/>
        <rFont val="ＭＳ Ｐゴシック"/>
        <family val="3"/>
        <charset val="134"/>
        <scheme val="minor"/>
      </rPr>
      <t>环</t>
    </r>
    <r>
      <rPr>
        <sz val="11"/>
        <rFont val="ＭＳ Ｐゴシック"/>
        <family val="3"/>
        <charset val="128"/>
        <scheme val="minor"/>
      </rPr>
      <t>保有限公司</t>
    </r>
  </si>
  <si>
    <r>
      <t xml:space="preserve"> 果酒(含酒精); 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</si>
  <si>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多米</t>
    </r>
    <r>
      <rPr>
        <sz val="11"/>
        <rFont val="ＭＳ Ｐゴシック"/>
        <family val="3"/>
        <charset val="134"/>
        <scheme val="minor"/>
      </rPr>
      <t>诺</t>
    </r>
    <r>
      <rPr>
        <sz val="11"/>
        <rFont val="ＭＳ Ｐゴシック"/>
        <family val="3"/>
        <charset val="128"/>
        <scheme val="minor"/>
      </rPr>
      <t>比雷有限公司</t>
    </r>
  </si>
  <si>
    <r>
      <t xml:space="preserve"> 利口酒;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</si>
  <si>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春</t>
    </r>
    <r>
      <rPr>
        <sz val="11"/>
        <rFont val="ＭＳ Ｐゴシック"/>
        <family val="3"/>
        <charset val="134"/>
        <scheme val="minor"/>
      </rPr>
      <t>红</t>
    </r>
  </si>
  <si>
    <r>
      <t xml:space="preserve"> 烈性干酒;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高粱酒; 黄酒</t>
    </r>
  </si>
  <si>
    <r>
      <t>疆</t>
    </r>
    <r>
      <rPr>
        <sz val="11"/>
        <rFont val="ＭＳ Ｐゴシック"/>
        <family val="3"/>
        <charset val="134"/>
        <scheme val="minor"/>
      </rPr>
      <t>满乐</t>
    </r>
  </si>
  <si>
    <r>
      <t>刘小</t>
    </r>
    <r>
      <rPr>
        <sz val="11"/>
        <rFont val="ＭＳ Ｐゴシック"/>
        <family val="3"/>
        <charset val="134"/>
        <scheme val="minor"/>
      </rPr>
      <t>胜</t>
    </r>
  </si>
  <si>
    <r>
      <t xml:space="preserve">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混合威士忌酒;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葡萄酒; 蜂蜜酒;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</si>
  <si>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新疆金窖尚品酒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</si>
  <si>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</si>
  <si>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貆</t>
    </r>
    <r>
      <rPr>
        <sz val="11"/>
        <rFont val="ＭＳ Ｐゴシック"/>
        <family val="3"/>
        <charset val="134"/>
        <scheme val="minor"/>
      </rPr>
      <t>阊</t>
    </r>
  </si>
  <si>
    <r>
      <t xml:space="preserve"> 含酒精的充气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烈性干酒;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</si>
  <si>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t>四五</t>
    </r>
    <r>
      <rPr>
        <sz val="11"/>
        <rFont val="ＭＳ Ｐゴシック"/>
        <family val="3"/>
        <charset val="134"/>
        <scheme val="minor"/>
      </rPr>
      <t>泸</t>
    </r>
    <r>
      <rPr>
        <sz val="11"/>
        <rFont val="ＭＳ Ｐゴシック"/>
        <family val="3"/>
        <charset val="128"/>
        <scheme val="minor"/>
      </rPr>
      <t xml:space="preserve"> SIWULU.COM</t>
    </r>
  </si>
  <si>
    <r>
      <t>四川地方印象文化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</si>
  <si>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利口酒; 果酒; 烈酒;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葡萄酒; 露酒;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</si>
  <si>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读</t>
    </r>
    <r>
      <rPr>
        <sz val="11"/>
        <rFont val="ＭＳ Ｐゴシック"/>
        <family val="3"/>
        <charset val="128"/>
        <scheme val="minor"/>
      </rPr>
      <t>者</t>
    </r>
  </si>
  <si>
    <r>
      <t>上海酉米酒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</si>
  <si>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生雷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</si>
  <si>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餐后酒(利口酒和烈酒); 黄酒</t>
    </r>
  </si>
  <si>
    <r>
      <t>耿延</t>
    </r>
    <r>
      <rPr>
        <sz val="11"/>
        <rFont val="ＭＳ Ｐゴシック"/>
        <family val="3"/>
        <charset val="134"/>
        <scheme val="minor"/>
      </rPr>
      <t>军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</si>
  <si>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</si>
  <si>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将</t>
    </r>
    <r>
      <rPr>
        <sz val="11"/>
        <rFont val="ＭＳ Ｐゴシック"/>
        <family val="3"/>
        <charset val="134"/>
        <scheme val="minor"/>
      </rPr>
      <t>缔</t>
    </r>
    <r>
      <rPr>
        <sz val="11"/>
        <rFont val="ＭＳ Ｐゴシック"/>
        <family val="3"/>
        <charset val="128"/>
        <scheme val="minor"/>
      </rPr>
      <t>台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</si>
  <si>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礼</t>
    </r>
    <r>
      <rPr>
        <sz val="11"/>
        <rFont val="ＭＳ Ｐゴシック"/>
        <family val="3"/>
        <charset val="134"/>
        <scheme val="minor"/>
      </rPr>
      <t>华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</si>
  <si>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</si>
  <si>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岑沟</t>
    </r>
    <r>
      <rPr>
        <sz val="11"/>
        <rFont val="ＭＳ Ｐゴシック"/>
        <family val="3"/>
        <charset val="134"/>
        <scheme val="minor"/>
      </rPr>
      <t>门</t>
    </r>
  </si>
  <si>
    <r>
      <rPr>
        <sz val="11"/>
        <rFont val="ＭＳ Ｐゴシック"/>
        <family val="3"/>
        <charset val="134"/>
        <scheme val="minor"/>
      </rPr>
      <t>孙艳娇</t>
    </r>
  </si>
  <si>
    <r>
      <t>福人德·</t>
    </r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心福</t>
    </r>
  </si>
  <si>
    <r>
      <rPr>
        <sz val="11"/>
        <rFont val="ＭＳ Ｐゴシック"/>
        <family val="3"/>
        <charset val="134"/>
        <scheme val="minor"/>
      </rPr>
      <t>赵颜</t>
    </r>
    <r>
      <rPr>
        <sz val="11"/>
        <rFont val="ＭＳ Ｐゴシック"/>
        <family val="3"/>
        <charset val="128"/>
        <scheme val="minor"/>
      </rPr>
      <t>微</t>
    </r>
  </si>
  <si>
    <r>
      <rPr>
        <sz val="11"/>
        <rFont val="ＭＳ Ｐゴシック"/>
        <family val="3"/>
        <charset val="134"/>
        <scheme val="minor"/>
      </rPr>
      <t>俩</t>
    </r>
    <r>
      <rPr>
        <sz val="11"/>
        <rFont val="ＭＳ Ｐゴシック"/>
        <family val="3"/>
        <charset val="128"/>
        <scheme val="minor"/>
      </rPr>
      <t>封</t>
    </r>
  </si>
  <si>
    <r>
      <t xml:space="preserve"> 果酒; 梅酒; 汽酒;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</si>
  <si>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州吃游你商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</si>
  <si>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梨酒;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</si>
  <si>
    <r>
      <t>加瓦</t>
    </r>
    <r>
      <rPr>
        <sz val="11"/>
        <rFont val="ＭＳ Ｐゴシック"/>
        <family val="3"/>
        <charset val="134"/>
        <scheme val="minor"/>
      </rPr>
      <t>尔</t>
    </r>
    <r>
      <rPr>
        <sz val="11"/>
        <rFont val="ＭＳ Ｐゴシック"/>
        <family val="3"/>
        <charset val="128"/>
        <scheme val="minor"/>
      </rPr>
      <t>尼 GAVARNIE</t>
    </r>
  </si>
  <si>
    <r>
      <t>名庄</t>
    </r>
    <r>
      <rPr>
        <sz val="11"/>
        <rFont val="ＭＳ Ｐゴシック"/>
        <family val="3"/>
        <charset val="134"/>
        <scheme val="minor"/>
      </rPr>
      <t>汇</t>
    </r>
    <r>
      <rPr>
        <sz val="11"/>
        <rFont val="ＭＳ Ｐゴシック"/>
        <family val="3"/>
        <charset val="128"/>
        <scheme val="minor"/>
      </rPr>
      <t>礼品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</si>
  <si>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含酒精的气泡水; 开胃酒;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</si>
  <si>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</si>
  <si>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深圳彩</t>
    </r>
    <r>
      <rPr>
        <sz val="11"/>
        <rFont val="ＭＳ Ｐゴシック"/>
        <family val="3"/>
        <charset val="134"/>
        <scheme val="minor"/>
      </rPr>
      <t>书</t>
    </r>
    <r>
      <rPr>
        <sz val="11"/>
        <rFont val="ＭＳ Ｐゴシック"/>
        <family val="3"/>
        <charset val="128"/>
        <scheme val="minor"/>
      </rPr>
      <t>文化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意</t>
    </r>
    <r>
      <rPr>
        <sz val="11"/>
        <rFont val="ＭＳ Ｐゴシック"/>
        <family val="3"/>
        <charset val="134"/>
        <scheme val="minor"/>
      </rPr>
      <t>产业发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</si>
  <si>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白干酒(中国白酒); 白酒; 米酒; 葡萄酒; 青梅酒; 高粱酒; 黄酒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</si>
  <si>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禾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</si>
  <si>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禾酒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</si>
  <si>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</si>
  <si>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t>古粮</t>
    </r>
    <r>
      <rPr>
        <sz val="11"/>
        <rFont val="ＭＳ Ｐゴシック"/>
        <family val="3"/>
        <charset val="134"/>
        <scheme val="minor"/>
      </rPr>
      <t>泸</t>
    </r>
  </si>
  <si>
    <r>
      <rPr>
        <sz val="11"/>
        <rFont val="ＭＳ Ｐゴシック"/>
        <family val="3"/>
        <charset val="134"/>
        <scheme val="minor"/>
      </rPr>
      <t>颜</t>
    </r>
    <r>
      <rPr>
        <sz val="11"/>
        <rFont val="ＭＳ Ｐゴシック"/>
        <family val="3"/>
        <charset val="128"/>
        <scheme val="minor"/>
      </rPr>
      <t>杰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</si>
  <si>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</si>
  <si>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山西省中</t>
    </r>
    <r>
      <rPr>
        <sz val="11"/>
        <rFont val="ＭＳ Ｐゴシック"/>
        <family val="3"/>
        <charset val="134"/>
        <scheme val="minor"/>
      </rPr>
      <t>药</t>
    </r>
    <r>
      <rPr>
        <sz val="11"/>
        <rFont val="ＭＳ Ｐゴシック"/>
        <family val="3"/>
        <charset val="128"/>
        <scheme val="minor"/>
      </rPr>
      <t>材集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</si>
  <si>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梨酒; 白酒; 米酒; 草本型利口酒;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黄酒</t>
    </r>
  </si>
  <si>
    <r>
      <t>美年</t>
    </r>
    <r>
      <rPr>
        <sz val="11"/>
        <rFont val="ＭＳ Ｐゴシック"/>
        <family val="3"/>
        <charset val="134"/>
        <scheme val="minor"/>
      </rPr>
      <t>欢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</si>
  <si>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苹果酒;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</si>
  <si>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秦皇</t>
    </r>
    <r>
      <rPr>
        <sz val="11"/>
        <rFont val="ＭＳ Ｐゴシック"/>
        <family val="3"/>
        <charset val="134"/>
        <scheme val="minor"/>
      </rPr>
      <t>岛风</t>
    </r>
    <r>
      <rPr>
        <sz val="11"/>
        <rFont val="ＭＳ Ｐゴシック"/>
        <family val="3"/>
        <charset val="128"/>
        <scheme val="minor"/>
      </rPr>
      <t>向</t>
    </r>
    <r>
      <rPr>
        <sz val="11"/>
        <rFont val="ＭＳ Ｐゴシック"/>
        <family val="3"/>
        <charset val="134"/>
        <scheme val="minor"/>
      </rPr>
      <t>标</t>
    </r>
    <r>
      <rPr>
        <sz val="11"/>
        <rFont val="ＭＳ Ｐゴシック"/>
        <family val="3"/>
        <charset val="128"/>
        <scheme val="minor"/>
      </rPr>
      <t>甄</t>
    </r>
    <r>
      <rPr>
        <sz val="11"/>
        <rFont val="ＭＳ Ｐゴシック"/>
        <family val="3"/>
        <charset val="134"/>
        <scheme val="minor"/>
      </rPr>
      <t>选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</si>
  <si>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朝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族米酒;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葡萄酒;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</si>
  <si>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</si>
  <si>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严</t>
    </r>
    <r>
      <rPr>
        <sz val="11"/>
        <rFont val="ＭＳ Ｐゴシック"/>
        <family val="3"/>
        <charset val="128"/>
        <scheme val="minor"/>
      </rPr>
      <t>世家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坊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</si>
  <si>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市茅台</t>
    </r>
    <r>
      <rPr>
        <sz val="11"/>
        <rFont val="ＭＳ Ｐゴシック"/>
        <family val="3"/>
        <charset val="134"/>
        <scheme val="minor"/>
      </rPr>
      <t>镇</t>
    </r>
    <r>
      <rPr>
        <sz val="11"/>
        <rFont val="ＭＳ Ｐゴシック"/>
        <family val="3"/>
        <charset val="128"/>
        <scheme val="minor"/>
      </rPr>
      <t>鼎</t>
    </r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业销</t>
    </r>
    <r>
      <rPr>
        <sz val="11"/>
        <rFont val="ＭＳ Ｐゴシック"/>
        <family val="3"/>
        <charset val="128"/>
        <scheme val="minor"/>
      </rPr>
      <t>售有限公司</t>
    </r>
  </si>
  <si>
    <r>
      <t xml:space="preserve"> 利口酒; 开胃酒;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</si>
  <si>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rPr>
        <sz val="11"/>
        <rFont val="ＭＳ Ｐゴシック"/>
        <family val="3"/>
        <charset val="134"/>
        <scheme val="minor"/>
      </rPr>
      <t>辽</t>
    </r>
    <r>
      <rPr>
        <sz val="11"/>
        <rFont val="ＭＳ Ｐゴシック"/>
        <family val="3"/>
        <charset val="128"/>
        <scheme val="minor"/>
      </rPr>
      <t>宁省</t>
    </r>
    <r>
      <rPr>
        <sz val="11"/>
        <rFont val="ＭＳ Ｐゴシック"/>
        <family val="3"/>
        <charset val="134"/>
        <scheme val="minor"/>
      </rPr>
      <t>贰</t>
    </r>
    <r>
      <rPr>
        <sz val="11"/>
        <rFont val="ＭＳ Ｐゴシック"/>
        <family val="3"/>
        <charset val="128"/>
        <scheme val="minor"/>
      </rPr>
      <t>玖玖玖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展(集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)有限公司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</si>
  <si>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果酒; 果酒(含酒精); 甜酒;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高粱酒</t>
    </r>
  </si>
  <si>
    <r>
      <rPr>
        <sz val="11"/>
        <rFont val="ＭＳ Ｐゴシック"/>
        <family val="3"/>
        <charset val="134"/>
        <scheme val="minor"/>
      </rPr>
      <t>简</t>
    </r>
    <r>
      <rPr>
        <sz val="11"/>
        <rFont val="ＭＳ Ｐゴシック"/>
        <family val="3"/>
        <charset val="128"/>
        <scheme val="minor"/>
      </rPr>
      <t>海</t>
    </r>
  </si>
  <si>
    <r>
      <t>沈</t>
    </r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平</t>
    </r>
  </si>
  <si>
    <r>
      <t>企云</t>
    </r>
    <r>
      <rPr>
        <sz val="11"/>
        <rFont val="ＭＳ Ｐゴシック"/>
        <family val="3"/>
        <charset val="134"/>
        <scheme val="minor"/>
      </rPr>
      <t>动</t>
    </r>
    <r>
      <rPr>
        <sz val="11"/>
        <rFont val="ＭＳ Ｐゴシック"/>
        <family val="3"/>
        <charset val="128"/>
        <scheme val="minor"/>
      </rPr>
      <t>力(北京)科技有限公司</t>
    </r>
  </si>
  <si>
    <r>
      <t xml:space="preserve"> 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</si>
  <si>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rPr>
        <sz val="11"/>
        <rFont val="ＭＳ Ｐゴシック"/>
        <family val="3"/>
        <charset val="134"/>
        <scheme val="minor"/>
      </rPr>
      <t>亿</t>
    </r>
    <r>
      <rPr>
        <sz val="11"/>
        <rFont val="ＭＳ Ｐゴシック"/>
        <family val="3"/>
        <charset val="128"/>
        <scheme val="minor"/>
      </rPr>
      <t>而悠 EASYYOU</t>
    </r>
  </si>
  <si>
    <r>
      <t xml:space="preserve"> 利口酒;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</si>
  <si>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千</t>
    </r>
    <r>
      <rPr>
        <sz val="11"/>
        <rFont val="ＭＳ Ｐゴシック"/>
        <family val="3"/>
        <charset val="134"/>
        <scheme val="minor"/>
      </rPr>
      <t>寻</t>
    </r>
    <r>
      <rPr>
        <sz val="11"/>
        <rFont val="ＭＳ Ｐゴシック"/>
        <family val="3"/>
        <charset val="128"/>
        <scheme val="minor"/>
      </rPr>
      <t>荷</t>
    </r>
  </si>
  <si>
    <r>
      <rPr>
        <sz val="11"/>
        <rFont val="ＭＳ Ｐゴシック"/>
        <family val="3"/>
        <charset val="134"/>
        <scheme val="minor"/>
      </rPr>
      <t>滨强</t>
    </r>
  </si>
  <si>
    <r>
      <t>斯洛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</si>
  <si>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</si>
  <si>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唐</t>
    </r>
    <r>
      <rPr>
        <sz val="11"/>
        <rFont val="ＭＳ Ｐゴシック"/>
        <family val="3"/>
        <charset val="134"/>
        <scheme val="minor"/>
      </rPr>
      <t>诗</t>
    </r>
    <r>
      <rPr>
        <sz val="11"/>
        <rFont val="ＭＳ Ｐゴシック"/>
        <family val="3"/>
        <charset val="128"/>
        <scheme val="minor"/>
      </rPr>
      <t>伴</t>
    </r>
  </si>
  <si>
    <r>
      <t>荣</t>
    </r>
    <r>
      <rPr>
        <sz val="11"/>
        <rFont val="ＭＳ Ｐゴシック"/>
        <family val="3"/>
        <charset val="134"/>
        <scheme val="minor"/>
      </rPr>
      <t>飞</t>
    </r>
    <r>
      <rPr>
        <sz val="11"/>
        <rFont val="ＭＳ Ｐゴシック"/>
        <family val="3"/>
        <charset val="128"/>
        <scheme val="minor"/>
      </rPr>
      <t>楠</t>
    </r>
  </si>
  <si>
    <r>
      <t>君</t>
    </r>
    <r>
      <rPr>
        <sz val="11"/>
        <rFont val="ＭＳ Ｐゴシック"/>
        <family val="3"/>
        <charset val="134"/>
        <scheme val="minor"/>
      </rPr>
      <t>阅</t>
    </r>
    <r>
      <rPr>
        <sz val="11"/>
        <rFont val="ＭＳ Ｐゴシック"/>
        <family val="3"/>
        <charset val="128"/>
        <scheme val="minor"/>
      </rPr>
      <t>卿心</t>
    </r>
  </si>
  <si>
    <r>
      <t>上海彤幸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</si>
  <si>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甜果酒; 白酒; 米酒; 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用烈酒; 黄酒</t>
    </r>
  </si>
  <si>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厂</t>
    </r>
    <r>
      <rPr>
        <sz val="11"/>
        <rFont val="ＭＳ Ｐゴシック"/>
        <family val="3"/>
        <charset val="134"/>
        <scheme val="minor"/>
      </rPr>
      <t>长</t>
    </r>
  </si>
  <si>
    <r>
      <t>候佳</t>
    </r>
    <r>
      <rPr>
        <sz val="11"/>
        <rFont val="ＭＳ Ｐゴシック"/>
        <family val="3"/>
        <charset val="134"/>
        <scheme val="minor"/>
      </rPr>
      <t>齐</t>
    </r>
  </si>
  <si>
    <r>
      <t>湖南舒</t>
    </r>
    <r>
      <rPr>
        <sz val="11"/>
        <rFont val="ＭＳ Ｐゴシック"/>
        <family val="3"/>
        <charset val="134"/>
        <scheme val="minor"/>
      </rPr>
      <t>购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</si>
  <si>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</si>
  <si>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京都天</t>
    </r>
    <r>
      <rPr>
        <sz val="11"/>
        <rFont val="ＭＳ Ｐゴシック"/>
        <family val="3"/>
        <charset val="134"/>
        <scheme val="minor"/>
      </rPr>
      <t>坛贡</t>
    </r>
    <r>
      <rPr>
        <sz val="11"/>
        <rFont val="ＭＳ Ｐゴシック"/>
        <family val="3"/>
        <charset val="128"/>
        <scheme val="minor"/>
      </rPr>
      <t>酒</t>
    </r>
  </si>
  <si>
    <r>
      <t>北京天</t>
    </r>
    <r>
      <rPr>
        <sz val="11"/>
        <rFont val="ＭＳ Ｐゴシック"/>
        <family val="3"/>
        <charset val="134"/>
        <scheme val="minor"/>
      </rPr>
      <t>坛实业</t>
    </r>
    <r>
      <rPr>
        <sz val="11"/>
        <rFont val="ＭＳ Ｐゴシック"/>
        <family val="3"/>
        <charset val="128"/>
        <scheme val="minor"/>
      </rPr>
      <t>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</si>
  <si>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</si>
  <si>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凯</t>
    </r>
    <r>
      <rPr>
        <sz val="11"/>
        <rFont val="ＭＳ Ｐゴシック"/>
        <family val="3"/>
        <charset val="128"/>
        <scheme val="minor"/>
      </rPr>
      <t>醉菲醉</t>
    </r>
  </si>
  <si>
    <r>
      <t>黄遵</t>
    </r>
    <r>
      <rPr>
        <sz val="11"/>
        <rFont val="ＭＳ Ｐゴシック"/>
        <family val="3"/>
        <charset val="134"/>
        <scheme val="minor"/>
      </rPr>
      <t>贵</t>
    </r>
  </si>
  <si>
    <r>
      <rPr>
        <sz val="11"/>
        <rFont val="ＭＳ Ｐゴシック"/>
        <family val="3"/>
        <charset val="134"/>
        <scheme val="minor"/>
      </rPr>
      <t>纳</t>
    </r>
    <r>
      <rPr>
        <sz val="11"/>
        <rFont val="ＭＳ Ｐゴシック"/>
        <family val="3"/>
        <charset val="128"/>
        <scheme val="minor"/>
      </rPr>
      <t>歌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船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</si>
  <si>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可王</t>
    </r>
  </si>
  <si>
    <r>
      <t>益</t>
    </r>
    <r>
      <rPr>
        <sz val="11"/>
        <rFont val="ＭＳ Ｐゴシック"/>
        <family val="3"/>
        <charset val="134"/>
        <scheme val="minor"/>
      </rPr>
      <t>盐</t>
    </r>
    <r>
      <rPr>
        <sz val="11"/>
        <rFont val="ＭＳ Ｐゴシック"/>
        <family val="3"/>
        <charset val="128"/>
        <scheme val="minor"/>
      </rPr>
      <t>堂(</t>
    </r>
    <r>
      <rPr>
        <sz val="11"/>
        <rFont val="ＭＳ Ｐゴシック"/>
        <family val="3"/>
        <charset val="134"/>
        <scheme val="minor"/>
      </rPr>
      <t>应</t>
    </r>
    <r>
      <rPr>
        <sz val="11"/>
        <rFont val="ＭＳ Ｐゴシック"/>
        <family val="3"/>
        <charset val="128"/>
        <scheme val="minor"/>
      </rPr>
      <t>城)健康</t>
    </r>
    <r>
      <rPr>
        <sz val="11"/>
        <rFont val="ＭＳ Ｐゴシック"/>
        <family val="3"/>
        <charset val="134"/>
        <scheme val="minor"/>
      </rPr>
      <t>盐</t>
    </r>
    <r>
      <rPr>
        <sz val="11"/>
        <rFont val="ＭＳ Ｐゴシック"/>
        <family val="3"/>
        <charset val="128"/>
        <scheme val="minor"/>
      </rPr>
      <t>制</t>
    </r>
    <r>
      <rPr>
        <sz val="11"/>
        <rFont val="ＭＳ Ｐゴシック"/>
        <family val="3"/>
        <charset val="134"/>
        <scheme val="minor"/>
      </rPr>
      <t>盐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</si>
  <si>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威士忌;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苦味酒; 葡萄酒; 薄荷酒; 黄酒</t>
    </r>
  </si>
  <si>
    <r>
      <t>萱北</t>
    </r>
    <r>
      <rPr>
        <sz val="11"/>
        <rFont val="ＭＳ Ｐゴシック"/>
        <family val="3"/>
        <charset val="134"/>
        <scheme val="minor"/>
      </rPr>
      <t>乡</t>
    </r>
  </si>
  <si>
    <r>
      <t xml:space="preserve">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用烈酒; 高粱酒</t>
    </r>
  </si>
  <si>
    <r>
      <t>大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市沛达</t>
    </r>
    <r>
      <rPr>
        <sz val="11"/>
        <rFont val="ＭＳ Ｐゴシック"/>
        <family val="3"/>
        <charset val="134"/>
        <scheme val="minor"/>
      </rPr>
      <t>经贸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</si>
  <si>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</si>
  <si>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襄</t>
    </r>
    <r>
      <rPr>
        <sz val="11"/>
        <rFont val="ＭＳ Ｐゴシック"/>
        <family val="3"/>
        <charset val="134"/>
        <scheme val="minor"/>
      </rPr>
      <t>连</t>
    </r>
  </si>
  <si>
    <r>
      <t>山西正大企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</si>
  <si>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甜果酒;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</t>
    </r>
  </si>
  <si>
    <r>
      <t>王振</t>
    </r>
    <r>
      <rPr>
        <sz val="11"/>
        <rFont val="ＭＳ Ｐゴシック"/>
        <family val="3"/>
        <charset val="134"/>
        <scheme val="minor"/>
      </rPr>
      <t>顶</t>
    </r>
  </si>
  <si>
    <r>
      <t xml:space="preserve"> 果酒;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</si>
  <si>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大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市泉富酒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</si>
  <si>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果酒; 清酒; 甜酒; 白葡萄酒;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葡萄酒;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</si>
  <si>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天美</t>
    </r>
  </si>
  <si>
    <r>
      <t xml:space="preserve"> 威士忌; 朗姆酒;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</si>
  <si>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夏邑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橙屹供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</si>
  <si>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</si>
  <si>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樽福</t>
    </r>
    <r>
      <rPr>
        <sz val="11"/>
        <rFont val="ＭＳ Ｐゴシック"/>
        <family val="3"/>
        <charset val="134"/>
        <scheme val="minor"/>
      </rPr>
      <t>欢</t>
    </r>
  </si>
  <si>
    <r>
      <t>妃</t>
    </r>
    <r>
      <rPr>
        <sz val="11"/>
        <rFont val="ＭＳ Ｐゴシック"/>
        <family val="3"/>
        <charset val="134"/>
        <scheme val="minor"/>
      </rPr>
      <t>盏</t>
    </r>
  </si>
  <si>
    <r>
      <t>卧</t>
    </r>
    <r>
      <rPr>
        <sz val="11"/>
        <rFont val="ＭＳ Ｐゴシック"/>
        <family val="3"/>
        <charset val="134"/>
        <scheme val="minor"/>
      </rPr>
      <t>龙涧</t>
    </r>
  </si>
  <si>
    <r>
      <rPr>
        <sz val="11"/>
        <rFont val="ＭＳ Ｐゴシック"/>
        <family val="3"/>
        <charset val="134"/>
        <scheme val="minor"/>
      </rPr>
      <t>净</t>
    </r>
    <r>
      <rPr>
        <sz val="11"/>
        <rFont val="ＭＳ Ｐゴシック"/>
        <family val="3"/>
        <charset val="128"/>
        <scheme val="minor"/>
      </rPr>
      <t>美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小仙</t>
    </r>
  </si>
  <si>
    <r>
      <t>河南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小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</si>
  <si>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果酒;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汽酒; 清酒; 甜酒; 白酒; 葡萄酒;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</si>
  <si>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江西伴</t>
    </r>
    <r>
      <rPr>
        <sz val="11"/>
        <rFont val="ＭＳ Ｐゴシック"/>
        <family val="3"/>
        <charset val="134"/>
        <scheme val="minor"/>
      </rPr>
      <t>盏</t>
    </r>
    <r>
      <rPr>
        <sz val="11"/>
        <rFont val="ＭＳ Ｐゴシック"/>
        <family val="3"/>
        <charset val="128"/>
        <scheme val="minor"/>
      </rPr>
      <t>七芷食品有限公司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</si>
  <si>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黄酒</t>
    </r>
  </si>
  <si>
    <r>
      <t>竹席</t>
    </r>
    <r>
      <rPr>
        <sz val="11"/>
        <rFont val="ＭＳ Ｐゴシック"/>
        <family val="3"/>
        <charset val="134"/>
        <scheme val="minor"/>
      </rPr>
      <t>伦</t>
    </r>
  </si>
  <si>
    <r>
      <t>林</t>
    </r>
    <r>
      <rPr>
        <sz val="11"/>
        <rFont val="ＭＳ Ｐゴシック"/>
        <family val="3"/>
        <charset val="134"/>
        <scheme val="minor"/>
      </rPr>
      <t>伟伦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</si>
  <si>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</si>
  <si>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加</t>
    </r>
    <r>
      <rPr>
        <sz val="11"/>
        <rFont val="ＭＳ Ｐゴシック"/>
        <family val="3"/>
        <charset val="134"/>
        <scheme val="minor"/>
      </rPr>
      <t>爱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</si>
  <si>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日照</t>
    </r>
    <r>
      <rPr>
        <sz val="11"/>
        <rFont val="ＭＳ Ｐゴシック"/>
        <family val="3"/>
        <charset val="134"/>
        <scheme val="minor"/>
      </rPr>
      <t>尧</t>
    </r>
    <r>
      <rPr>
        <sz val="11"/>
        <rFont val="ＭＳ Ｐゴシック"/>
        <family val="3"/>
        <charset val="128"/>
        <scheme val="minor"/>
      </rPr>
      <t>王酒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</si>
  <si>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朗姆酒;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白葡萄酒;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食用酒精; 高粱酒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</si>
  <si>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</si>
  <si>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龙窝</t>
    </r>
    <r>
      <rPr>
        <sz val="11"/>
        <rFont val="ＭＳ Ｐゴシック"/>
        <family val="3"/>
        <charset val="128"/>
        <scheme val="minor"/>
      </rPr>
      <t>楼乾隆</t>
    </r>
  </si>
  <si>
    <r>
      <t>淮安国酒文化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</si>
  <si>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利口酒; 威士忌;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</si>
  <si>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金</t>
    </r>
    <r>
      <rPr>
        <sz val="11"/>
        <rFont val="ＭＳ Ｐゴシック"/>
        <family val="3"/>
        <charset val="134"/>
        <scheme val="minor"/>
      </rPr>
      <t>钱龙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</si>
  <si>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青稞酒; 高粱酒; 黄酒</t>
    </r>
  </si>
  <si>
    <r>
      <t>天天</t>
    </r>
    <r>
      <rPr>
        <sz val="11"/>
        <rFont val="ＭＳ Ｐゴシック"/>
        <family val="3"/>
        <charset val="134"/>
        <scheme val="minor"/>
      </rPr>
      <t>汇舰</t>
    </r>
  </si>
  <si>
    <r>
      <t>保定</t>
    </r>
    <r>
      <rPr>
        <sz val="11"/>
        <rFont val="ＭＳ Ｐゴシック"/>
        <family val="3"/>
        <charset val="134"/>
        <scheme val="minor"/>
      </rPr>
      <t>顺</t>
    </r>
    <r>
      <rPr>
        <sz val="11"/>
        <rFont val="ＭＳ Ｐゴシック"/>
        <family val="3"/>
        <charset val="128"/>
        <scheme val="minor"/>
      </rPr>
      <t>鑫丰商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</si>
  <si>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白酒; 苹果酒;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</si>
  <si>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伏特加酒; 威士忌; 开胃酒; 果酒(含酒精);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餐后酒(利口酒和烈酒); 黄酒</t>
    </r>
  </si>
  <si>
    <r>
      <t>合肥鹿鼎</t>
    </r>
    <r>
      <rPr>
        <sz val="11"/>
        <rFont val="ＭＳ Ｐゴシック"/>
        <family val="3"/>
        <charset val="134"/>
        <scheme val="minor"/>
      </rPr>
      <t>营销</t>
    </r>
    <r>
      <rPr>
        <sz val="11"/>
        <rFont val="ＭＳ Ｐゴシック"/>
        <family val="3"/>
        <charset val="128"/>
        <scheme val="minor"/>
      </rPr>
      <t>策划有限公司</t>
    </r>
  </si>
  <si>
    <r>
      <t xml:space="preserve"> 威士忌;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黄酒</t>
    </r>
  </si>
  <si>
    <r>
      <rPr>
        <sz val="11"/>
        <rFont val="ＭＳ Ｐゴシック"/>
        <family val="3"/>
        <charset val="134"/>
        <scheme val="minor"/>
      </rPr>
      <t>尧</t>
    </r>
    <r>
      <rPr>
        <sz val="11"/>
        <rFont val="ＭＳ Ｐゴシック"/>
        <family val="3"/>
        <charset val="128"/>
        <scheme val="minor"/>
      </rPr>
      <t>凌湘</t>
    </r>
    <r>
      <rPr>
        <sz val="11"/>
        <rFont val="ＭＳ Ｐゴシック"/>
        <family val="3"/>
        <charset val="134"/>
        <scheme val="minor"/>
      </rPr>
      <t>乐</t>
    </r>
  </si>
  <si>
    <r>
      <t>文淑</t>
    </r>
    <r>
      <rPr>
        <sz val="11"/>
        <rFont val="ＭＳ Ｐゴシック"/>
        <family val="3"/>
        <charset val="134"/>
        <scheme val="minor"/>
      </rPr>
      <t>艳</t>
    </r>
  </si>
  <si>
    <r>
      <t xml:space="preserve"> 果酒(含酒精); 清酒;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</si>
  <si>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颐</t>
    </r>
    <r>
      <rPr>
        <sz val="11"/>
        <rFont val="ＭＳ Ｐゴシック"/>
        <family val="3"/>
        <charset val="128"/>
        <scheme val="minor"/>
      </rPr>
      <t>和昱</t>
    </r>
  </si>
  <si>
    <r>
      <t>青</t>
    </r>
    <r>
      <rPr>
        <sz val="11"/>
        <rFont val="ＭＳ Ｐゴシック"/>
        <family val="3"/>
        <charset val="134"/>
        <scheme val="minor"/>
      </rPr>
      <t>岛</t>
    </r>
    <r>
      <rPr>
        <sz val="11"/>
        <rFont val="ＭＳ Ｐゴシック"/>
        <family val="3"/>
        <charset val="128"/>
        <scheme val="minor"/>
      </rPr>
      <t>广盛</t>
    </r>
    <r>
      <rPr>
        <sz val="11"/>
        <rFont val="ＭＳ Ｐゴシック"/>
        <family val="3"/>
        <charset val="134"/>
        <scheme val="minor"/>
      </rPr>
      <t>汇</t>
    </r>
    <r>
      <rPr>
        <sz val="11"/>
        <rFont val="ＭＳ Ｐゴシック"/>
        <family val="3"/>
        <charset val="128"/>
        <scheme val="minor"/>
      </rPr>
      <t>地</t>
    </r>
    <r>
      <rPr>
        <sz val="11"/>
        <rFont val="ＭＳ Ｐゴシック"/>
        <family val="3"/>
        <charset val="134"/>
        <scheme val="minor"/>
      </rPr>
      <t>产</t>
    </r>
    <r>
      <rPr>
        <sz val="11"/>
        <rFont val="ＭＳ Ｐゴシック"/>
        <family val="3"/>
        <charset val="128"/>
        <scheme val="minor"/>
      </rPr>
      <t>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</si>
  <si>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</si>
  <si>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今元</t>
    </r>
  </si>
  <si>
    <r>
      <t>莫</t>
    </r>
    <r>
      <rPr>
        <sz val="11"/>
        <rFont val="ＭＳ Ｐゴシック"/>
        <family val="3"/>
        <charset val="134"/>
        <scheme val="minor"/>
      </rPr>
      <t>负时</t>
    </r>
    <r>
      <rPr>
        <sz val="11"/>
        <rFont val="ＭＳ Ｐゴシック"/>
        <family val="3"/>
        <charset val="128"/>
        <scheme val="minor"/>
      </rPr>
      <t>光</t>
    </r>
  </si>
  <si>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医仁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</si>
  <si>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清酒(日本米酒);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</si>
  <si>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纪</t>
    </r>
    <r>
      <rPr>
        <sz val="11"/>
        <rFont val="ＭＳ Ｐゴシック"/>
        <family val="3"/>
        <charset val="128"/>
        <scheme val="minor"/>
      </rPr>
      <t>梦号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</si>
  <si>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甘蔗制酒精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</t>
    </r>
  </si>
  <si>
    <r>
      <rPr>
        <sz val="11"/>
        <rFont val="ＭＳ Ｐゴシック"/>
        <family val="3"/>
        <charset val="134"/>
        <scheme val="minor"/>
      </rPr>
      <t>严为贵</t>
    </r>
  </si>
  <si>
    <r>
      <t>成都垚鑫文化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</si>
  <si>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利口酒;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</si>
  <si>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戎</t>
    </r>
    <r>
      <rPr>
        <sz val="11"/>
        <rFont val="ＭＳ Ｐゴシック"/>
        <family val="3"/>
        <charset val="134"/>
        <scheme val="minor"/>
      </rPr>
      <t>话</t>
    </r>
  </si>
  <si>
    <r>
      <t xml:space="preserve"> 开胃酒;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</si>
  <si>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开胃酒;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</si>
  <si>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rPr>
        <sz val="11"/>
        <rFont val="ＭＳ Ｐゴシック"/>
        <family val="3"/>
        <charset val="134"/>
        <scheme val="minor"/>
      </rPr>
      <t>苍</t>
    </r>
    <r>
      <rPr>
        <sz val="11"/>
        <rFont val="ＭＳ Ｐゴシック"/>
        <family val="3"/>
        <charset val="128"/>
        <scheme val="minor"/>
      </rPr>
      <t>山</t>
    </r>
    <r>
      <rPr>
        <sz val="11"/>
        <rFont val="ＭＳ Ｐゴシック"/>
        <family val="3"/>
        <charset val="134"/>
        <scheme val="minor"/>
      </rPr>
      <t>诀</t>
    </r>
  </si>
  <si>
    <r>
      <rPr>
        <sz val="11"/>
        <rFont val="ＭＳ Ｐゴシック"/>
        <family val="3"/>
        <charset val="134"/>
        <scheme val="minor"/>
      </rPr>
      <t>储</t>
    </r>
    <r>
      <rPr>
        <sz val="11"/>
        <rFont val="ＭＳ Ｐゴシック"/>
        <family val="3"/>
        <charset val="128"/>
        <scheme val="minor"/>
      </rPr>
      <t>火明</t>
    </r>
  </si>
  <si>
    <r>
      <t>湖南戊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国</t>
    </r>
    <r>
      <rPr>
        <sz val="11"/>
        <rFont val="ＭＳ Ｐゴシック"/>
        <family val="3"/>
        <charset val="134"/>
        <scheme val="minor"/>
      </rPr>
      <t>际贸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</si>
  <si>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佐餐酒;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</si>
  <si>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格琳娜俱</t>
    </r>
    <r>
      <rPr>
        <sz val="11"/>
        <rFont val="ＭＳ Ｐゴシック"/>
        <family val="3"/>
        <charset val="134"/>
        <scheme val="minor"/>
      </rPr>
      <t>乐</t>
    </r>
    <r>
      <rPr>
        <sz val="11"/>
        <rFont val="ＭＳ Ｐゴシック"/>
        <family val="3"/>
        <charset val="128"/>
        <scheme val="minor"/>
      </rPr>
      <t>部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</si>
  <si>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杰</t>
    </r>
  </si>
  <si>
    <r>
      <t xml:space="preserve">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</si>
  <si>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泸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泸</t>
    </r>
    <r>
      <rPr>
        <sz val="11"/>
        <rFont val="ＭＳ Ｐゴシック"/>
        <family val="3"/>
        <charset val="128"/>
        <scheme val="minor"/>
      </rPr>
      <t>高酒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</si>
  <si>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含酒精的气泡水; 朗姆酒;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黄酒</t>
    </r>
  </si>
  <si>
    <r>
      <t xml:space="preserve"> 伏特加酒;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</si>
  <si>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rPr>
        <sz val="11"/>
        <rFont val="ＭＳ Ｐゴシック"/>
        <family val="3"/>
        <charset val="134"/>
        <scheme val="minor"/>
      </rPr>
      <t>时晓</t>
    </r>
  </si>
  <si>
    <r>
      <t>云南博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</si>
  <si>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州力泰智科技有限公司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</si>
  <si>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</si>
  <si>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伏特加酒;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开胃酒;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苦艾酒; 苹果酒; 高粱酒</t>
    </r>
  </si>
  <si>
    <r>
      <t>斟</t>
    </r>
    <r>
      <rPr>
        <sz val="11"/>
        <rFont val="ＭＳ Ｐゴシック"/>
        <family val="3"/>
        <charset val="134"/>
        <scheme val="minor"/>
      </rPr>
      <t>鲁</t>
    </r>
  </si>
  <si>
    <r>
      <t>宁津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利</t>
    </r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</si>
  <si>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</si>
  <si>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聊</t>
    </r>
    <r>
      <rPr>
        <sz val="11"/>
        <rFont val="ＭＳ Ｐゴシック"/>
        <family val="3"/>
        <charset val="134"/>
        <scheme val="minor"/>
      </rPr>
      <t>泸缘</t>
    </r>
  </si>
  <si>
    <r>
      <rPr>
        <sz val="11"/>
        <rFont val="ＭＳ Ｐゴシック"/>
        <family val="3"/>
        <charset val="134"/>
        <scheme val="minor"/>
      </rPr>
      <t>喻</t>
    </r>
    <r>
      <rPr>
        <sz val="11"/>
        <rFont val="ＭＳ Ｐゴシック"/>
        <family val="3"/>
        <charset val="128"/>
        <scheme val="minor"/>
      </rPr>
      <t>学文</t>
    </r>
  </si>
  <si>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和世</t>
    </r>
    <r>
      <rPr>
        <sz val="11"/>
        <rFont val="ＭＳ Ｐゴシック"/>
        <family val="3"/>
        <charset val="134"/>
        <scheme val="minor"/>
      </rPr>
      <t>纪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</si>
  <si>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</si>
  <si>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香十里</t>
    </r>
  </si>
  <si>
    <r>
      <t>黄</t>
    </r>
    <r>
      <rPr>
        <sz val="11"/>
        <rFont val="ＭＳ Ｐゴシック"/>
        <family val="3"/>
        <charset val="134"/>
        <scheme val="minor"/>
      </rPr>
      <t>银华</t>
    </r>
  </si>
  <si>
    <r>
      <t xml:space="preserve"> 果酒;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</si>
  <si>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州造富酒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</si>
  <si>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</si>
  <si>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</si>
  <si>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州中黔</t>
    </r>
    <r>
      <rPr>
        <sz val="11"/>
        <rFont val="ＭＳ Ｐゴシック"/>
        <family val="3"/>
        <charset val="134"/>
        <scheme val="minor"/>
      </rPr>
      <t>环</t>
    </r>
    <r>
      <rPr>
        <sz val="11"/>
        <rFont val="ＭＳ Ｐゴシック"/>
        <family val="3"/>
        <charset val="128"/>
        <scheme val="minor"/>
      </rPr>
      <t>投控股有限公司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</si>
  <si>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</si>
  <si>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t>看山</t>
    </r>
    <r>
      <rPr>
        <sz val="11"/>
        <rFont val="ＭＳ Ｐゴシック"/>
        <family val="3"/>
        <charset val="134"/>
        <scheme val="minor"/>
      </rPr>
      <t>红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</si>
  <si>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延</t>
    </r>
    <r>
      <rPr>
        <sz val="11"/>
        <rFont val="ＭＳ Ｐゴシック"/>
        <family val="3"/>
        <charset val="134"/>
        <scheme val="minor"/>
      </rPr>
      <t>华</t>
    </r>
  </si>
  <si>
    <r>
      <t xml:space="preserve"> 伏特加酒; 威士忌; 朗姆酒;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</si>
  <si>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大</t>
    </r>
    <r>
      <rPr>
        <sz val="11"/>
        <rFont val="ＭＳ Ｐゴシック"/>
        <family val="3"/>
        <charset val="134"/>
        <scheme val="minor"/>
      </rPr>
      <t>鉴</t>
    </r>
  </si>
  <si>
    <r>
      <t xml:space="preserve"> 朗姆酒;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</si>
  <si>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聚玖</t>
    </r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代</t>
    </r>
  </si>
  <si>
    <r>
      <t>成都聚玖</t>
    </r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代商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</si>
  <si>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汽酒; 甜果酒;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起泡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</si>
  <si>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燚</t>
    </r>
    <r>
      <rPr>
        <sz val="11"/>
        <rFont val="ＭＳ Ｐゴシック"/>
        <family val="3"/>
        <charset val="134"/>
        <scheme val="minor"/>
      </rPr>
      <t>狮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</si>
  <si>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品; 威士忌;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酒; 混合威士忌酒; 白酒;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</si>
  <si>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海南鼎臻</t>
    </r>
    <r>
      <rPr>
        <sz val="11"/>
        <rFont val="ＭＳ Ｐゴシック"/>
        <family val="3"/>
        <charset val="134"/>
        <scheme val="minor"/>
      </rPr>
      <t>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</si>
  <si>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开胃酒; 白酒; 葡萄酒; 蒸煮提取物(利口酒和烈酒);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酸酒(低等葡萄酒);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</si>
  <si>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悦(吉林)生物科技有限公司</t>
    </r>
  </si>
  <si>
    <r>
      <t xml:space="preserve"> 利口酒;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蜂蜜酒;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高粱酒; 黄酒</t>
    </r>
  </si>
  <si>
    <r>
      <t>浙江昱</t>
    </r>
    <r>
      <rPr>
        <sz val="11"/>
        <rFont val="ＭＳ Ｐゴシック"/>
        <family val="3"/>
        <charset val="134"/>
        <scheme val="minor"/>
      </rPr>
      <t>谦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</si>
  <si>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含酒精的气泡水;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青稞酒; 黄酒</t>
    </r>
  </si>
  <si>
    <r>
      <rPr>
        <sz val="11"/>
        <rFont val="ＭＳ Ｐゴシック"/>
        <family val="3"/>
        <charset val="134"/>
        <scheme val="minor"/>
      </rPr>
      <t>财</t>
    </r>
    <r>
      <rPr>
        <sz val="11"/>
        <rFont val="ＭＳ Ｐゴシック"/>
        <family val="3"/>
        <charset val="128"/>
        <scheme val="minor"/>
      </rPr>
      <t>子</t>
    </r>
    <r>
      <rPr>
        <sz val="11"/>
        <rFont val="ＭＳ Ｐゴシック"/>
        <family val="3"/>
        <charset val="134"/>
        <scheme val="minor"/>
      </rPr>
      <t>龙</t>
    </r>
  </si>
  <si>
    <r>
      <t>万</t>
    </r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如</t>
    </r>
    <r>
      <rPr>
        <sz val="11"/>
        <rFont val="ＭＳ Ｐゴシック"/>
        <family val="3"/>
        <charset val="134"/>
        <scheme val="minor"/>
      </rPr>
      <t>龙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</si>
  <si>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想家文化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</si>
  <si>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米酒; 葡萄酒;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</si>
  <si>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妈妈</t>
    </r>
    <r>
      <rPr>
        <sz val="11"/>
        <rFont val="ＭＳ Ｐゴシック"/>
        <family val="3"/>
        <charset val="128"/>
        <scheme val="minor"/>
      </rPr>
      <t>好</t>
    </r>
  </si>
  <si>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奇世界(北京)国</t>
    </r>
    <r>
      <rPr>
        <sz val="11"/>
        <rFont val="ＭＳ Ｐゴシック"/>
        <family val="3"/>
        <charset val="134"/>
        <scheme val="minor"/>
      </rPr>
      <t>际</t>
    </r>
    <r>
      <rPr>
        <sz val="11"/>
        <rFont val="ＭＳ Ｐゴシック"/>
        <family val="3"/>
        <charset val="128"/>
        <scheme val="minor"/>
      </rPr>
      <t>科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</si>
  <si>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白干酒(中国白酒);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</si>
  <si>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赣</t>
    </r>
    <r>
      <rPr>
        <sz val="11"/>
        <rFont val="ＭＳ Ｐゴシック"/>
        <family val="3"/>
        <charset val="128"/>
        <scheme val="minor"/>
      </rPr>
      <t>小</t>
    </r>
    <r>
      <rPr>
        <sz val="11"/>
        <rFont val="ＭＳ Ｐゴシック"/>
        <family val="3"/>
        <charset val="134"/>
        <scheme val="minor"/>
      </rPr>
      <t>优</t>
    </r>
  </si>
  <si>
    <r>
      <rPr>
        <sz val="11"/>
        <rFont val="ＭＳ Ｐゴシック"/>
        <family val="3"/>
        <charset val="134"/>
        <scheme val="minor"/>
      </rPr>
      <t>许</t>
    </r>
    <r>
      <rPr>
        <sz val="11"/>
        <rFont val="ＭＳ Ｐゴシック"/>
        <family val="3"/>
        <charset val="128"/>
        <scheme val="minor"/>
      </rPr>
      <t>小隆</t>
    </r>
  </si>
  <si>
    <r>
      <t>山</t>
    </r>
    <r>
      <rPr>
        <sz val="11"/>
        <rFont val="ＭＳ Ｐゴシック"/>
        <family val="3"/>
        <charset val="134"/>
        <scheme val="minor"/>
      </rPr>
      <t>汇</t>
    </r>
    <r>
      <rPr>
        <sz val="11"/>
        <rFont val="ＭＳ Ｐゴシック"/>
        <family val="3"/>
        <charset val="128"/>
        <scheme val="minor"/>
      </rPr>
      <t>康</t>
    </r>
  </si>
  <si>
    <r>
      <t>林朋</t>
    </r>
    <r>
      <rPr>
        <sz val="11"/>
        <rFont val="ＭＳ Ｐゴシック"/>
        <family val="3"/>
        <charset val="134"/>
        <scheme val="minor"/>
      </rPr>
      <t>胜</t>
    </r>
  </si>
  <si>
    <r>
      <t>赤兔</t>
    </r>
    <r>
      <rPr>
        <sz val="11"/>
        <rFont val="ＭＳ Ｐゴシック"/>
        <family val="3"/>
        <charset val="134"/>
        <scheme val="minor"/>
      </rPr>
      <t>龙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</si>
  <si>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习</t>
    </r>
    <r>
      <rPr>
        <sz val="11"/>
        <rFont val="ＭＳ Ｐゴシック"/>
        <family val="3"/>
        <charset val="128"/>
        <scheme val="minor"/>
      </rPr>
      <t>酒股份有限公司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</si>
  <si>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</si>
  <si>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蝶</t>
    </r>
    <r>
      <rPr>
        <sz val="11"/>
        <rFont val="ＭＳ Ｐゴシック"/>
        <family val="3"/>
        <charset val="134"/>
        <scheme val="minor"/>
      </rPr>
      <t>硕</t>
    </r>
    <r>
      <rPr>
        <sz val="11"/>
        <rFont val="ＭＳ Ｐゴシック"/>
        <family val="3"/>
        <charset val="128"/>
        <scheme val="minor"/>
      </rPr>
      <t>好好</t>
    </r>
  </si>
  <si>
    <r>
      <t>徐州市蝶</t>
    </r>
    <r>
      <rPr>
        <sz val="11"/>
        <rFont val="ＭＳ Ｐゴシック"/>
        <family val="3"/>
        <charset val="134"/>
        <scheme val="minor"/>
      </rPr>
      <t>硕</t>
    </r>
    <r>
      <rPr>
        <sz val="11"/>
        <rFont val="ＭＳ Ｐゴシック"/>
        <family val="3"/>
        <charset val="128"/>
        <scheme val="minor"/>
      </rPr>
      <t>食品有限公司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</si>
  <si>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</si>
  <si>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梦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渡</t>
    </r>
  </si>
  <si>
    <r>
      <rPr>
        <sz val="11"/>
        <rFont val="ＭＳ Ｐゴシック"/>
        <family val="3"/>
        <charset val="134"/>
        <scheme val="minor"/>
      </rPr>
      <t>赢</t>
    </r>
    <r>
      <rPr>
        <sz val="11"/>
        <rFont val="ＭＳ Ｐゴシック"/>
        <family val="3"/>
        <charset val="128"/>
        <scheme val="minor"/>
      </rPr>
      <t>秦三</t>
    </r>
    <r>
      <rPr>
        <sz val="11"/>
        <rFont val="ＭＳ Ｐゴシック"/>
        <family val="3"/>
        <charset val="134"/>
        <scheme val="minor"/>
      </rPr>
      <t>镝</t>
    </r>
  </si>
  <si>
    <r>
      <t>河北</t>
    </r>
    <r>
      <rPr>
        <sz val="11"/>
        <rFont val="ＭＳ Ｐゴシック"/>
        <family val="3"/>
        <charset val="134"/>
        <scheme val="minor"/>
      </rPr>
      <t>赢</t>
    </r>
    <r>
      <rPr>
        <sz val="11"/>
        <rFont val="ＭＳ Ｐゴシック"/>
        <family val="3"/>
        <charset val="128"/>
        <scheme val="minor"/>
      </rPr>
      <t>秦医</t>
    </r>
    <r>
      <rPr>
        <sz val="11"/>
        <rFont val="ＭＳ Ｐゴシック"/>
        <family val="3"/>
        <charset val="134"/>
        <scheme val="minor"/>
      </rPr>
      <t>疗</t>
    </r>
    <r>
      <rPr>
        <sz val="11"/>
        <rFont val="ＭＳ Ｐゴシック"/>
        <family val="3"/>
        <charset val="128"/>
        <scheme val="minor"/>
      </rPr>
      <t>器械</t>
    </r>
    <r>
      <rPr>
        <sz val="11"/>
        <rFont val="ＭＳ Ｐゴシック"/>
        <family val="3"/>
        <charset val="134"/>
        <scheme val="minor"/>
      </rPr>
      <t>销</t>
    </r>
    <r>
      <rPr>
        <sz val="11"/>
        <rFont val="ＭＳ Ｐゴシック"/>
        <family val="3"/>
        <charset val="128"/>
        <scheme val="minor"/>
      </rPr>
      <t>售有限公司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</si>
  <si>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开胃酒; 果酒(含酒精); 清酒;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</si>
  <si>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安阳酒在</t>
    </r>
    <r>
      <rPr>
        <sz val="11"/>
        <rFont val="ＭＳ Ｐゴシック"/>
        <family val="3"/>
        <charset val="134"/>
        <scheme val="minor"/>
      </rPr>
      <t>线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</si>
  <si>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食用酒精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</si>
  <si>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智(深圳)商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</si>
  <si>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桃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 xml:space="preserve">葡萄酒; 白葡萄酒;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起泡白葡萄酒; 起泡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</t>
    </r>
  </si>
  <si>
    <r>
      <rPr>
        <sz val="11"/>
        <rFont val="ＭＳ Ｐゴシック"/>
        <family val="3"/>
        <charset val="134"/>
        <scheme val="minor"/>
      </rPr>
      <t>榆</t>
    </r>
    <r>
      <rPr>
        <sz val="11"/>
        <rFont val="ＭＳ Ｐゴシック"/>
        <family val="3"/>
        <charset val="128"/>
        <scheme val="minor"/>
      </rPr>
      <t>滋</t>
    </r>
    <r>
      <rPr>
        <sz val="11"/>
        <rFont val="ＭＳ Ｐゴシック"/>
        <family val="3"/>
        <charset val="134"/>
        <scheme val="minor"/>
      </rPr>
      <t>榆</t>
    </r>
    <r>
      <rPr>
        <sz val="11"/>
        <rFont val="ＭＳ Ｐゴシック"/>
        <family val="3"/>
        <charset val="128"/>
        <scheme val="minor"/>
      </rPr>
      <t>味</t>
    </r>
  </si>
  <si>
    <r>
      <rPr>
        <sz val="11"/>
        <rFont val="ＭＳ Ｐゴシック"/>
        <family val="3"/>
        <charset val="134"/>
        <scheme val="minor"/>
      </rPr>
      <t>榆</t>
    </r>
    <r>
      <rPr>
        <sz val="11"/>
        <rFont val="ＭＳ Ｐゴシック"/>
        <family val="3"/>
        <charset val="128"/>
        <scheme val="minor"/>
      </rPr>
      <t>林大秦直道数字科技有限公司</t>
    </r>
  </si>
  <si>
    <r>
      <t>深圳小</t>
    </r>
    <r>
      <rPr>
        <sz val="11"/>
        <rFont val="ＭＳ Ｐゴシック"/>
        <family val="3"/>
        <charset val="134"/>
        <scheme val="minor"/>
      </rPr>
      <t>阔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</si>
  <si>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开胃酒; 果酒(含酒精); 梨酒;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甜果酒; 米酒; 葡萄酒; 黄酒</t>
    </r>
  </si>
  <si>
    <r>
      <t>蒙源古</t>
    </r>
    <r>
      <rPr>
        <sz val="11"/>
        <rFont val="ＭＳ Ｐゴシック"/>
        <family val="3"/>
        <charset val="134"/>
        <scheme val="minor"/>
      </rPr>
      <t>纳</t>
    </r>
    <r>
      <rPr>
        <sz val="11"/>
        <rFont val="ＭＳ Ｐゴシック"/>
        <family val="3"/>
        <charset val="128"/>
        <scheme val="minor"/>
      </rPr>
      <t>河</t>
    </r>
  </si>
  <si>
    <r>
      <t>内蒙古</t>
    </r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酒酒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</si>
  <si>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威士忌; 开胃酒; 果酒; 梨酒;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黄酒</t>
    </r>
  </si>
  <si>
    <r>
      <t>金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御橡酒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</si>
  <si>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</si>
  <si>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含牛奶的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含酒精蛋奶酒; 威士忌; 果酒(含酒精);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</si>
  <si>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广西誉盛酒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</si>
  <si>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甜果酒; 甜酒;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高粱酒</t>
    </r>
  </si>
  <si>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依瑞斯</t>
    </r>
  </si>
  <si>
    <r>
      <t>江</t>
    </r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尊荣文化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</si>
  <si>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青稞酒</t>
    </r>
  </si>
  <si>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夏</t>
    </r>
  </si>
  <si>
    <r>
      <t>王</t>
    </r>
    <r>
      <rPr>
        <sz val="11"/>
        <rFont val="ＭＳ Ｐゴシック"/>
        <family val="3"/>
        <charset val="134"/>
        <scheme val="minor"/>
      </rPr>
      <t>俞</t>
    </r>
  </si>
  <si>
    <r>
      <rPr>
        <sz val="11"/>
        <rFont val="ＭＳ Ｐゴシック"/>
        <family val="3"/>
        <charset val="134"/>
        <scheme val="minor"/>
      </rPr>
      <t>邹庆</t>
    </r>
  </si>
  <si>
    <r>
      <t xml:space="preserve"> 利口酒;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食用酒精;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</si>
  <si>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群厨</t>
    </r>
    <r>
      <rPr>
        <sz val="11"/>
        <rFont val="ＭＳ Ｐゴシック"/>
        <family val="3"/>
        <charset val="134"/>
        <scheme val="minor"/>
      </rPr>
      <t>荟</t>
    </r>
  </si>
  <si>
    <r>
      <rPr>
        <sz val="11"/>
        <rFont val="ＭＳ Ｐゴシック"/>
        <family val="3"/>
        <charset val="134"/>
        <scheme val="minor"/>
      </rPr>
      <t>库</t>
    </r>
    <r>
      <rPr>
        <sz val="11"/>
        <rFont val="ＭＳ Ｐゴシック"/>
        <family val="3"/>
        <charset val="128"/>
        <scheme val="minor"/>
      </rPr>
      <t>都斯</t>
    </r>
  </si>
  <si>
    <r>
      <t>王</t>
    </r>
    <r>
      <rPr>
        <sz val="11"/>
        <rFont val="ＭＳ Ｐゴシック"/>
        <family val="3"/>
        <charset val="134"/>
        <scheme val="minor"/>
      </rPr>
      <t>凯</t>
    </r>
  </si>
  <si>
    <r>
      <t xml:space="preserve">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高粱酒</t>
    </r>
  </si>
  <si>
    <r>
      <t>上杭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酉辰餐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</si>
  <si>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开胃酒; 果酒(含酒精); 梅酒; 清酒(日本米酒); 烈酒;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</si>
  <si>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范</t>
    </r>
    <r>
      <rPr>
        <sz val="11"/>
        <rFont val="ＭＳ Ｐゴシック"/>
        <family val="3"/>
        <charset val="134"/>
        <scheme val="minor"/>
      </rPr>
      <t>丽</t>
    </r>
    <r>
      <rPr>
        <sz val="11"/>
        <rFont val="ＭＳ Ｐゴシック"/>
        <family val="3"/>
        <charset val="128"/>
        <scheme val="minor"/>
      </rPr>
      <t>杰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</si>
  <si>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露酒;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</si>
  <si>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海口周和福企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</si>
  <si>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伏特加酒; 利口酒; 开胃酒;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</si>
  <si>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富星</t>
    </r>
    <r>
      <rPr>
        <sz val="11"/>
        <rFont val="ＭＳ Ｐゴシック"/>
        <family val="3"/>
        <charset val="134"/>
        <scheme val="minor"/>
      </rPr>
      <t>辉</t>
    </r>
  </si>
  <si>
    <r>
      <rPr>
        <sz val="11"/>
        <rFont val="ＭＳ Ｐゴシック"/>
        <family val="3"/>
        <charset val="134"/>
        <scheme val="minor"/>
      </rPr>
      <t>临</t>
    </r>
    <r>
      <rPr>
        <sz val="11"/>
        <rFont val="ＭＳ Ｐゴシック"/>
        <family val="3"/>
        <charset val="128"/>
        <scheme val="minor"/>
      </rPr>
      <t>沂玖越信息科技有限公司</t>
    </r>
  </si>
  <si>
    <r>
      <t xml:space="preserve"> 威士忌; 开胃酒; 汽酒; 烈酒; 白酒; 米酒;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食用酒精; 黄酒</t>
    </r>
  </si>
  <si>
    <r>
      <t>黄</t>
    </r>
    <r>
      <rPr>
        <sz val="11"/>
        <rFont val="ＭＳ Ｐゴシック"/>
        <family val="3"/>
        <charset val="134"/>
        <scheme val="minor"/>
      </rPr>
      <t>伟钊</t>
    </r>
  </si>
  <si>
    <r>
      <t xml:space="preserve">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青稞酒; 食用酒精; 黄酒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</si>
  <si>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心岩意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</si>
  <si>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岩市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古田教育培</t>
    </r>
    <r>
      <rPr>
        <sz val="11"/>
        <rFont val="ＭＳ Ｐゴシック"/>
        <family val="3"/>
        <charset val="134"/>
        <scheme val="minor"/>
      </rPr>
      <t>训</t>
    </r>
    <r>
      <rPr>
        <sz val="11"/>
        <rFont val="ＭＳ Ｐゴシック"/>
        <family val="3"/>
        <charset val="128"/>
        <scheme val="minor"/>
      </rPr>
      <t>中心有限公司</t>
    </r>
  </si>
  <si>
    <r>
      <t xml:space="preserve"> 果酒(含酒精); 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</si>
  <si>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t>尚品儒</t>
    </r>
    <r>
      <rPr>
        <sz val="11"/>
        <rFont val="ＭＳ Ｐゴシック"/>
        <family val="3"/>
        <charset val="134"/>
        <scheme val="minor"/>
      </rPr>
      <t>风</t>
    </r>
  </si>
  <si>
    <r>
      <rPr>
        <sz val="11"/>
        <rFont val="ＭＳ Ｐゴシック"/>
        <family val="3"/>
        <charset val="134"/>
        <scheme val="minor"/>
      </rPr>
      <t>鱼</t>
    </r>
    <r>
      <rPr>
        <sz val="11"/>
        <rFont val="ＭＳ Ｐゴシック"/>
        <family val="3"/>
        <charset val="128"/>
        <scheme val="minor"/>
      </rPr>
      <t>台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双晟商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</si>
  <si>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</si>
  <si>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河北井百凉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品有限公司</t>
    </r>
  </si>
  <si>
    <r>
      <t xml:space="preserve"> 威士忌;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</si>
  <si>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湖南一品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方国</t>
    </r>
    <r>
      <rPr>
        <sz val="11"/>
        <rFont val="ＭＳ Ｐゴシック"/>
        <family val="3"/>
        <charset val="134"/>
        <scheme val="minor"/>
      </rPr>
      <t>际</t>
    </r>
    <r>
      <rPr>
        <sz val="11"/>
        <rFont val="ＭＳ Ｐゴシック"/>
        <family val="3"/>
        <charset val="128"/>
        <scheme val="minor"/>
      </rPr>
      <t>工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</si>
  <si>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酸酒(低等葡萄酒);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</si>
  <si>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提要</t>
    </r>
    <r>
      <rPr>
        <sz val="11"/>
        <rFont val="ＭＳ Ｐゴシック"/>
        <family val="3"/>
        <charset val="134"/>
        <scheme val="minor"/>
      </rPr>
      <t>钩</t>
    </r>
    <r>
      <rPr>
        <sz val="11"/>
        <rFont val="ＭＳ Ｐゴシック"/>
        <family val="3"/>
        <charset val="128"/>
        <scheme val="minor"/>
      </rPr>
      <t>玄</t>
    </r>
  </si>
  <si>
    <r>
      <t>河南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九食品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</si>
  <si>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</si>
  <si>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甲</t>
    </r>
    <r>
      <rPr>
        <sz val="11"/>
        <rFont val="ＭＳ Ｐゴシック"/>
        <family val="3"/>
        <charset val="134"/>
        <scheme val="minor"/>
      </rPr>
      <t>贝</t>
    </r>
  </si>
  <si>
    <r>
      <t>寿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玉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春酒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</si>
  <si>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</si>
  <si>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权图</t>
    </r>
    <r>
      <rPr>
        <sz val="11"/>
        <rFont val="ＭＳ Ｐゴシック"/>
        <family val="3"/>
        <charset val="128"/>
        <scheme val="minor"/>
      </rPr>
      <t>精</t>
    </r>
    <r>
      <rPr>
        <sz val="11"/>
        <rFont val="ＭＳ Ｐゴシック"/>
        <family val="3"/>
        <charset val="134"/>
        <scheme val="minor"/>
      </rPr>
      <t>选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</si>
  <si>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 xml:space="preserve">桃酒;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高粱酒; 黄酒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</si>
  <si>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方</t>
    </r>
    <r>
      <rPr>
        <sz val="11"/>
        <rFont val="ＭＳ Ｐゴシック"/>
        <family val="3"/>
        <charset val="134"/>
        <scheme val="minor"/>
      </rPr>
      <t>鸿</t>
    </r>
    <r>
      <rPr>
        <sz val="11"/>
        <rFont val="ＭＳ Ｐゴシック"/>
        <family val="3"/>
        <charset val="128"/>
        <scheme val="minor"/>
      </rPr>
      <t>景</t>
    </r>
  </si>
  <si>
    <r>
      <t>福建唯茶</t>
    </r>
    <r>
      <rPr>
        <sz val="11"/>
        <rFont val="ＭＳ Ｐゴシック"/>
        <family val="3"/>
        <charset val="134"/>
        <scheme val="minor"/>
      </rPr>
      <t>创业</t>
    </r>
    <r>
      <rPr>
        <sz val="11"/>
        <rFont val="ＭＳ Ｐゴシック"/>
        <family val="3"/>
        <charset val="128"/>
        <scheme val="minor"/>
      </rPr>
      <t>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中心(有限合伙)</t>
    </r>
  </si>
  <si>
    <r>
      <t xml:space="preserve">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</t>
    </r>
  </si>
  <si>
    <r>
      <t>省大</t>
    </r>
    <r>
      <rPr>
        <sz val="11"/>
        <rFont val="ＭＳ Ｐゴシック"/>
        <family val="3"/>
        <charset val="134"/>
        <scheme val="minor"/>
      </rPr>
      <t>师</t>
    </r>
    <r>
      <rPr>
        <sz val="11"/>
        <rFont val="ＭＳ Ｐゴシック"/>
        <family val="3"/>
        <charset val="128"/>
        <scheme val="minor"/>
      </rPr>
      <t>庄园</t>
    </r>
  </si>
  <si>
    <r>
      <t xml:space="preserve"> 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力酒; 开胃酒; 果酒(含酒精); 白酒; 苹果酒;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</t>
    </r>
  </si>
  <si>
    <r>
      <t>南京柴米商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</si>
  <si>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五加皮酒(中国混合烈酒); 烈性干酒; 甘蔗制烈酒;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白葡萄酒; 白酒; 米酒; 茴香酒(利口酒); 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用烈酒;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</si>
  <si>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荷</t>
    </r>
    <r>
      <rPr>
        <sz val="11"/>
        <rFont val="ＭＳ Ｐゴシック"/>
        <family val="3"/>
        <charset val="134"/>
        <scheme val="minor"/>
      </rPr>
      <t>赋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</si>
  <si>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州梦幽台酒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</si>
  <si>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</si>
  <si>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迎春酒小</t>
    </r>
    <r>
      <rPr>
        <sz val="11"/>
        <rFont val="ＭＳ Ｐゴシック"/>
        <family val="3"/>
        <charset val="134"/>
        <scheme val="minor"/>
      </rPr>
      <t>满</t>
    </r>
  </si>
  <si>
    <r>
      <t>河北迎春酒集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</si>
  <si>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果酒;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高粱酒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</si>
  <si>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大威</t>
    </r>
    <r>
      <rPr>
        <sz val="11"/>
        <rFont val="ＭＳ Ｐゴシック"/>
        <family val="3"/>
        <charset val="134"/>
        <scheme val="minor"/>
      </rPr>
      <t>鸣</t>
    </r>
  </si>
  <si>
    <r>
      <t>周口洪</t>
    </r>
    <r>
      <rPr>
        <sz val="11"/>
        <rFont val="ＭＳ Ｐゴシック"/>
        <family val="3"/>
        <charset val="134"/>
        <scheme val="minor"/>
      </rPr>
      <t>济</t>
    </r>
    <r>
      <rPr>
        <sz val="11"/>
        <rFont val="ＭＳ Ｐゴシック"/>
        <family val="3"/>
        <charset val="128"/>
        <scheme val="minor"/>
      </rPr>
      <t>堂医</t>
    </r>
    <r>
      <rPr>
        <sz val="11"/>
        <rFont val="ＭＳ Ｐゴシック"/>
        <family val="3"/>
        <charset val="134"/>
        <scheme val="minor"/>
      </rPr>
      <t>药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</si>
  <si>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高粱酒; 黄酒</t>
    </r>
  </si>
  <si>
    <r>
      <t>唐</t>
    </r>
    <r>
      <rPr>
        <sz val="11"/>
        <rFont val="ＭＳ Ｐゴシック"/>
        <family val="3"/>
        <charset val="134"/>
        <scheme val="minor"/>
      </rPr>
      <t>伟</t>
    </r>
    <r>
      <rPr>
        <sz val="11"/>
        <rFont val="ＭＳ Ｐゴシック"/>
        <family val="3"/>
        <charset val="128"/>
        <scheme val="minor"/>
      </rPr>
      <t>如</t>
    </r>
  </si>
  <si>
    <r>
      <t>杭州</t>
    </r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合易成科技有限公司</t>
    </r>
  </si>
  <si>
    <r>
      <t xml:space="preserve"> 威士忌; 果酒(含酒精);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黄酒</t>
    </r>
  </si>
  <si>
    <r>
      <t>北京源本源德能</t>
    </r>
    <r>
      <rPr>
        <sz val="11"/>
        <rFont val="ＭＳ Ｐゴシック"/>
        <family val="3"/>
        <charset val="134"/>
        <scheme val="minor"/>
      </rPr>
      <t>项</t>
    </r>
    <r>
      <rPr>
        <sz val="11"/>
        <rFont val="ＭＳ Ｐゴシック"/>
        <family val="3"/>
        <charset val="128"/>
        <scheme val="minor"/>
      </rPr>
      <t>目管理有限公司</t>
    </r>
  </si>
  <si>
    <r>
      <t xml:space="preserve"> 果酒;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</si>
  <si>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年</t>
    </r>
    <r>
      <rPr>
        <sz val="11"/>
        <rFont val="ＭＳ Ｐゴシック"/>
        <family val="3"/>
        <charset val="134"/>
        <scheme val="minor"/>
      </rPr>
      <t>满</t>
    </r>
    <r>
      <rPr>
        <sz val="11"/>
        <rFont val="ＭＳ Ｐゴシック"/>
        <family val="3"/>
        <charset val="128"/>
        <scheme val="minor"/>
      </rPr>
      <t>香</t>
    </r>
  </si>
  <si>
    <r>
      <rPr>
        <sz val="11"/>
        <rFont val="ＭＳ Ｐゴシック"/>
        <family val="3"/>
        <charset val="134"/>
        <scheme val="minor"/>
      </rPr>
      <t>陈应</t>
    </r>
    <r>
      <rPr>
        <sz val="11"/>
        <rFont val="ＭＳ Ｐゴシック"/>
        <family val="3"/>
        <charset val="128"/>
        <scheme val="minor"/>
      </rPr>
      <t>先</t>
    </r>
  </si>
  <si>
    <r>
      <t xml:space="preserve"> 开胃酒; 果酒;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高粱酒</t>
    </r>
  </si>
  <si>
    <r>
      <t>得</t>
    </r>
    <r>
      <rPr>
        <sz val="11"/>
        <rFont val="ＭＳ Ｐゴシック"/>
        <family val="3"/>
        <charset val="134"/>
        <scheme val="minor"/>
      </rPr>
      <t>胜</t>
    </r>
    <r>
      <rPr>
        <sz val="11"/>
        <rFont val="ＭＳ Ｐゴシック"/>
        <family val="3"/>
        <charset val="128"/>
        <scheme val="minor"/>
      </rPr>
      <t>渡</t>
    </r>
  </si>
  <si>
    <r>
      <t>湘</t>
    </r>
    <r>
      <rPr>
        <sz val="11"/>
        <rFont val="ＭＳ Ｐゴシック"/>
        <family val="3"/>
        <charset val="134"/>
        <scheme val="minor"/>
      </rPr>
      <t>见红</t>
    </r>
    <r>
      <rPr>
        <sz val="11"/>
        <rFont val="ＭＳ Ｐゴシック"/>
        <family val="3"/>
        <charset val="128"/>
        <scheme val="minor"/>
      </rPr>
      <t>运</t>
    </r>
  </si>
  <si>
    <r>
      <t>国菱家具(集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)有限公司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</si>
  <si>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米酒; 苦味酒; 苹果酒; 葡萄酒;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</si>
  <si>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禹</t>
    </r>
    <r>
      <rPr>
        <sz val="11"/>
        <rFont val="ＭＳ Ｐゴシック"/>
        <family val="3"/>
        <charset val="134"/>
        <scheme val="minor"/>
      </rPr>
      <t>军</t>
    </r>
    <r>
      <rPr>
        <sz val="11"/>
        <rFont val="ＭＳ Ｐゴシック"/>
        <family val="3"/>
        <charset val="128"/>
        <scheme val="minor"/>
      </rPr>
      <t>九</t>
    </r>
  </si>
  <si>
    <r>
      <t>浙江禹迹文化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</si>
  <si>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酱</t>
    </r>
    <r>
      <rPr>
        <sz val="11"/>
        <rFont val="ＭＳ Ｐゴシック"/>
        <family val="3"/>
        <charset val="128"/>
        <scheme val="minor"/>
      </rPr>
      <t>酒集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</si>
  <si>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</si>
  <si>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金礼</t>
    </r>
    <r>
      <rPr>
        <sz val="11"/>
        <rFont val="ＭＳ Ｐゴシック"/>
        <family val="3"/>
        <charset val="134"/>
        <scheme val="minor"/>
      </rPr>
      <t>宾坛</t>
    </r>
    <r>
      <rPr>
        <sz val="11"/>
        <rFont val="ＭＳ Ｐゴシック"/>
        <family val="3"/>
        <charset val="128"/>
        <scheme val="minor"/>
      </rPr>
      <t>牌 礼</t>
    </r>
    <r>
      <rPr>
        <sz val="11"/>
        <rFont val="ＭＳ Ｐゴシック"/>
        <family val="3"/>
        <charset val="134"/>
        <scheme val="minor"/>
      </rPr>
      <t>宾坛</t>
    </r>
    <r>
      <rPr>
        <sz val="11"/>
        <rFont val="ＭＳ Ｐゴシック"/>
        <family val="3"/>
        <charset val="128"/>
        <scheme val="minor"/>
      </rPr>
      <t>牌 礼</t>
    </r>
    <r>
      <rPr>
        <sz val="11"/>
        <rFont val="ＭＳ Ｐゴシック"/>
        <family val="3"/>
        <charset val="134"/>
        <scheme val="minor"/>
      </rPr>
      <t>宾坛</t>
    </r>
  </si>
  <si>
    <r>
      <t>香港</t>
    </r>
    <r>
      <rPr>
        <sz val="11"/>
        <rFont val="ＭＳ Ｐゴシック"/>
        <family val="3"/>
        <charset val="134"/>
        <scheme val="minor"/>
      </rPr>
      <t>樱语</t>
    </r>
    <r>
      <rPr>
        <sz val="11"/>
        <rFont val="ＭＳ Ｐゴシック"/>
        <family val="3"/>
        <charset val="128"/>
        <scheme val="minor"/>
      </rPr>
      <t>有限公司</t>
    </r>
  </si>
  <si>
    <r>
      <t>太和</t>
    </r>
    <r>
      <rPr>
        <sz val="11"/>
        <rFont val="ＭＳ Ｐゴシック"/>
        <family val="3"/>
        <charset val="134"/>
        <scheme val="minor"/>
      </rPr>
      <t>鲤</t>
    </r>
    <r>
      <rPr>
        <sz val="11"/>
        <rFont val="ＭＳ Ｐゴシック"/>
        <family val="3"/>
        <charset val="128"/>
        <scheme val="minor"/>
      </rPr>
      <t xml:space="preserve"> 六百年的</t>
    </r>
    <r>
      <rPr>
        <sz val="11"/>
        <rFont val="ＭＳ Ｐゴシック"/>
        <family val="3"/>
        <charset val="134"/>
        <scheme val="minor"/>
      </rPr>
      <t>记忆</t>
    </r>
  </si>
  <si>
    <r>
      <t>北京酒追誉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</si>
  <si>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</si>
  <si>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卢爱琼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</si>
  <si>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</si>
  <si>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宏</t>
    </r>
    <r>
      <rPr>
        <sz val="11"/>
        <rFont val="ＭＳ Ｐゴシック"/>
        <family val="3"/>
        <charset val="134"/>
        <scheme val="minor"/>
      </rPr>
      <t>狮</t>
    </r>
  </si>
  <si>
    <r>
      <t>杜牧</t>
    </r>
    <r>
      <rPr>
        <sz val="11"/>
        <rFont val="ＭＳ Ｐゴシック"/>
        <family val="3"/>
        <charset val="134"/>
        <scheme val="minor"/>
      </rPr>
      <t>风</t>
    </r>
    <r>
      <rPr>
        <sz val="11"/>
        <rFont val="ＭＳ Ｐゴシック"/>
        <family val="3"/>
        <charset val="128"/>
        <scheme val="minor"/>
      </rPr>
      <t>雅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</si>
  <si>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米酒; 苹果酒;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</si>
  <si>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陈</t>
    </r>
    <r>
      <rPr>
        <sz val="11"/>
        <rFont val="ＭＳ Ｐゴシック"/>
        <family val="3"/>
        <charset val="128"/>
        <scheme val="minor"/>
      </rPr>
      <t>春枝</t>
    </r>
  </si>
  <si>
    <r>
      <t xml:space="preserve">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</si>
  <si>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五七至芳</t>
    </r>
    <r>
      <rPr>
        <sz val="11"/>
        <rFont val="ＭＳ Ｐゴシック"/>
        <family val="3"/>
        <charset val="134"/>
        <scheme val="minor"/>
      </rPr>
      <t>华</t>
    </r>
  </si>
  <si>
    <r>
      <rPr>
        <sz val="11"/>
        <rFont val="ＭＳ Ｐゴシック"/>
        <family val="3"/>
        <charset val="134"/>
        <scheme val="minor"/>
      </rPr>
      <t>赣</t>
    </r>
    <r>
      <rPr>
        <sz val="11"/>
        <rFont val="ＭＳ Ｐゴシック"/>
        <family val="3"/>
        <charset val="128"/>
        <scheme val="minor"/>
      </rPr>
      <t>州市中天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信假日酒店投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</si>
  <si>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伏特加酒; 威士忌; 朗姆酒;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食用酒精; 黄酒</t>
    </r>
  </si>
  <si>
    <r>
      <t>街</t>
    </r>
    <r>
      <rPr>
        <sz val="11"/>
        <rFont val="ＭＳ Ｐゴシック"/>
        <family val="3"/>
        <charset val="134"/>
        <scheme val="minor"/>
      </rPr>
      <t>见</t>
    </r>
  </si>
  <si>
    <r>
      <t>北京</t>
    </r>
    <r>
      <rPr>
        <sz val="11"/>
        <rFont val="ＭＳ Ｐゴシック"/>
        <family val="3"/>
        <charset val="134"/>
        <scheme val="minor"/>
      </rPr>
      <t>码</t>
    </r>
    <r>
      <rPr>
        <sz val="11"/>
        <rFont val="ＭＳ Ｐゴシック"/>
        <family val="3"/>
        <charset val="128"/>
        <scheme val="minor"/>
      </rPr>
      <t>信科技集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</si>
  <si>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开胃酒;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苹果酒;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</si>
  <si>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MONSTER TRIBE 巨</t>
    </r>
    <r>
      <rPr>
        <sz val="11"/>
        <rFont val="ＭＳ Ｐゴシック"/>
        <family val="3"/>
        <charset val="134"/>
        <scheme val="minor"/>
      </rPr>
      <t>兽</t>
    </r>
    <r>
      <rPr>
        <sz val="11"/>
        <rFont val="ＭＳ Ｐゴシック"/>
        <family val="3"/>
        <charset val="128"/>
        <scheme val="minor"/>
      </rPr>
      <t>部落</t>
    </r>
  </si>
  <si>
    <r>
      <rPr>
        <sz val="11"/>
        <rFont val="ＭＳ Ｐゴシック"/>
        <family val="3"/>
        <charset val="134"/>
        <scheme val="minor"/>
      </rPr>
      <t>韦</t>
    </r>
    <r>
      <rPr>
        <sz val="11"/>
        <rFont val="ＭＳ Ｐゴシック"/>
        <family val="3"/>
        <charset val="128"/>
        <scheme val="minor"/>
      </rPr>
      <t>淑清</t>
    </r>
  </si>
  <si>
    <r>
      <t xml:space="preserve"> 朗姆酒;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</si>
  <si>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>安徽中江酒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</si>
  <si>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白酒; 米酒; 葡萄酒; 蒸煮提取物(利口酒和烈酒);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</si>
  <si>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>四川不老潭企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</si>
  <si>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果酒; 果酒(含酒精); 梨酒;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露酒; 高粱酒; 黄酒</t>
    </r>
  </si>
  <si>
    <r>
      <t>章</t>
    </r>
    <r>
      <rPr>
        <sz val="11"/>
        <rFont val="ＭＳ Ｐゴシック"/>
        <family val="3"/>
        <charset val="134"/>
        <scheme val="minor"/>
      </rPr>
      <t>烨</t>
    </r>
  </si>
  <si>
    <r>
      <t>麓山芳</t>
    </r>
    <r>
      <rPr>
        <sz val="11"/>
        <rFont val="ＭＳ Ｐゴシック"/>
        <family val="3"/>
        <charset val="134"/>
        <scheme val="minor"/>
      </rPr>
      <t>华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</si>
  <si>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州酒无之境酒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</si>
  <si>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含酒精的充气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</si>
  <si>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斟</t>
    </r>
    <r>
      <rPr>
        <sz val="11"/>
        <rFont val="ＭＳ Ｐゴシック"/>
        <family val="3"/>
        <charset val="134"/>
        <scheme val="minor"/>
      </rPr>
      <t>满</t>
    </r>
    <r>
      <rPr>
        <sz val="11"/>
        <rFont val="ＭＳ Ｐゴシック"/>
        <family val="3"/>
        <charset val="128"/>
        <scheme val="minor"/>
      </rPr>
      <t>江</t>
    </r>
  </si>
  <si>
    <r>
      <t>李</t>
    </r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江</t>
    </r>
  </si>
  <si>
    <r>
      <t xml:space="preserve"> 果酒;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餐后酒(利口酒和烈酒); 黄酒</t>
    </r>
  </si>
  <si>
    <r>
      <t>秦王</t>
    </r>
    <r>
      <rPr>
        <sz val="11"/>
        <rFont val="ＭＳ Ｐゴシック"/>
        <family val="3"/>
        <charset val="134"/>
        <scheme val="minor"/>
      </rPr>
      <t>赋</t>
    </r>
  </si>
  <si>
    <r>
      <rPr>
        <sz val="11"/>
        <rFont val="ＭＳ Ｐゴシック"/>
        <family val="3"/>
        <charset val="134"/>
        <scheme val="minor"/>
      </rPr>
      <t>卢莹</t>
    </r>
  </si>
  <si>
    <r>
      <t>浮</t>
    </r>
    <r>
      <rPr>
        <sz val="11"/>
        <rFont val="ＭＳ Ｐゴシック"/>
        <family val="3"/>
        <charset val="134"/>
        <scheme val="minor"/>
      </rPr>
      <t>沧</t>
    </r>
    <r>
      <rPr>
        <sz val="11"/>
        <rFont val="ＭＳ Ｐゴシック"/>
        <family val="3"/>
        <charset val="128"/>
        <scheme val="minor"/>
      </rPr>
      <t>海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</si>
  <si>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诣</t>
    </r>
    <r>
      <rPr>
        <sz val="11"/>
        <rFont val="ＭＳ Ｐゴシック"/>
        <family val="3"/>
        <charset val="128"/>
        <scheme val="minor"/>
      </rPr>
      <t>工坊酒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</si>
  <si>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咸阳易</t>
    </r>
    <r>
      <rPr>
        <sz val="11"/>
        <rFont val="ＭＳ Ｐゴシック"/>
        <family val="3"/>
        <charset val="134"/>
        <scheme val="minor"/>
      </rPr>
      <t>诚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</si>
  <si>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开胃酒;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食用酒精; 黄酒</t>
    </r>
  </si>
  <si>
    <r>
      <t>牌坊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御制</t>
    </r>
  </si>
  <si>
    <r>
      <t>何建</t>
    </r>
    <r>
      <rPr>
        <sz val="11"/>
        <rFont val="ＭＳ Ｐゴシック"/>
        <family val="3"/>
        <charset val="134"/>
        <scheme val="minor"/>
      </rPr>
      <t>军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</si>
  <si>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苦味酒;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青稞酒; 高粱酒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</si>
  <si>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莞市光大</t>
    </r>
    <r>
      <rPr>
        <sz val="11"/>
        <rFont val="ＭＳ Ｐゴシック"/>
        <family val="3"/>
        <charset val="134"/>
        <scheme val="minor"/>
      </rPr>
      <t>产业</t>
    </r>
    <r>
      <rPr>
        <sz val="11"/>
        <rFont val="ＭＳ Ｐゴシック"/>
        <family val="3"/>
        <charset val="128"/>
        <scheme val="minor"/>
      </rPr>
      <t>投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</si>
  <si>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</si>
  <si>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大</t>
    </r>
    <r>
      <rPr>
        <sz val="11"/>
        <rFont val="ＭＳ Ｐゴシック"/>
        <family val="3"/>
        <charset val="134"/>
        <scheme val="minor"/>
      </rPr>
      <t>连</t>
    </r>
    <r>
      <rPr>
        <sz val="11"/>
        <rFont val="ＭＳ Ｐゴシック"/>
        <family val="3"/>
        <charset val="128"/>
        <scheme val="minor"/>
      </rPr>
      <t>久宏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</si>
  <si>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伏特加酒; 威士忌; 果酒(含酒精); 汽酒;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</si>
  <si>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皇</t>
    </r>
    <r>
      <rPr>
        <sz val="11"/>
        <rFont val="ＭＳ Ｐゴシック"/>
        <family val="3"/>
        <charset val="134"/>
        <scheme val="minor"/>
      </rPr>
      <t>诏</t>
    </r>
    <r>
      <rPr>
        <sz val="11"/>
        <rFont val="ＭＳ Ｐゴシック"/>
        <family val="3"/>
        <charset val="128"/>
        <scheme val="minor"/>
      </rPr>
      <t>金缸</t>
    </r>
  </si>
  <si>
    <r>
      <t xml:space="preserve"> 伏特加酒;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开胃酒;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</si>
  <si>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拥</t>
    </r>
    <r>
      <rPr>
        <sz val="11"/>
        <rFont val="ＭＳ Ｐゴシック"/>
        <family val="3"/>
        <charset val="128"/>
        <scheme val="minor"/>
      </rPr>
      <t>珍牌 YONGZHEN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</si>
  <si>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坤承</t>
    </r>
    <r>
      <rPr>
        <sz val="11"/>
        <rFont val="ＭＳ Ｐゴシック"/>
        <family val="3"/>
        <charset val="134"/>
        <scheme val="minor"/>
      </rPr>
      <t>农业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</si>
  <si>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酒; 果酒; 果酒(含酒精); 水果汽酒; 白酒;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露酒; 青稞酒</t>
    </r>
  </si>
  <si>
    <r>
      <rPr>
        <sz val="11"/>
        <rFont val="ＭＳ Ｐゴシック"/>
        <family val="3"/>
        <charset val="134"/>
        <scheme val="minor"/>
      </rPr>
      <t>陕药</t>
    </r>
    <r>
      <rPr>
        <sz val="11"/>
        <rFont val="ＭＳ Ｐゴシック"/>
        <family val="3"/>
        <charset val="128"/>
        <scheme val="minor"/>
      </rPr>
      <t>鹿园</t>
    </r>
  </si>
  <si>
    <r>
      <rPr>
        <sz val="11"/>
        <rFont val="ＭＳ Ｐゴシック"/>
        <family val="3"/>
        <charset val="134"/>
        <scheme val="minor"/>
      </rPr>
      <t>陕</t>
    </r>
    <r>
      <rPr>
        <sz val="11"/>
        <rFont val="ＭＳ Ｐゴシック"/>
        <family val="3"/>
        <charset val="128"/>
        <scheme val="minor"/>
      </rPr>
      <t>西医</t>
    </r>
    <r>
      <rPr>
        <sz val="11"/>
        <rFont val="ＭＳ Ｐゴシック"/>
        <family val="3"/>
        <charset val="134"/>
        <scheme val="minor"/>
      </rPr>
      <t>药</t>
    </r>
    <r>
      <rPr>
        <sz val="11"/>
        <rFont val="ＭＳ Ｐゴシック"/>
        <family val="3"/>
        <charset val="128"/>
        <scheme val="minor"/>
      </rPr>
      <t>控股集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鹿园医</t>
    </r>
    <r>
      <rPr>
        <sz val="11"/>
        <rFont val="ＭＳ Ｐゴシック"/>
        <family val="3"/>
        <charset val="134"/>
        <scheme val="minor"/>
      </rPr>
      <t>疗</t>
    </r>
    <r>
      <rPr>
        <sz val="11"/>
        <rFont val="ＭＳ Ｐゴシック"/>
        <family val="3"/>
        <charset val="128"/>
        <scheme val="minor"/>
      </rPr>
      <t>健康科技有限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</si>
  <si>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</si>
  <si>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 xml:space="preserve"> 伏特加酒; 威士忌; 果酒; 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</si>
  <si>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帝宴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樽</t>
    </r>
  </si>
  <si>
    <r>
      <t>于山河酒</t>
    </r>
    <r>
      <rPr>
        <sz val="11"/>
        <rFont val="ＭＳ Ｐゴシック"/>
        <family val="3"/>
        <charset val="134"/>
        <scheme val="minor"/>
      </rPr>
      <t>业</t>
    </r>
  </si>
  <si>
    <r>
      <rPr>
        <sz val="11"/>
        <rFont val="ＭＳ Ｐゴシック"/>
        <family val="3"/>
        <charset val="134"/>
        <scheme val="minor"/>
      </rPr>
      <t>滨</t>
    </r>
    <r>
      <rPr>
        <sz val="11"/>
        <rFont val="ＭＳ Ｐゴシック"/>
        <family val="3"/>
        <charset val="128"/>
        <scheme val="minor"/>
      </rPr>
      <t>州于山河酒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</si>
  <si>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威士忌; 朗姆酒;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黄酒</t>
    </r>
  </si>
  <si>
    <r>
      <rPr>
        <sz val="11"/>
        <rFont val="ＭＳ Ｐゴシック"/>
        <family val="3"/>
        <charset val="134"/>
        <scheme val="minor"/>
      </rPr>
      <t>赵</t>
    </r>
    <r>
      <rPr>
        <sz val="11"/>
        <rFont val="ＭＳ Ｐゴシック"/>
        <family val="3"/>
        <charset val="128"/>
        <scheme val="minor"/>
      </rPr>
      <t>永建</t>
    </r>
  </si>
  <si>
    <r>
      <t xml:space="preserve"> 威士忌;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</si>
  <si>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哈弗</t>
    </r>
    <r>
      <rPr>
        <sz val="11"/>
        <rFont val="ＭＳ Ｐゴシック"/>
        <family val="3"/>
        <charset val="134"/>
        <scheme val="minor"/>
      </rPr>
      <t>联</t>
    </r>
    <r>
      <rPr>
        <sz val="11"/>
        <rFont val="ＭＳ Ｐゴシック"/>
        <family val="3"/>
        <charset val="128"/>
        <scheme val="minor"/>
      </rPr>
      <t>盟</t>
    </r>
  </si>
  <si>
    <r>
      <t>上海涂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</si>
  <si>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薄荷酒;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</si>
  <si>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汉红</t>
    </r>
    <r>
      <rPr>
        <sz val="11"/>
        <rFont val="ＭＳ Ｐゴシック"/>
        <family val="3"/>
        <charset val="128"/>
        <scheme val="minor"/>
      </rPr>
      <t>梁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</si>
  <si>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</si>
  <si>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茗源供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(深圳)有限公司</t>
    </r>
  </si>
  <si>
    <r>
      <t xml:space="preserve"> 伏特加酒;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黄酒</t>
    </r>
  </si>
  <si>
    <r>
      <rPr>
        <sz val="11"/>
        <rFont val="ＭＳ Ｐゴシック"/>
        <family val="3"/>
        <charset val="134"/>
        <scheme val="minor"/>
      </rPr>
      <t>汇</t>
    </r>
    <r>
      <rPr>
        <sz val="11"/>
        <rFont val="ＭＳ Ｐゴシック"/>
        <family val="3"/>
        <charset val="128"/>
        <scheme val="minor"/>
      </rPr>
      <t>会家</t>
    </r>
  </si>
  <si>
    <r>
      <t>上海</t>
    </r>
    <r>
      <rPr>
        <sz val="11"/>
        <rFont val="ＭＳ Ｐゴシック"/>
        <family val="3"/>
        <charset val="134"/>
        <scheme val="minor"/>
      </rPr>
      <t>汇</t>
    </r>
    <r>
      <rPr>
        <sz val="11"/>
        <rFont val="ＭＳ Ｐゴシック"/>
        <family val="3"/>
        <charset val="128"/>
        <scheme val="minor"/>
      </rPr>
      <t>会家便利店有限公司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</si>
  <si>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品;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梅酒; 甜酒; 白干酒(中国白酒);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葡萄汽酒; 露酒; 青梅酒</t>
    </r>
  </si>
  <si>
    <r>
      <t>洋河文</t>
    </r>
    <r>
      <rPr>
        <sz val="11"/>
        <rFont val="ＭＳ Ｐゴシック"/>
        <family val="3"/>
        <charset val="134"/>
        <scheme val="minor"/>
      </rPr>
      <t>创</t>
    </r>
  </si>
  <si>
    <r>
      <t>雁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田庄酒宅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</si>
  <si>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白干酒(中国白酒); 白酒; 米酒; 蜂蜜酒; 高粱酒</t>
    </r>
  </si>
  <si>
    <r>
      <rPr>
        <sz val="11"/>
        <rFont val="ＭＳ Ｐゴシック"/>
        <family val="3"/>
        <charset val="134"/>
        <scheme val="minor"/>
      </rPr>
      <t>芈</t>
    </r>
    <r>
      <rPr>
        <sz val="11"/>
        <rFont val="ＭＳ Ｐゴシック"/>
        <family val="3"/>
        <charset val="128"/>
        <scheme val="minor"/>
      </rPr>
      <t>太后小重九</t>
    </r>
  </si>
  <si>
    <r>
      <rPr>
        <sz val="11"/>
        <rFont val="ＭＳ Ｐゴシック"/>
        <family val="3"/>
        <charset val="134"/>
        <scheme val="minor"/>
      </rPr>
      <t>飞</t>
    </r>
    <r>
      <rPr>
        <sz val="11"/>
        <rFont val="ＭＳ Ｐゴシック"/>
        <family val="3"/>
        <charset val="128"/>
        <scheme val="minor"/>
      </rPr>
      <t>酌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</si>
  <si>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</t>
    </r>
    <r>
      <rPr>
        <sz val="11"/>
        <rFont val="ＭＳ Ｐゴシック"/>
        <family val="3"/>
        <charset val="134"/>
        <scheme val="minor"/>
      </rPr>
      <t>飞</t>
    </r>
    <r>
      <rPr>
        <sz val="11"/>
        <rFont val="ＭＳ Ｐゴシック"/>
        <family val="3"/>
        <charset val="128"/>
        <scheme val="minor"/>
      </rPr>
      <t>酌酒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</si>
  <si>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酸酒(低等葡萄酒); 青稞酒; 高粱酒; 麦芽威士忌</t>
    </r>
  </si>
  <si>
    <r>
      <t>平江瑶田旅游开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</si>
  <si>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果酒(含酒精); 烈酒; 甜酒; 白酒; 米酒;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青梅酒; 高粱酒; 黄酒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</si>
  <si>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广潮汕食品有限公司</t>
    </r>
  </si>
  <si>
    <r>
      <t xml:space="preserve">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</si>
  <si>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笑</t>
    </r>
    <r>
      <rPr>
        <sz val="11"/>
        <rFont val="ＭＳ Ｐゴシック"/>
        <family val="3"/>
        <charset val="134"/>
        <scheme val="minor"/>
      </rPr>
      <t>语</t>
    </r>
    <r>
      <rPr>
        <sz val="11"/>
        <rFont val="ＭＳ Ｐゴシック"/>
        <family val="3"/>
        <charset val="128"/>
        <scheme val="minor"/>
      </rPr>
      <t>醇</t>
    </r>
  </si>
  <si>
    <r>
      <rPr>
        <sz val="11"/>
        <rFont val="ＭＳ Ｐゴシック"/>
        <family val="3"/>
        <charset val="134"/>
        <scheme val="minor"/>
      </rPr>
      <t>庐</t>
    </r>
    <r>
      <rPr>
        <sz val="11"/>
        <rFont val="ＭＳ Ｐゴシック"/>
        <family val="3"/>
        <charset val="128"/>
        <scheme val="minor"/>
      </rPr>
      <t>井</t>
    </r>
    <r>
      <rPr>
        <sz val="11"/>
        <rFont val="ＭＳ Ｐゴシック"/>
        <family val="3"/>
        <charset val="134"/>
        <scheme val="minor"/>
      </rPr>
      <t>贵</t>
    </r>
  </si>
  <si>
    <r>
      <t xml:space="preserve"> 开胃酒; 果酒(含酒精); 梨酒;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</si>
  <si>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沣</t>
    </r>
    <r>
      <rPr>
        <sz val="11"/>
        <rFont val="ＭＳ Ｐゴシック"/>
        <family val="3"/>
        <charset val="128"/>
        <scheme val="minor"/>
      </rPr>
      <t>稻原</t>
    </r>
  </si>
  <si>
    <r>
      <t>刘建</t>
    </r>
    <r>
      <rPr>
        <sz val="11"/>
        <rFont val="ＭＳ Ｐゴシック"/>
        <family val="3"/>
        <charset val="134"/>
        <scheme val="minor"/>
      </rPr>
      <t>辉</t>
    </r>
  </si>
  <si>
    <r>
      <t xml:space="preserve">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</si>
  <si>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滨</t>
    </r>
    <r>
      <rPr>
        <sz val="11"/>
        <rFont val="ＭＳ Ｐゴシック"/>
        <family val="3"/>
        <charset val="128"/>
        <scheme val="minor"/>
      </rPr>
      <t>榜</t>
    </r>
  </si>
  <si>
    <r>
      <t>安化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仙山茶叶开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</si>
  <si>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</si>
  <si>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龙窝</t>
    </r>
    <r>
      <rPr>
        <sz val="11"/>
        <rFont val="ＭＳ Ｐゴシック"/>
        <family val="3"/>
        <charset val="128"/>
        <scheme val="minor"/>
      </rPr>
      <t>楼宋太祖</t>
    </r>
  </si>
  <si>
    <r>
      <t>王先</t>
    </r>
    <r>
      <rPr>
        <sz val="11"/>
        <rFont val="ＭＳ Ｐゴシック"/>
        <family val="3"/>
        <charset val="134"/>
        <scheme val="minor"/>
      </rPr>
      <t>辉</t>
    </r>
  </si>
  <si>
    <r>
      <t xml:space="preserve"> 含酒精的气泡水;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薄荷酒; 青稞酒; 食用酒精; 黄酒</t>
    </r>
  </si>
  <si>
    <r>
      <rPr>
        <sz val="11"/>
        <rFont val="ＭＳ Ｐゴシック"/>
        <family val="3"/>
        <charset val="134"/>
        <scheme val="minor"/>
      </rPr>
      <t>韩</t>
    </r>
    <r>
      <rPr>
        <sz val="11"/>
        <rFont val="ＭＳ Ｐゴシック"/>
        <family val="3"/>
        <charset val="128"/>
        <scheme val="minor"/>
      </rPr>
      <t>大草</t>
    </r>
  </si>
  <si>
    <r>
      <rPr>
        <sz val="11"/>
        <rFont val="ＭＳ Ｐゴシック"/>
        <family val="3"/>
        <charset val="134"/>
        <scheme val="minor"/>
      </rPr>
      <t>韩</t>
    </r>
    <r>
      <rPr>
        <sz val="11"/>
        <rFont val="ＭＳ Ｐゴシック"/>
        <family val="3"/>
        <charset val="128"/>
        <scheme val="minor"/>
      </rPr>
      <t>广涛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</si>
  <si>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酒; 朝</t>
    </r>
    <r>
      <rPr>
        <sz val="11"/>
        <rFont val="ＭＳ Ｐゴシック"/>
        <family val="3"/>
        <charset val="134"/>
        <scheme val="minor"/>
      </rPr>
      <t>鲜烧</t>
    </r>
    <r>
      <rPr>
        <sz val="11"/>
        <rFont val="ＭＳ Ｐゴシック"/>
        <family val="3"/>
        <charset val="128"/>
        <scheme val="minor"/>
      </rPr>
      <t>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酒(烈酒);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黄酒</t>
    </r>
  </si>
  <si>
    <r>
      <t>花</t>
    </r>
    <r>
      <rPr>
        <sz val="11"/>
        <rFont val="ＭＳ Ｐゴシック"/>
        <family val="3"/>
        <charset val="134"/>
        <scheme val="minor"/>
      </rPr>
      <t>满</t>
    </r>
    <r>
      <rPr>
        <sz val="11"/>
        <rFont val="ＭＳ Ｐゴシック"/>
        <family val="3"/>
        <charset val="128"/>
        <scheme val="minor"/>
      </rPr>
      <t>吟</t>
    </r>
  </si>
  <si>
    <r>
      <t>深圳市施五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</si>
  <si>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品; 朗姆酒;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白葡萄酒; 白酒; 青梅酒; 高粱酒; 黄酒</t>
    </r>
  </si>
  <si>
    <r>
      <t>悟空</t>
    </r>
    <r>
      <rPr>
        <sz val="11"/>
        <rFont val="ＭＳ Ｐゴシック"/>
        <family val="3"/>
        <charset val="134"/>
        <scheme val="minor"/>
      </rPr>
      <t>酱</t>
    </r>
    <r>
      <rPr>
        <sz val="11"/>
        <rFont val="ＭＳ Ｐゴシック"/>
        <family val="3"/>
        <charset val="128"/>
        <scheme val="minor"/>
      </rPr>
      <t>藏(北京)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子商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</si>
  <si>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开胃酒;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青稞酒; 黄酒</t>
    </r>
  </si>
  <si>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谷雅</t>
    </r>
  </si>
  <si>
    <r>
      <t>金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德冠生物工程有限公司</t>
    </r>
  </si>
  <si>
    <r>
      <t xml:space="preserve"> 利口酒; 威士忌; 开胃酒; 果酒(含酒精); 汽酒;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</si>
  <si>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张时</t>
    </r>
    <r>
      <rPr>
        <sz val="11"/>
        <rFont val="ＭＳ Ｐゴシック"/>
        <family val="3"/>
        <charset val="128"/>
        <scheme val="minor"/>
      </rPr>
      <t>安</t>
    </r>
  </si>
  <si>
    <r>
      <t>广州市君澄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</si>
  <si>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rPr>
        <sz val="11"/>
        <rFont val="ＭＳ Ｐゴシック"/>
        <family val="3"/>
        <charset val="134"/>
        <scheme val="minor"/>
      </rPr>
      <t>浔</t>
    </r>
    <r>
      <rPr>
        <sz val="11"/>
        <rFont val="ＭＳ Ｐゴシック"/>
        <family val="3"/>
        <charset val="128"/>
        <scheme val="minor"/>
      </rPr>
      <t>味稻田上</t>
    </r>
  </si>
  <si>
    <r>
      <t>吉安市吉州区</t>
    </r>
    <r>
      <rPr>
        <sz val="11"/>
        <rFont val="ＭＳ Ｐゴシック"/>
        <family val="3"/>
        <charset val="134"/>
        <scheme val="minor"/>
      </rPr>
      <t>赣</t>
    </r>
    <r>
      <rPr>
        <sz val="11"/>
        <rFont val="ＭＳ Ｐゴシック"/>
        <family val="3"/>
        <charset val="128"/>
        <scheme val="minor"/>
      </rPr>
      <t>海餐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</si>
  <si>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米酒(泡盛酒);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食用酒精; 黄酒</t>
    </r>
  </si>
  <si>
    <r>
      <t>石小</t>
    </r>
    <r>
      <rPr>
        <sz val="11"/>
        <rFont val="ＭＳ Ｐゴシック"/>
        <family val="3"/>
        <charset val="134"/>
        <scheme val="minor"/>
      </rPr>
      <t>喵</t>
    </r>
  </si>
  <si>
    <r>
      <t>河北智尊文化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播有限公司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</si>
  <si>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苦味酒;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</si>
  <si>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鲁</t>
    </r>
    <r>
      <rPr>
        <sz val="11"/>
        <rFont val="ＭＳ Ｐゴシック"/>
        <family val="3"/>
        <charset val="128"/>
        <scheme val="minor"/>
      </rPr>
      <t>邦名尊</t>
    </r>
  </si>
  <si>
    <r>
      <t>泰安市泰山日出酒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</si>
  <si>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露酒; 黄酒</t>
    </r>
  </si>
  <si>
    <r>
      <t>仙</t>
    </r>
    <r>
      <rPr>
        <sz val="11"/>
        <rFont val="ＭＳ Ｐゴシック"/>
        <family val="3"/>
        <charset val="134"/>
        <scheme val="minor"/>
      </rPr>
      <t>颜</t>
    </r>
    <r>
      <rPr>
        <sz val="11"/>
        <rFont val="ＭＳ Ｐゴシック"/>
        <family val="3"/>
        <charset val="128"/>
        <scheme val="minor"/>
      </rPr>
      <t>启源</t>
    </r>
  </si>
  <si>
    <r>
      <t>北京</t>
    </r>
    <r>
      <rPr>
        <sz val="11"/>
        <rFont val="ＭＳ Ｐゴシック"/>
        <family val="3"/>
        <charset val="134"/>
        <scheme val="minor"/>
      </rPr>
      <t>绿</t>
    </r>
    <r>
      <rPr>
        <sz val="11"/>
        <rFont val="ＭＳ Ｐゴシック"/>
        <family val="3"/>
        <charset val="128"/>
        <scheme val="minor"/>
      </rPr>
      <t>通大健康</t>
    </r>
    <r>
      <rPr>
        <sz val="11"/>
        <rFont val="ＭＳ Ｐゴシック"/>
        <family val="3"/>
        <charset val="134"/>
        <scheme val="minor"/>
      </rPr>
      <t>产业发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</si>
  <si>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开胃酒;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葡萄酒; 薄荷酒;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</si>
  <si>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鱼凫</t>
    </r>
    <r>
      <rPr>
        <sz val="11"/>
        <rFont val="ＭＳ Ｐゴシック"/>
        <family val="3"/>
        <charset val="128"/>
        <scheme val="minor"/>
      </rPr>
      <t>林藏</t>
    </r>
  </si>
  <si>
    <r>
      <t>成都温江</t>
    </r>
    <r>
      <rPr>
        <sz val="11"/>
        <rFont val="ＭＳ Ｐゴシック"/>
        <family val="3"/>
        <charset val="134"/>
        <scheme val="minor"/>
      </rPr>
      <t>鱼凫</t>
    </r>
    <r>
      <rPr>
        <sz val="11"/>
        <rFont val="ＭＳ Ｐゴシック"/>
        <family val="3"/>
        <charset val="128"/>
        <scheme val="minor"/>
      </rPr>
      <t>村酒文化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播有限公司</t>
    </r>
  </si>
  <si>
    <r>
      <t xml:space="preserve"> 果酒;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</si>
  <si>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量</t>
    </r>
  </si>
  <si>
    <r>
      <t>王</t>
    </r>
    <r>
      <rPr>
        <sz val="11"/>
        <rFont val="ＭＳ Ｐゴシック"/>
        <family val="3"/>
        <charset val="134"/>
        <scheme val="minor"/>
      </rPr>
      <t>晓</t>
    </r>
    <r>
      <rPr>
        <sz val="11"/>
        <rFont val="ＭＳ Ｐゴシック"/>
        <family val="3"/>
        <charset val="128"/>
        <scheme val="minor"/>
      </rPr>
      <t>娜</t>
    </r>
  </si>
  <si>
    <r>
      <t>周武</t>
    </r>
    <r>
      <rPr>
        <sz val="11"/>
        <rFont val="ＭＳ Ｐゴシック"/>
        <family val="3"/>
        <charset val="134"/>
        <scheme val="minor"/>
      </rPr>
      <t>强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</si>
  <si>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熊四商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</si>
  <si>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果酒; 白酒; 米酒;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 xml:space="preserve">酒; 葡萄酒;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</si>
  <si>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爵士</t>
    </r>
    <r>
      <rPr>
        <sz val="11"/>
        <rFont val="ＭＳ Ｐゴシック"/>
        <family val="3"/>
        <charset val="134"/>
        <scheme val="minor"/>
      </rPr>
      <t>风</t>
    </r>
    <r>
      <rPr>
        <sz val="11"/>
        <rFont val="ＭＳ Ｐゴシック"/>
        <family val="3"/>
        <charset val="128"/>
        <scheme val="minor"/>
      </rPr>
      <t>度</t>
    </r>
  </si>
  <si>
    <r>
      <t>王公</t>
    </r>
    <r>
      <rPr>
        <sz val="11"/>
        <rFont val="ＭＳ Ｐゴシック"/>
        <family val="3"/>
        <charset val="134"/>
        <scheme val="minor"/>
      </rPr>
      <t>馆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</si>
  <si>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</si>
  <si>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颜</t>
    </r>
    <r>
      <rPr>
        <sz val="11"/>
        <rFont val="ＭＳ Ｐゴシック"/>
        <family val="3"/>
        <charset val="128"/>
        <scheme val="minor"/>
      </rPr>
      <t>山孝水</t>
    </r>
  </si>
  <si>
    <r>
      <t>刘</t>
    </r>
    <r>
      <rPr>
        <sz val="11"/>
        <rFont val="ＭＳ Ｐゴシック"/>
        <family val="3"/>
        <charset val="134"/>
        <scheme val="minor"/>
      </rPr>
      <t>艳</t>
    </r>
    <r>
      <rPr>
        <sz val="11"/>
        <rFont val="ＭＳ Ｐゴシック"/>
        <family val="3"/>
        <charset val="128"/>
        <scheme val="minor"/>
      </rPr>
      <t>方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</si>
  <si>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</si>
  <si>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图</t>
    </r>
    <r>
      <rPr>
        <sz val="11"/>
        <rFont val="ＭＳ Ｐゴシック"/>
        <family val="3"/>
        <charset val="128"/>
        <scheme val="minor"/>
      </rPr>
      <t>候</t>
    </r>
  </si>
  <si>
    <r>
      <t>深圳威</t>
    </r>
    <r>
      <rPr>
        <sz val="11"/>
        <rFont val="ＭＳ Ｐゴシック"/>
        <family val="3"/>
        <charset val="134"/>
        <scheme val="minor"/>
      </rPr>
      <t>赞</t>
    </r>
    <r>
      <rPr>
        <sz val="11"/>
        <rFont val="ＭＳ Ｐゴシック"/>
        <family val="3"/>
        <charset val="128"/>
        <scheme val="minor"/>
      </rPr>
      <t>国</t>
    </r>
    <r>
      <rPr>
        <sz val="11"/>
        <rFont val="ＭＳ Ｐゴシック"/>
        <family val="3"/>
        <charset val="134"/>
        <scheme val="minor"/>
      </rPr>
      <t>际贸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</si>
  <si>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利口酒; 威士忌; 果酒(含酒精); 清酒;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葡萄酒; 露酒;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</si>
  <si>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樽</t>
    </r>
    <r>
      <rPr>
        <sz val="11"/>
        <rFont val="ＭＳ Ｐゴシック"/>
        <family val="3"/>
        <charset val="134"/>
        <scheme val="minor"/>
      </rPr>
      <t>乐欢</t>
    </r>
  </si>
  <si>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君台酒都工匠</t>
    </r>
  </si>
  <si>
    <r>
      <t>四川</t>
    </r>
    <r>
      <rPr>
        <sz val="11"/>
        <rFont val="ＭＳ Ｐゴシック"/>
        <family val="3"/>
        <charset val="134"/>
        <scheme val="minor"/>
      </rPr>
      <t>优优现</t>
    </r>
    <r>
      <rPr>
        <sz val="11"/>
        <rFont val="ＭＳ Ｐゴシック"/>
        <family val="3"/>
        <charset val="128"/>
        <scheme val="minor"/>
      </rPr>
      <t>代</t>
    </r>
    <r>
      <rPr>
        <sz val="11"/>
        <rFont val="ＭＳ Ｐゴシック"/>
        <family val="3"/>
        <charset val="134"/>
        <scheme val="minor"/>
      </rPr>
      <t>农业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</si>
  <si>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</si>
  <si>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>双</t>
    </r>
    <r>
      <rPr>
        <sz val="11"/>
        <rFont val="ＭＳ Ｐゴシック"/>
        <family val="3"/>
        <charset val="134"/>
        <scheme val="minor"/>
      </rPr>
      <t>龙戏</t>
    </r>
    <r>
      <rPr>
        <sz val="11"/>
        <rFont val="ＭＳ Ｐゴシック"/>
        <family val="3"/>
        <charset val="128"/>
        <scheme val="minor"/>
      </rPr>
      <t>珠</t>
    </r>
    <r>
      <rPr>
        <sz val="11"/>
        <rFont val="ＭＳ Ｐゴシック"/>
        <family val="3"/>
        <charset val="134"/>
        <scheme val="minor"/>
      </rPr>
      <t>龙腾</t>
    </r>
    <r>
      <rPr>
        <sz val="11"/>
        <rFont val="ＭＳ Ｐゴシック"/>
        <family val="3"/>
        <charset val="128"/>
        <scheme val="minor"/>
      </rPr>
      <t xml:space="preserve"> 5</t>
    </r>
  </si>
  <si>
    <r>
      <rPr>
        <sz val="11"/>
        <rFont val="ＭＳ Ｐゴシック"/>
        <family val="3"/>
        <charset val="134"/>
        <scheme val="minor"/>
      </rPr>
      <t>陆</t>
    </r>
    <r>
      <rPr>
        <sz val="11"/>
        <rFont val="ＭＳ Ｐゴシック"/>
        <family val="3"/>
        <charset val="128"/>
        <scheme val="minor"/>
      </rPr>
      <t>宝</t>
    </r>
  </si>
  <si>
    <r>
      <t xml:space="preserve"> 含酒精的气泡水; 果酒(含酒精); 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黄酒</t>
    </r>
  </si>
  <si>
    <r>
      <t>攀枝花市金沙江大峡谷文化旅游开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</si>
  <si>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</si>
  <si>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双</t>
    </r>
    <r>
      <rPr>
        <sz val="11"/>
        <rFont val="ＭＳ Ｐゴシック"/>
        <family val="3"/>
        <charset val="134"/>
        <scheme val="minor"/>
      </rPr>
      <t>龙戏</t>
    </r>
    <r>
      <rPr>
        <sz val="11"/>
        <rFont val="ＭＳ Ｐゴシック"/>
        <family val="3"/>
        <charset val="128"/>
        <scheme val="minor"/>
      </rPr>
      <t>珠</t>
    </r>
    <r>
      <rPr>
        <sz val="11"/>
        <rFont val="ＭＳ Ｐゴシック"/>
        <family val="3"/>
        <charset val="134"/>
        <scheme val="minor"/>
      </rPr>
      <t>龙腾</t>
    </r>
    <r>
      <rPr>
        <sz val="11"/>
        <rFont val="ＭＳ Ｐゴシック"/>
        <family val="3"/>
        <charset val="128"/>
        <scheme val="minor"/>
      </rPr>
      <t>8</t>
    </r>
  </si>
  <si>
    <r>
      <t>善九</t>
    </r>
    <r>
      <rPr>
        <sz val="11"/>
        <rFont val="ＭＳ Ｐゴシック"/>
        <family val="3"/>
        <charset val="134"/>
        <scheme val="minor"/>
      </rPr>
      <t>鹤</t>
    </r>
  </si>
  <si>
    <r>
      <t>禾</t>
    </r>
    <r>
      <rPr>
        <sz val="11"/>
        <rFont val="ＭＳ Ｐゴシック"/>
        <family val="3"/>
        <charset val="134"/>
        <scheme val="minor"/>
      </rPr>
      <t>艺</t>
    </r>
    <r>
      <rPr>
        <sz val="11"/>
        <rFont val="ＭＳ Ｐゴシック"/>
        <family val="3"/>
        <charset val="128"/>
        <scheme val="minor"/>
      </rPr>
      <t>人</t>
    </r>
  </si>
  <si>
    <r>
      <rPr>
        <sz val="11"/>
        <rFont val="ＭＳ Ｐゴシック"/>
        <family val="3"/>
        <charset val="134"/>
        <scheme val="minor"/>
      </rPr>
      <t>坛选</t>
    </r>
  </si>
  <si>
    <r>
      <rPr>
        <sz val="11"/>
        <rFont val="ＭＳ Ｐゴシック"/>
        <family val="3"/>
        <charset val="134"/>
        <scheme val="minor"/>
      </rPr>
      <t>圆妞妞</t>
    </r>
  </si>
  <si>
    <r>
      <rPr>
        <sz val="11"/>
        <rFont val="ＭＳ Ｐゴシック"/>
        <family val="3"/>
        <charset val="134"/>
        <scheme val="minor"/>
      </rPr>
      <t>临</t>
    </r>
    <r>
      <rPr>
        <sz val="11"/>
        <rFont val="ＭＳ Ｐゴシック"/>
        <family val="3"/>
        <charset val="128"/>
        <scheme val="minor"/>
      </rPr>
      <t>沂善吾教育科技有限公司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</si>
  <si>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果酒(含酒精); 米酒; 苹果酒; 葡萄酒;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</si>
  <si>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t>成都熙豪酒</t>
    </r>
    <r>
      <rPr>
        <sz val="11"/>
        <rFont val="ＭＳ Ｐゴシック"/>
        <family val="3"/>
        <charset val="134"/>
        <scheme val="minor"/>
      </rPr>
      <t>类销</t>
    </r>
    <r>
      <rPr>
        <sz val="11"/>
        <rFont val="ＭＳ Ｐゴシック"/>
        <family val="3"/>
        <charset val="128"/>
        <scheme val="minor"/>
      </rPr>
      <t>售有限公司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</si>
  <si>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</t>
    </r>
  </si>
  <si>
    <r>
      <t>烈虎</t>
    </r>
    <r>
      <rPr>
        <sz val="11"/>
        <rFont val="ＭＳ Ｐゴシック"/>
        <family val="3"/>
        <charset val="134"/>
        <scheme val="minor"/>
      </rPr>
      <t>桥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</si>
  <si>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高粱酒; 黄酒</t>
    </r>
  </si>
  <si>
    <r>
      <rPr>
        <sz val="11"/>
        <rFont val="ＭＳ Ｐゴシック"/>
        <family val="3"/>
        <charset val="134"/>
        <scheme val="minor"/>
      </rPr>
      <t>义乌</t>
    </r>
    <r>
      <rPr>
        <sz val="11"/>
        <rFont val="ＭＳ Ｐゴシック"/>
        <family val="3"/>
        <charset val="128"/>
        <scheme val="minor"/>
      </rPr>
      <t>市久坤</t>
    </r>
    <r>
      <rPr>
        <sz val="11"/>
        <rFont val="ＭＳ Ｐゴシック"/>
        <family val="3"/>
        <charset val="134"/>
        <scheme val="minor"/>
      </rPr>
      <t>进</t>
    </r>
    <r>
      <rPr>
        <sz val="11"/>
        <rFont val="ＭＳ Ｐゴシック"/>
        <family val="3"/>
        <charset val="128"/>
        <scheme val="minor"/>
      </rPr>
      <t>出口有限公司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</si>
  <si>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开胃酒; 果酒(含酒精); 米酒; 葡萄酒;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</si>
  <si>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t>湖南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在田</t>
    </r>
    <r>
      <rPr>
        <sz val="11"/>
        <rFont val="ＭＳ Ｐゴシック"/>
        <family val="3"/>
        <charset val="134"/>
        <scheme val="minor"/>
      </rPr>
      <t>农业发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</si>
  <si>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果酒; 汽酒; 烈酒;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</si>
  <si>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赤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河</t>
    </r>
  </si>
  <si>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富金爵</t>
    </r>
  </si>
  <si>
    <r>
      <t>沈阳不方文化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</si>
  <si>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餐后酒(利口酒和烈酒);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</si>
  <si>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彩雯</t>
    </r>
  </si>
  <si>
    <r>
      <t>梅</t>
    </r>
    <r>
      <rPr>
        <sz val="11"/>
        <rFont val="ＭＳ Ｐゴシック"/>
        <family val="3"/>
        <charset val="134"/>
        <scheme val="minor"/>
      </rPr>
      <t>语</t>
    </r>
    <r>
      <rPr>
        <sz val="11"/>
        <rFont val="ＭＳ Ｐゴシック"/>
        <family val="3"/>
        <charset val="128"/>
        <scheme val="minor"/>
      </rPr>
      <t>佳期</t>
    </r>
  </si>
  <si>
    <r>
      <t>五邑喜</t>
    </r>
    <r>
      <rPr>
        <sz val="11"/>
        <rFont val="ＭＳ Ｐゴシック"/>
        <family val="3"/>
        <charset val="134"/>
        <scheme val="minor"/>
      </rPr>
      <t>汇</t>
    </r>
    <r>
      <rPr>
        <sz val="11"/>
        <rFont val="ＭＳ Ｐゴシック"/>
        <family val="3"/>
        <charset val="128"/>
        <scheme val="minor"/>
      </rPr>
      <t>楼</t>
    </r>
  </si>
  <si>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彦博</t>
    </r>
  </si>
  <si>
    <r>
      <t xml:space="preserve"> 利口酒; 开胃酒; 果酒(含酒精); 清酒(日本米酒);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</si>
  <si>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寻</t>
    </r>
    <r>
      <rPr>
        <sz val="11"/>
        <rFont val="ＭＳ Ｐゴシック"/>
        <family val="3"/>
        <charset val="128"/>
        <scheme val="minor"/>
      </rPr>
      <t>苗</t>
    </r>
    <r>
      <rPr>
        <sz val="11"/>
        <rFont val="ＭＳ Ｐゴシック"/>
        <family val="3"/>
        <charset val="134"/>
        <scheme val="minor"/>
      </rPr>
      <t>纪</t>
    </r>
  </si>
  <si>
    <r>
      <t>四川泛</t>
    </r>
    <r>
      <rPr>
        <sz val="11"/>
        <rFont val="ＭＳ Ｐゴシック"/>
        <family val="3"/>
        <charset val="134"/>
        <scheme val="minor"/>
      </rPr>
      <t>亚华</t>
    </r>
    <r>
      <rPr>
        <sz val="11"/>
        <rFont val="ＭＳ Ｐゴシック"/>
        <family val="3"/>
        <charset val="128"/>
        <scheme val="minor"/>
      </rPr>
      <t>行国</t>
    </r>
    <r>
      <rPr>
        <sz val="11"/>
        <rFont val="ＭＳ Ｐゴシック"/>
        <family val="3"/>
        <charset val="134"/>
        <scheme val="minor"/>
      </rPr>
      <t>际贸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</si>
  <si>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</si>
  <si>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稇</t>
    </r>
  </si>
  <si>
    <r>
      <t>清</t>
    </r>
    <r>
      <rPr>
        <sz val="11"/>
        <rFont val="ＭＳ Ｐゴシック"/>
        <family val="3"/>
        <charset val="134"/>
        <scheme val="minor"/>
      </rPr>
      <t>乡</t>
    </r>
  </si>
  <si>
    <r>
      <t>山西新汾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造酒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</si>
  <si>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开胃酒; 果酒(含酒精); 柑香酒;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</si>
  <si>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广西国晶庄园酒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</si>
  <si>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</si>
  <si>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t>程</t>
    </r>
    <r>
      <rPr>
        <sz val="11"/>
        <rFont val="ＭＳ Ｐゴシック"/>
        <family val="3"/>
        <charset val="134"/>
        <scheme val="minor"/>
      </rPr>
      <t>酝</t>
    </r>
  </si>
  <si>
    <r>
      <t>王</t>
    </r>
    <r>
      <rPr>
        <sz val="11"/>
        <rFont val="ＭＳ Ｐゴシック"/>
        <family val="3"/>
        <charset val="134"/>
        <scheme val="minor"/>
      </rPr>
      <t>丽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</si>
  <si>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</si>
  <si>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白</t>
    </r>
    <r>
      <rPr>
        <sz val="11"/>
        <rFont val="ＭＳ Ｐゴシック"/>
        <family val="3"/>
        <charset val="134"/>
        <scheme val="minor"/>
      </rPr>
      <t>桦树</t>
    </r>
    <r>
      <rPr>
        <sz val="11"/>
        <rFont val="ＭＳ Ｐゴシック"/>
        <family val="3"/>
        <charset val="128"/>
        <scheme val="minor"/>
      </rPr>
      <t>下</t>
    </r>
  </si>
  <si>
    <r>
      <t>伊春市鑫旺山特</t>
    </r>
    <r>
      <rPr>
        <sz val="11"/>
        <rFont val="ＭＳ Ｐゴシック"/>
        <family val="3"/>
        <charset val="134"/>
        <scheme val="minor"/>
      </rPr>
      <t>产</t>
    </r>
    <r>
      <rPr>
        <sz val="11"/>
        <rFont val="ＭＳ Ｐゴシック"/>
        <family val="3"/>
        <charset val="128"/>
        <scheme val="minor"/>
      </rPr>
      <t>品开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</si>
  <si>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果酒; 果酒(含酒精); 汽酒; 烈酒;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</si>
  <si>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rPr>
        <sz val="11"/>
        <rFont val="ＭＳ Ｐゴシック"/>
        <family val="3"/>
        <charset val="134"/>
        <scheme val="minor"/>
      </rPr>
      <t>鲍</t>
    </r>
    <r>
      <rPr>
        <sz val="11"/>
        <rFont val="ＭＳ Ｐゴシック"/>
        <family val="3"/>
        <charset val="128"/>
        <scheme val="minor"/>
      </rPr>
      <t>相林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</si>
  <si>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</si>
  <si>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卧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太极</t>
    </r>
  </si>
  <si>
    <r>
      <t xml:space="preserve"> 果酒;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青稞酒;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</si>
  <si>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t>福建岩品世家茶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</si>
  <si>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汽酒;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</si>
  <si>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骆</t>
    </r>
    <r>
      <rPr>
        <sz val="11"/>
        <rFont val="ＭＳ Ｐゴシック"/>
        <family val="3"/>
        <charset val="128"/>
        <scheme val="minor"/>
      </rPr>
      <t>越王子酒</t>
    </r>
  </si>
  <si>
    <r>
      <t>广西南宁市</t>
    </r>
    <r>
      <rPr>
        <sz val="11"/>
        <rFont val="ＭＳ Ｐゴシック"/>
        <family val="3"/>
        <charset val="134"/>
        <scheme val="minor"/>
      </rPr>
      <t>骆</t>
    </r>
    <r>
      <rPr>
        <sz val="11"/>
        <rFont val="ＭＳ Ｐゴシック"/>
        <family val="3"/>
        <charset val="128"/>
        <scheme val="minor"/>
      </rPr>
      <t>越王子酒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</si>
  <si>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蒸煮提取物(利口酒和烈酒); 蜂蜜酒;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黄酒</t>
    </r>
  </si>
  <si>
    <r>
      <rPr>
        <sz val="11"/>
        <rFont val="ＭＳ Ｐゴシック"/>
        <family val="3"/>
        <charset val="134"/>
        <scheme val="minor"/>
      </rPr>
      <t>觅</t>
    </r>
    <r>
      <rPr>
        <sz val="11"/>
        <rFont val="ＭＳ Ｐゴシック"/>
        <family val="3"/>
        <charset val="128"/>
        <scheme val="minor"/>
      </rPr>
      <t>蔚</t>
    </r>
  </si>
  <si>
    <r>
      <t>娜米</t>
    </r>
    <r>
      <rPr>
        <sz val="11"/>
        <rFont val="ＭＳ Ｐゴシック"/>
        <family val="3"/>
        <charset val="134"/>
        <scheme val="minor"/>
      </rPr>
      <t>亚</t>
    </r>
    <r>
      <rPr>
        <sz val="11"/>
        <rFont val="ＭＳ Ｐゴシック"/>
        <family val="3"/>
        <charset val="128"/>
        <scheme val="minor"/>
      </rPr>
      <t>医</t>
    </r>
    <r>
      <rPr>
        <sz val="11"/>
        <rFont val="ＭＳ Ｐゴシック"/>
        <family val="3"/>
        <charset val="134"/>
        <scheme val="minor"/>
      </rPr>
      <t>疗</t>
    </r>
    <r>
      <rPr>
        <sz val="11"/>
        <rFont val="ＭＳ Ｐゴシック"/>
        <family val="3"/>
        <charset val="128"/>
        <scheme val="minor"/>
      </rPr>
      <t>科技(河南)有限公司</t>
    </r>
  </si>
  <si>
    <r>
      <t xml:space="preserve">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</si>
  <si>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匠台</t>
    </r>
    <r>
      <rPr>
        <sz val="11"/>
        <rFont val="ＭＳ Ｐゴシック"/>
        <family val="3"/>
        <charset val="134"/>
        <scheme val="minor"/>
      </rPr>
      <t>浆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</si>
  <si>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州匠台酒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股份有限公司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</si>
  <si>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苹果酒;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</si>
  <si>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北京中唐盛通商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</si>
  <si>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汁; 食用酒精; 黄酒</t>
    </r>
  </si>
  <si>
    <r>
      <t xml:space="preserve"> 佐餐酒;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含酒精蛋奶酒; 咖啡利口酒;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</si>
  <si>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旭良</t>
    </r>
    <r>
      <rPr>
        <sz val="11"/>
        <rFont val="ＭＳ Ｐゴシック"/>
        <family val="3"/>
        <charset val="134"/>
        <scheme val="minor"/>
      </rPr>
      <t>缘</t>
    </r>
  </si>
  <si>
    <r>
      <t>商丘市</t>
    </r>
    <r>
      <rPr>
        <sz val="11"/>
        <rFont val="ＭＳ Ｐゴシック"/>
        <family val="3"/>
        <charset val="134"/>
        <scheme val="minor"/>
      </rPr>
      <t>顺强</t>
    </r>
    <r>
      <rPr>
        <sz val="11"/>
        <rFont val="ＭＳ Ｐゴシック"/>
        <family val="3"/>
        <charset val="128"/>
        <scheme val="minor"/>
      </rPr>
      <t>物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</si>
  <si>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蒸煮提取物(利口酒和烈酒);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</si>
  <si>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上好年</t>
    </r>
    <r>
      <rPr>
        <sz val="11"/>
        <rFont val="ＭＳ Ｐゴシック"/>
        <family val="3"/>
        <charset val="134"/>
        <scheme val="minor"/>
      </rPr>
      <t>华</t>
    </r>
  </si>
  <si>
    <r>
      <t>萍</t>
    </r>
    <r>
      <rPr>
        <sz val="11"/>
        <rFont val="ＭＳ Ｐゴシック"/>
        <family val="3"/>
        <charset val="134"/>
        <scheme val="minor"/>
      </rPr>
      <t>乡</t>
    </r>
    <r>
      <rPr>
        <sz val="11"/>
        <rFont val="ＭＳ Ｐゴシック"/>
        <family val="3"/>
        <charset val="128"/>
        <scheme val="minor"/>
      </rPr>
      <t>市安源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旺食品有限公司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</si>
  <si>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米酒; 苹果酒;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主的除外); 黄酒</t>
    </r>
  </si>
  <si>
    <r>
      <t xml:space="preserve"> 伏特加酒;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</si>
  <si>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t>悦</t>
    </r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伯</t>
    </r>
  </si>
  <si>
    <r>
      <t>王</t>
    </r>
    <r>
      <rPr>
        <sz val="11"/>
        <rFont val="ＭＳ Ｐゴシック"/>
        <family val="3"/>
        <charset val="134"/>
        <scheme val="minor"/>
      </rPr>
      <t>维</t>
    </r>
    <r>
      <rPr>
        <sz val="11"/>
        <rFont val="ＭＳ Ｐゴシック"/>
        <family val="3"/>
        <charset val="128"/>
        <scheme val="minor"/>
      </rPr>
      <t>惠</t>
    </r>
  </si>
  <si>
    <r>
      <t xml:space="preserve">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</si>
  <si>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 xml:space="preserve"> 威士忌;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米酒; 葡萄酒; 起泡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黄酒</t>
    </r>
  </si>
  <si>
    <r>
      <t>古基</t>
    </r>
    <r>
      <rPr>
        <sz val="11"/>
        <rFont val="ＭＳ Ｐゴシック"/>
        <family val="3"/>
        <charset val="134"/>
        <scheme val="minor"/>
      </rPr>
      <t>贡</t>
    </r>
  </si>
  <si>
    <r>
      <t>亳州市古基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</si>
  <si>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利口酒; 开胃酒; 果酒;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</t>
    </r>
  </si>
  <si>
    <r>
      <rPr>
        <sz val="11"/>
        <rFont val="ＭＳ Ｐゴシック"/>
        <family val="3"/>
        <charset val="134"/>
        <scheme val="minor"/>
      </rPr>
      <t>时劲</t>
    </r>
  </si>
  <si>
    <r>
      <t>南岸区佳禾酒水坊(个体工商</t>
    </r>
    <r>
      <rPr>
        <sz val="11"/>
        <rFont val="ＭＳ Ｐゴシック"/>
        <family val="3"/>
        <charset val="134"/>
        <scheme val="minor"/>
      </rPr>
      <t>户</t>
    </r>
    <r>
      <rPr>
        <sz val="11"/>
        <rFont val="ＭＳ Ｐゴシック"/>
        <family val="3"/>
        <charset val="128"/>
        <scheme val="minor"/>
      </rPr>
      <t>)</t>
    </r>
  </si>
  <si>
    <r>
      <t xml:space="preserve"> 开胃酒;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</si>
  <si>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帝</t>
    </r>
    <r>
      <rPr>
        <sz val="11"/>
        <rFont val="ＭＳ Ｐゴシック"/>
        <family val="3"/>
        <charset val="134"/>
        <scheme val="minor"/>
      </rPr>
      <t>宫</t>
    </r>
    <r>
      <rPr>
        <sz val="11"/>
        <rFont val="ＭＳ Ｐゴシック"/>
        <family val="3"/>
        <charset val="128"/>
        <scheme val="minor"/>
      </rPr>
      <t>雅</t>
    </r>
    <r>
      <rPr>
        <sz val="11"/>
        <rFont val="ＭＳ Ｐゴシック"/>
        <family val="3"/>
        <charset val="134"/>
        <scheme val="minor"/>
      </rPr>
      <t>颂</t>
    </r>
  </si>
  <si>
    <r>
      <t>官谷</t>
    </r>
    <r>
      <rPr>
        <sz val="11"/>
        <rFont val="ＭＳ Ｐゴシック"/>
        <family val="3"/>
        <charset val="134"/>
        <scheme val="minor"/>
      </rPr>
      <t>颂</t>
    </r>
  </si>
  <si>
    <r>
      <rPr>
        <sz val="11"/>
        <rFont val="ＭＳ Ｐゴシック"/>
        <family val="3"/>
        <charset val="134"/>
        <scheme val="minor"/>
      </rPr>
      <t>汇剧视</t>
    </r>
    <r>
      <rPr>
        <sz val="11"/>
        <rFont val="ＭＳ Ｐゴシック"/>
        <family val="3"/>
        <charset val="128"/>
        <scheme val="minor"/>
      </rPr>
      <t>界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</si>
  <si>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州康窖酒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</si>
  <si>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</si>
  <si>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滨</t>
    </r>
    <r>
      <rPr>
        <sz val="11"/>
        <rFont val="ＭＳ Ｐゴシック"/>
        <family val="3"/>
        <charset val="128"/>
        <scheme val="minor"/>
      </rPr>
      <t>州善</t>
    </r>
    <r>
      <rPr>
        <sz val="11"/>
        <rFont val="ＭＳ Ｐゴシック"/>
        <family val="3"/>
        <charset val="134"/>
        <scheme val="minor"/>
      </rPr>
      <t>兴</t>
    </r>
    <r>
      <rPr>
        <sz val="11"/>
        <rFont val="ＭＳ Ｐゴシック"/>
        <family val="3"/>
        <charset val="128"/>
        <scheme val="minor"/>
      </rPr>
      <t>医</t>
    </r>
    <r>
      <rPr>
        <sz val="11"/>
        <rFont val="ＭＳ Ｐゴシック"/>
        <family val="3"/>
        <charset val="134"/>
        <scheme val="minor"/>
      </rPr>
      <t>药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</si>
  <si>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露酒; 青稞酒; 高粱酒; 黄酒</t>
    </r>
  </si>
  <si>
    <r>
      <t>佰玖</t>
    </r>
    <r>
      <rPr>
        <sz val="11"/>
        <rFont val="ＭＳ Ｐゴシック"/>
        <family val="3"/>
        <charset val="134"/>
        <scheme val="minor"/>
      </rPr>
      <t>顺</t>
    </r>
  </si>
  <si>
    <r>
      <t>郝</t>
    </r>
    <r>
      <rPr>
        <sz val="11"/>
        <rFont val="ＭＳ Ｐゴシック"/>
        <family val="3"/>
        <charset val="134"/>
        <scheme val="minor"/>
      </rPr>
      <t>顺</t>
    </r>
    <r>
      <rPr>
        <sz val="11"/>
        <rFont val="ＭＳ Ｐゴシック"/>
        <family val="3"/>
        <charset val="128"/>
        <scheme val="minor"/>
      </rPr>
      <t>通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</si>
  <si>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苦味酒;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青梅酒; 食用酒精; 黄酒</t>
    </r>
  </si>
  <si>
    <r>
      <t>胡班</t>
    </r>
    <r>
      <rPr>
        <sz val="11"/>
        <rFont val="ＭＳ Ｐゴシック"/>
        <family val="3"/>
        <charset val="134"/>
        <scheme val="minor"/>
      </rPr>
      <t>长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</si>
  <si>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州仁渡酒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</si>
  <si>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北京伯</t>
    </r>
    <r>
      <rPr>
        <sz val="11"/>
        <rFont val="ＭＳ Ｐゴシック"/>
        <family val="3"/>
        <charset val="134"/>
        <scheme val="minor"/>
      </rPr>
      <t>顿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</si>
  <si>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日本梅子酒; 清酒; 清酒(日本米酒);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的白酒;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</t>
    </r>
  </si>
  <si>
    <r>
      <t xml:space="preserve"> 开胃酒;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</si>
  <si>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何酒味</t>
    </r>
    <r>
      <rPr>
        <sz val="11"/>
        <rFont val="ＭＳ Ｐゴシック"/>
        <family val="3"/>
        <charset val="134"/>
        <scheme val="minor"/>
      </rPr>
      <t>见</t>
    </r>
  </si>
  <si>
    <r>
      <t xml:space="preserve"> 刺五加酒;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高粱酒; 黄酒</t>
    </r>
  </si>
  <si>
    <r>
      <t>深圳市宇辰鼎丰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</si>
  <si>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>粮</t>
    </r>
    <r>
      <rPr>
        <sz val="11"/>
        <rFont val="ＭＳ Ｐゴシック"/>
        <family val="3"/>
        <charset val="134"/>
        <scheme val="minor"/>
      </rPr>
      <t>规</t>
    </r>
  </si>
  <si>
    <r>
      <t xml:space="preserve">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露酒; 青稞酒; 食用酒精; 黄酒</t>
    </r>
  </si>
  <si>
    <r>
      <t>四川久通源科技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</si>
  <si>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>中黔</t>
    </r>
    <r>
      <rPr>
        <sz val="11"/>
        <rFont val="ＭＳ Ｐゴシック"/>
        <family val="3"/>
        <charset val="134"/>
        <scheme val="minor"/>
      </rPr>
      <t>泸</t>
    </r>
  </si>
  <si>
    <r>
      <t>玉</t>
    </r>
    <r>
      <rPr>
        <sz val="11"/>
        <rFont val="ＭＳ Ｐゴシック"/>
        <family val="3"/>
        <charset val="134"/>
        <scheme val="minor"/>
      </rPr>
      <t>澜</t>
    </r>
    <r>
      <rPr>
        <sz val="11"/>
        <rFont val="ＭＳ Ｐゴシック"/>
        <family val="3"/>
        <charset val="128"/>
        <scheme val="minor"/>
      </rPr>
      <t>湘</t>
    </r>
  </si>
  <si>
    <r>
      <t xml:space="preserve">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青梅酒; 青稞酒;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</si>
  <si>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隆中曾</t>
    </r>
    <r>
      <rPr>
        <sz val="11"/>
        <rFont val="ＭＳ Ｐゴシック"/>
        <family val="3"/>
        <charset val="134"/>
        <scheme val="minor"/>
      </rPr>
      <t>记</t>
    </r>
    <r>
      <rPr>
        <sz val="11"/>
        <rFont val="ＭＳ Ｐゴシック"/>
        <family val="3"/>
        <charset val="128"/>
        <scheme val="minor"/>
      </rPr>
      <t>光</t>
    </r>
    <r>
      <rPr>
        <sz val="11"/>
        <rFont val="ＭＳ Ｐゴシック"/>
        <family val="3"/>
        <charset val="134"/>
        <scheme val="minor"/>
      </rPr>
      <t>头</t>
    </r>
  </si>
  <si>
    <r>
      <t>曾</t>
    </r>
    <r>
      <rPr>
        <sz val="11"/>
        <rFont val="ＭＳ Ｐゴシック"/>
        <family val="3"/>
        <charset val="134"/>
        <scheme val="minor"/>
      </rPr>
      <t>晓伟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</si>
  <si>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开胃酒; 果酒; 白酒; 米酒; 苹果酒; 葡萄酒; 青梅酒; 高粱酒; 黄酒</t>
    </r>
  </si>
  <si>
    <r>
      <t>蒲源</t>
    </r>
    <r>
      <rPr>
        <sz val="11"/>
        <rFont val="ＭＳ Ｐゴシック"/>
        <family val="3"/>
        <charset val="134"/>
        <scheme val="minor"/>
      </rPr>
      <t>龙滩</t>
    </r>
  </si>
  <si>
    <r>
      <t>湖北五斗春</t>
    </r>
    <r>
      <rPr>
        <sz val="11"/>
        <rFont val="ＭＳ Ｐゴシック"/>
        <family val="3"/>
        <charset val="134"/>
        <scheme val="minor"/>
      </rPr>
      <t>农业发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</si>
  <si>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伏特加酒; 威士忌; 开胃酒;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薄荷酒;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青稞酒; 黄酒</t>
    </r>
  </si>
  <si>
    <r>
      <rPr>
        <sz val="11"/>
        <rFont val="ＭＳ Ｐゴシック"/>
        <family val="3"/>
        <charset val="134"/>
        <scheme val="minor"/>
      </rPr>
      <t>值</t>
    </r>
    <r>
      <rPr>
        <sz val="11"/>
        <rFont val="ＭＳ Ｐゴシック"/>
        <family val="3"/>
        <charset val="128"/>
        <scheme val="minor"/>
      </rPr>
      <t>邦</t>
    </r>
  </si>
  <si>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值</t>
    </r>
    <r>
      <rPr>
        <sz val="11"/>
        <rFont val="ＭＳ Ｐゴシック"/>
        <family val="3"/>
        <charset val="128"/>
        <scheme val="minor"/>
      </rPr>
      <t>邦</t>
    </r>
    <r>
      <rPr>
        <sz val="11"/>
        <rFont val="ＭＳ Ｐゴシック"/>
        <family val="3"/>
        <charset val="134"/>
        <scheme val="minor"/>
      </rPr>
      <t>纺织</t>
    </r>
    <r>
      <rPr>
        <sz val="11"/>
        <rFont val="ＭＳ Ｐゴシック"/>
        <family val="3"/>
        <charset val="128"/>
        <scheme val="minor"/>
      </rPr>
      <t>科技有限公司</t>
    </r>
  </si>
  <si>
    <r>
      <t>酩掌</t>
    </r>
    <r>
      <rPr>
        <sz val="11"/>
        <rFont val="ＭＳ Ｐゴシック"/>
        <family val="3"/>
        <charset val="134"/>
        <scheme val="minor"/>
      </rPr>
      <t>门</t>
    </r>
  </si>
  <si>
    <r>
      <t xml:space="preserve">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</si>
  <si>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大蒲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奇</t>
    </r>
  </si>
  <si>
    <r>
      <t xml:space="preserve"> 威士忌;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</si>
  <si>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汨</t>
    </r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市福</t>
    </r>
    <r>
      <rPr>
        <sz val="11"/>
        <rFont val="ＭＳ Ｐゴシック"/>
        <family val="3"/>
        <charset val="134"/>
        <scheme val="minor"/>
      </rPr>
      <t>贵凤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</si>
  <si>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</si>
  <si>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圆</t>
    </r>
    <r>
      <rPr>
        <sz val="11"/>
        <rFont val="ＭＳ Ｐゴシック"/>
        <family val="3"/>
        <charset val="128"/>
        <scheme val="minor"/>
      </rPr>
      <t>熠</t>
    </r>
  </si>
  <si>
    <r>
      <t>席</t>
    </r>
    <r>
      <rPr>
        <sz val="11"/>
        <rFont val="ＭＳ Ｐゴシック"/>
        <family val="3"/>
        <charset val="134"/>
        <scheme val="minor"/>
      </rPr>
      <t>诺</t>
    </r>
    <r>
      <rPr>
        <sz val="11"/>
        <rFont val="ＭＳ Ｐゴシック"/>
        <family val="3"/>
        <charset val="128"/>
        <scheme val="minor"/>
      </rPr>
      <t>伊</t>
    </r>
  </si>
  <si>
    <r>
      <t xml:space="preserve">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苦味酒; 苹果酒; 葡萄酒; 薄荷酒;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</si>
  <si>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成都天</t>
    </r>
    <r>
      <rPr>
        <sz val="11"/>
        <rFont val="ＭＳ Ｐゴシック"/>
        <family val="3"/>
        <charset val="134"/>
        <scheme val="minor"/>
      </rPr>
      <t>泽</t>
    </r>
    <r>
      <rPr>
        <sz val="11"/>
        <rFont val="ＭＳ Ｐゴシック"/>
        <family val="3"/>
        <charset val="128"/>
        <scheme val="minor"/>
      </rPr>
      <t>云</t>
    </r>
    <r>
      <rPr>
        <sz val="11"/>
        <rFont val="ＭＳ Ｐゴシック"/>
        <family val="3"/>
        <charset val="134"/>
        <scheme val="minor"/>
      </rPr>
      <t>辉</t>
    </r>
    <r>
      <rPr>
        <sz val="11"/>
        <rFont val="ＭＳ Ｐゴシック"/>
        <family val="3"/>
        <charset val="128"/>
        <scheme val="minor"/>
      </rPr>
      <t>国</t>
    </r>
    <r>
      <rPr>
        <sz val="11"/>
        <rFont val="ＭＳ Ｐゴシック"/>
        <family val="3"/>
        <charset val="134"/>
        <scheme val="minor"/>
      </rPr>
      <t>际贸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</si>
  <si>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伏特加酒; 利口酒; 威士忌; 朗姆酒; 果酒(含酒精);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</si>
  <si>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彧道酒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</si>
  <si>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葡萄酒; 蜂蜜酒; 青梅酒;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</si>
  <si>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汾酒</t>
    </r>
    <r>
      <rPr>
        <sz val="11"/>
        <rFont val="ＭＳ Ｐゴシック"/>
        <family val="3"/>
        <charset val="134"/>
        <scheme val="minor"/>
      </rPr>
      <t>锦绣华诞</t>
    </r>
  </si>
  <si>
    <r>
      <t>洪家</t>
    </r>
    <r>
      <rPr>
        <sz val="11"/>
        <rFont val="ＭＳ Ｐゴシック"/>
        <family val="3"/>
        <charset val="134"/>
        <scheme val="minor"/>
      </rPr>
      <t>桥</t>
    </r>
  </si>
  <si>
    <r>
      <t xml:space="preserve">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葡萄酒; 高粱酒; 黄酒</t>
    </r>
  </si>
  <si>
    <r>
      <t>文戍</t>
    </r>
    <r>
      <rPr>
        <sz val="11"/>
        <rFont val="ＭＳ Ｐゴシック"/>
        <family val="3"/>
        <charset val="134"/>
        <scheme val="minor"/>
      </rPr>
      <t>鹤</t>
    </r>
    <r>
      <rPr>
        <sz val="11"/>
        <rFont val="ＭＳ Ｐゴシック"/>
        <family val="3"/>
        <charset val="128"/>
        <scheme val="minor"/>
      </rPr>
      <t>臬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</si>
  <si>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</si>
  <si>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瑞安市</t>
    </r>
    <r>
      <rPr>
        <sz val="11"/>
        <rFont val="ＭＳ Ｐゴシック"/>
        <family val="3"/>
        <charset val="134"/>
        <scheme val="minor"/>
      </rPr>
      <t>执</t>
    </r>
    <r>
      <rPr>
        <sz val="11"/>
        <rFont val="ＭＳ Ｐゴシック"/>
        <family val="3"/>
        <charset val="128"/>
        <scheme val="minor"/>
      </rPr>
      <t>意</t>
    </r>
    <r>
      <rPr>
        <sz val="11"/>
        <rFont val="ＭＳ Ｐゴシック"/>
        <family val="3"/>
        <charset val="134"/>
        <scheme val="minor"/>
      </rPr>
      <t>农业</t>
    </r>
    <r>
      <rPr>
        <sz val="11"/>
        <rFont val="ＭＳ Ｐゴシック"/>
        <family val="3"/>
        <charset val="128"/>
        <scheme val="minor"/>
      </rPr>
      <t>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</si>
  <si>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</si>
  <si>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米奇酒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(厦</t>
    </r>
    <r>
      <rPr>
        <sz val="11"/>
        <rFont val="ＭＳ Ｐゴシック"/>
        <family val="3"/>
        <charset val="134"/>
        <scheme val="minor"/>
      </rPr>
      <t>门</t>
    </r>
    <r>
      <rPr>
        <sz val="11"/>
        <rFont val="ＭＳ Ｐゴシック"/>
        <family val="3"/>
        <charset val="128"/>
        <scheme val="minor"/>
      </rPr>
      <t>)有限公司</t>
    </r>
  </si>
  <si>
    <r>
      <t xml:space="preserve"> 伏特加酒;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</si>
  <si>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赣师</t>
    </r>
    <r>
      <rPr>
        <sz val="11"/>
        <rFont val="ＭＳ Ｐゴシック"/>
        <family val="3"/>
        <charset val="128"/>
        <scheme val="minor"/>
      </rPr>
      <t>父</t>
    </r>
  </si>
  <si>
    <r>
      <rPr>
        <sz val="11"/>
        <rFont val="ＭＳ Ｐゴシック"/>
        <family val="3"/>
        <charset val="134"/>
        <scheme val="minor"/>
      </rPr>
      <t>纯</t>
    </r>
    <r>
      <rPr>
        <sz val="11"/>
        <rFont val="ＭＳ Ｐゴシック"/>
        <family val="3"/>
        <charset val="128"/>
        <scheme val="minor"/>
      </rPr>
      <t>味食品有限公司</t>
    </r>
  </si>
  <si>
    <r>
      <t>言</t>
    </r>
    <r>
      <rPr>
        <sz val="11"/>
        <rFont val="ＭＳ Ｐゴシック"/>
        <family val="3"/>
        <charset val="134"/>
        <scheme val="minor"/>
      </rPr>
      <t>简</t>
    </r>
    <r>
      <rPr>
        <sz val="11"/>
        <rFont val="ＭＳ Ｐゴシック"/>
        <family val="3"/>
        <charset val="128"/>
        <scheme val="minor"/>
      </rPr>
      <t>道</t>
    </r>
  </si>
  <si>
    <r>
      <t>北</t>
    </r>
    <r>
      <rPr>
        <sz val="11"/>
        <rFont val="ＭＳ Ｐゴシック"/>
        <family val="3"/>
        <charset val="134"/>
        <scheme val="minor"/>
      </rPr>
      <t>镇</t>
    </r>
    <r>
      <rPr>
        <sz val="11"/>
        <rFont val="ＭＳ Ｐゴシック"/>
        <family val="3"/>
        <charset val="128"/>
        <scheme val="minor"/>
      </rPr>
      <t>市</t>
    </r>
    <r>
      <rPr>
        <sz val="11"/>
        <rFont val="ＭＳ Ｐゴシック"/>
        <family val="3"/>
        <charset val="134"/>
        <scheme val="minor"/>
      </rPr>
      <t>辅</t>
    </r>
    <r>
      <rPr>
        <sz val="11"/>
        <rFont val="ＭＳ Ｐゴシック"/>
        <family val="3"/>
        <charset val="128"/>
        <scheme val="minor"/>
      </rPr>
      <t>才米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</si>
  <si>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黄酒</t>
    </r>
  </si>
  <si>
    <r>
      <t>安徽玖界</t>
    </r>
    <r>
      <rPr>
        <sz val="11"/>
        <rFont val="ＭＳ Ｐゴシック"/>
        <family val="3"/>
        <charset val="134"/>
        <scheme val="minor"/>
      </rPr>
      <t>营销</t>
    </r>
    <r>
      <rPr>
        <sz val="11"/>
        <rFont val="ＭＳ Ｐゴシック"/>
        <family val="3"/>
        <charset val="128"/>
        <scheme val="minor"/>
      </rPr>
      <t>咨</t>
    </r>
    <r>
      <rPr>
        <sz val="11"/>
        <rFont val="ＭＳ Ｐゴシック"/>
        <family val="3"/>
        <charset val="134"/>
        <scheme val="minor"/>
      </rPr>
      <t>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</si>
  <si>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黄酒</t>
    </r>
  </si>
  <si>
    <r>
      <rPr>
        <sz val="11"/>
        <rFont val="ＭＳ Ｐゴシック"/>
        <family val="3"/>
        <charset val="134"/>
        <scheme val="minor"/>
      </rPr>
      <t>张琼</t>
    </r>
    <r>
      <rPr>
        <sz val="11"/>
        <rFont val="ＭＳ Ｐゴシック"/>
        <family val="3"/>
        <charset val="128"/>
        <scheme val="minor"/>
      </rPr>
      <t>英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</si>
  <si>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</si>
  <si>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聪</t>
    </r>
    <r>
      <rPr>
        <sz val="11"/>
        <rFont val="ＭＳ Ｐゴシック"/>
        <family val="3"/>
        <charset val="128"/>
        <scheme val="minor"/>
      </rPr>
      <t>美健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</si>
  <si>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盛</t>
    </r>
    <r>
      <rPr>
        <sz val="11"/>
        <rFont val="ＭＳ Ｐゴシック"/>
        <family val="3"/>
        <charset val="134"/>
        <scheme val="minor"/>
      </rPr>
      <t>亿</t>
    </r>
    <r>
      <rPr>
        <sz val="11"/>
        <rFont val="ＭＳ Ｐゴシック"/>
        <family val="3"/>
        <charset val="128"/>
        <scheme val="minor"/>
      </rPr>
      <t>恒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</si>
  <si>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伏特加酒;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葡萄酒; 青梅酒;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</si>
  <si>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邮爱</t>
    </r>
    <r>
      <rPr>
        <sz val="11"/>
        <rFont val="ＭＳ Ｐゴシック"/>
        <family val="3"/>
        <charset val="128"/>
        <scheme val="minor"/>
      </rPr>
      <t>疆</t>
    </r>
    <r>
      <rPr>
        <sz val="11"/>
        <rFont val="ＭＳ Ｐゴシック"/>
        <family val="3"/>
        <charset val="134"/>
        <scheme val="minor"/>
      </rPr>
      <t>农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</si>
  <si>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百</t>
    </r>
    <r>
      <rPr>
        <sz val="11"/>
        <rFont val="ＭＳ Ｐゴシック"/>
        <family val="3"/>
        <charset val="134"/>
        <scheme val="minor"/>
      </rPr>
      <t>顺</t>
    </r>
    <r>
      <rPr>
        <sz val="11"/>
        <rFont val="ＭＳ Ｐゴシック"/>
        <family val="3"/>
        <charset val="128"/>
        <scheme val="minor"/>
      </rPr>
      <t>瑞祥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</si>
  <si>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高粱酒</t>
    </r>
  </si>
  <si>
    <r>
      <t>佳</t>
    </r>
    <r>
      <rPr>
        <sz val="11"/>
        <rFont val="ＭＳ Ｐゴシック"/>
        <family val="3"/>
        <charset val="134"/>
        <scheme val="minor"/>
      </rPr>
      <t>伟</t>
    </r>
    <r>
      <rPr>
        <sz val="11"/>
        <rFont val="ＭＳ Ｐゴシック"/>
        <family val="3"/>
        <charset val="128"/>
        <scheme val="minor"/>
      </rPr>
      <t>小哥</t>
    </r>
  </si>
  <si>
    <r>
      <t>胡家</t>
    </r>
    <r>
      <rPr>
        <sz val="11"/>
        <rFont val="ＭＳ Ｐゴシック"/>
        <family val="3"/>
        <charset val="134"/>
        <scheme val="minor"/>
      </rPr>
      <t>伟</t>
    </r>
  </si>
  <si>
    <r>
      <t xml:space="preserve"> 利口酒; 威士忌;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</si>
  <si>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方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·老厂小窖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</si>
  <si>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方</t>
    </r>
    <r>
      <rPr>
        <sz val="11"/>
        <rFont val="ＭＳ Ｐゴシック"/>
        <family val="3"/>
        <charset val="134"/>
        <scheme val="minor"/>
      </rPr>
      <t>缘酿</t>
    </r>
    <r>
      <rPr>
        <sz val="11"/>
        <rFont val="ＭＳ Ｐゴシック"/>
        <family val="3"/>
        <charset val="128"/>
        <scheme val="minor"/>
      </rPr>
      <t>酒股份有限公司</t>
    </r>
  </si>
  <si>
    <r>
      <t xml:space="preserve"> 开胃酒; 果酒(含酒精); 清酒(日本米酒);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</si>
  <si>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吐</t>
    </r>
    <r>
      <rPr>
        <sz val="11"/>
        <rFont val="ＭＳ Ｐゴシック"/>
        <family val="3"/>
        <charset val="134"/>
        <scheme val="minor"/>
      </rPr>
      <t>鲁</t>
    </r>
    <r>
      <rPr>
        <sz val="11"/>
        <rFont val="ＭＳ Ｐゴシック"/>
        <family val="3"/>
        <charset val="128"/>
        <scheme val="minor"/>
      </rPr>
      <t>番白粮液酒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</si>
  <si>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食用酒精; 高粱酒</t>
    </r>
  </si>
  <si>
    <r>
      <rPr>
        <sz val="11"/>
        <rFont val="ＭＳ Ｐゴシック"/>
        <family val="3"/>
        <charset val="134"/>
        <scheme val="minor"/>
      </rPr>
      <t>时</t>
    </r>
    <r>
      <rPr>
        <sz val="11"/>
        <rFont val="ＭＳ Ｐゴシック"/>
        <family val="3"/>
        <charset val="128"/>
        <scheme val="minor"/>
      </rPr>
      <t>珍蜂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酒</t>
    </r>
  </si>
  <si>
    <r>
      <t>管家</t>
    </r>
    <r>
      <rPr>
        <sz val="11"/>
        <rFont val="ＭＳ Ｐゴシック"/>
        <family val="3"/>
        <charset val="134"/>
        <scheme val="minor"/>
      </rPr>
      <t>华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</si>
  <si>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青稞酒; 食用酒精; 黄酒</t>
    </r>
  </si>
  <si>
    <r>
      <t>添福</t>
    </r>
    <r>
      <rPr>
        <sz val="11"/>
        <rFont val="ＭＳ Ｐゴシック"/>
        <family val="3"/>
        <charset val="134"/>
        <scheme val="minor"/>
      </rPr>
      <t>顺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</si>
  <si>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市天福</t>
    </r>
    <r>
      <rPr>
        <sz val="11"/>
        <rFont val="ＭＳ Ｐゴシック"/>
        <family val="3"/>
        <charset val="134"/>
        <scheme val="minor"/>
      </rPr>
      <t>酱</t>
    </r>
    <r>
      <rPr>
        <sz val="11"/>
        <rFont val="ＭＳ Ｐゴシック"/>
        <family val="3"/>
        <charset val="128"/>
        <scheme val="minor"/>
      </rPr>
      <t>酒庄有限公司</t>
    </r>
  </si>
  <si>
    <r>
      <t xml:space="preserve">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用烈酒</t>
    </r>
  </si>
  <si>
    <r>
      <t>落日</t>
    </r>
    <r>
      <rPr>
        <sz val="11"/>
        <rFont val="ＭＳ Ｐゴシック"/>
        <family val="3"/>
        <charset val="134"/>
        <scheme val="minor"/>
      </rPr>
      <t>归</t>
    </r>
    <r>
      <rPr>
        <sz val="11"/>
        <rFont val="ＭＳ Ｐゴシック"/>
        <family val="3"/>
        <charset val="128"/>
        <scheme val="minor"/>
      </rPr>
      <t>山海</t>
    </r>
  </si>
  <si>
    <r>
      <t>成都青年</t>
    </r>
    <r>
      <rPr>
        <sz val="11"/>
        <rFont val="ＭＳ Ｐゴシック"/>
        <family val="3"/>
        <charset val="134"/>
        <scheme val="minor"/>
      </rPr>
      <t>锦</t>
    </r>
    <r>
      <rPr>
        <sz val="11"/>
        <rFont val="ＭＳ Ｐゴシック"/>
        <family val="3"/>
        <charset val="128"/>
        <scheme val="minor"/>
      </rPr>
      <t>云文化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</si>
  <si>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汽酒;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</si>
  <si>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金氿</t>
    </r>
    <r>
      <rPr>
        <sz val="11"/>
        <rFont val="ＭＳ Ｐゴシック"/>
        <family val="3"/>
        <charset val="134"/>
        <scheme val="minor"/>
      </rPr>
      <t>绿</t>
    </r>
  </si>
  <si>
    <r>
      <t>厦</t>
    </r>
    <r>
      <rPr>
        <sz val="11"/>
        <rFont val="ＭＳ Ｐゴシック"/>
        <family val="3"/>
        <charset val="134"/>
        <scheme val="minor"/>
      </rPr>
      <t>门兴</t>
    </r>
    <r>
      <rPr>
        <sz val="11"/>
        <rFont val="ＭＳ Ｐゴシック"/>
        <family val="3"/>
        <charset val="128"/>
        <scheme val="minor"/>
      </rPr>
      <t>四宝商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</si>
  <si>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汽酒; 烈酒; 甜酒;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</si>
  <si>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吉气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来</t>
    </r>
  </si>
  <si>
    <r>
      <t>无</t>
    </r>
    <r>
      <rPr>
        <sz val="11"/>
        <rFont val="ＭＳ Ｐゴシック"/>
        <family val="3"/>
        <charset val="134"/>
        <scheme val="minor"/>
      </rPr>
      <t>忧</t>
    </r>
    <r>
      <rPr>
        <sz val="11"/>
        <rFont val="ＭＳ Ｐゴシック"/>
        <family val="3"/>
        <charset val="128"/>
        <scheme val="minor"/>
      </rPr>
      <t>椹</t>
    </r>
  </si>
  <si>
    <r>
      <t>山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椹</t>
    </r>
    <r>
      <rPr>
        <sz val="11"/>
        <rFont val="ＭＳ Ｐゴシック"/>
        <family val="3"/>
        <charset val="134"/>
        <scheme val="minor"/>
      </rPr>
      <t>树</t>
    </r>
    <r>
      <rPr>
        <sz val="11"/>
        <rFont val="ＭＳ Ｐゴシック"/>
        <family val="3"/>
        <charset val="128"/>
        <scheme val="minor"/>
      </rPr>
      <t>下生物科技有限公司</t>
    </r>
  </si>
  <si>
    <r>
      <t xml:space="preserve"> 果酒(含酒精); 梨酒;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苹果酒;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</t>
    </r>
  </si>
  <si>
    <r>
      <t xml:space="preserve"> 果酒;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</si>
  <si>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额</t>
    </r>
    <r>
      <rPr>
        <sz val="11"/>
        <rFont val="ＭＳ Ｐゴシック"/>
        <family val="3"/>
        <charset val="128"/>
        <scheme val="minor"/>
      </rPr>
      <t>吉</t>
    </r>
    <r>
      <rPr>
        <sz val="11"/>
        <rFont val="ＭＳ Ｐゴシック"/>
        <family val="3"/>
        <charset val="134"/>
        <scheme val="minor"/>
      </rPr>
      <t>赞</t>
    </r>
    <r>
      <rPr>
        <sz val="11"/>
        <rFont val="ＭＳ Ｐゴシック"/>
        <family val="3"/>
        <charset val="128"/>
        <scheme val="minor"/>
      </rPr>
      <t>礼</t>
    </r>
  </si>
  <si>
    <r>
      <t>内蒙古</t>
    </r>
    <r>
      <rPr>
        <sz val="11"/>
        <rFont val="ＭＳ Ｐゴシック"/>
        <family val="3"/>
        <charset val="134"/>
        <scheme val="minor"/>
      </rPr>
      <t>丛</t>
    </r>
    <r>
      <rPr>
        <sz val="11"/>
        <rFont val="ＭＳ Ｐゴシック"/>
        <family val="3"/>
        <charset val="128"/>
        <scheme val="minor"/>
      </rPr>
      <t>林家族</t>
    </r>
    <r>
      <rPr>
        <sz val="11"/>
        <rFont val="ＭＳ Ｐゴシック"/>
        <family val="3"/>
        <charset val="134"/>
        <scheme val="minor"/>
      </rPr>
      <t>农业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</si>
  <si>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高粱酒</t>
    </r>
  </si>
  <si>
    <r>
      <t xml:space="preserve"> 清酒;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用烈酒; 高粱酒</t>
    </r>
  </si>
  <si>
    <r>
      <t>峡谷千</t>
    </r>
    <r>
      <rPr>
        <sz val="11"/>
        <rFont val="ＭＳ Ｐゴシック"/>
        <family val="3"/>
        <charset val="134"/>
        <scheme val="minor"/>
      </rPr>
      <t>语</t>
    </r>
  </si>
  <si>
    <r>
      <rPr>
        <sz val="11"/>
        <rFont val="ＭＳ Ｐゴシック"/>
        <family val="3"/>
        <charset val="134"/>
        <scheme val="minor"/>
      </rPr>
      <t>谭</t>
    </r>
    <r>
      <rPr>
        <sz val="11"/>
        <rFont val="ＭＳ Ｐゴシック"/>
        <family val="3"/>
        <charset val="128"/>
        <scheme val="minor"/>
      </rPr>
      <t>宝居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</si>
  <si>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苦</t>
    </r>
    <r>
      <rPr>
        <sz val="11"/>
        <rFont val="ＭＳ Ｐゴシック"/>
        <family val="3"/>
        <charset val="134"/>
        <scheme val="minor"/>
      </rPr>
      <t>荞</t>
    </r>
    <r>
      <rPr>
        <sz val="11"/>
        <rFont val="ＭＳ Ｐゴシック"/>
        <family val="3"/>
        <charset val="128"/>
        <scheme val="minor"/>
      </rPr>
      <t>酒; 葡萄酒;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高粱酒; 黄酒</t>
    </r>
  </si>
  <si>
    <r>
      <t>洋河珍</t>
    </r>
    <r>
      <rPr>
        <sz val="11"/>
        <rFont val="ＭＳ Ｐゴシック"/>
        <family val="3"/>
        <charset val="134"/>
        <scheme val="minor"/>
      </rPr>
      <t>酿</t>
    </r>
  </si>
  <si>
    <r>
      <t>黔</t>
    </r>
    <r>
      <rPr>
        <sz val="11"/>
        <rFont val="ＭＳ Ｐゴシック"/>
        <family val="3"/>
        <charset val="134"/>
        <scheme val="minor"/>
      </rPr>
      <t>纲</t>
    </r>
  </si>
  <si>
    <r>
      <t>堃与</t>
    </r>
    <r>
      <rPr>
        <sz val="11"/>
        <rFont val="ＭＳ Ｐゴシック"/>
        <family val="3"/>
        <charset val="134"/>
        <scheme val="minor"/>
      </rPr>
      <t>鲲</t>
    </r>
  </si>
  <si>
    <r>
      <t>黑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江国韵商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</si>
  <si>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</si>
  <si>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我是小</t>
    </r>
    <r>
      <rPr>
        <sz val="11"/>
        <rFont val="ＭＳ Ｐゴシック"/>
        <family val="3"/>
        <charset val="134"/>
        <scheme val="minor"/>
      </rPr>
      <t>轻</t>
    </r>
  </si>
  <si>
    <r>
      <t>广州抱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儿企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</si>
  <si>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</si>
  <si>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五岳同</t>
    </r>
    <r>
      <rPr>
        <sz val="11"/>
        <rFont val="ＭＳ Ｐゴシック"/>
        <family val="3"/>
        <charset val="134"/>
        <scheme val="minor"/>
      </rPr>
      <t>辉</t>
    </r>
  </si>
  <si>
    <r>
      <rPr>
        <sz val="11"/>
        <rFont val="ＭＳ Ｐゴシック"/>
        <family val="3"/>
        <charset val="134"/>
        <scheme val="minor"/>
      </rPr>
      <t>绍兴</t>
    </r>
    <r>
      <rPr>
        <sz val="11"/>
        <rFont val="ＭＳ Ｐゴシック"/>
        <family val="3"/>
        <charset val="128"/>
        <scheme val="minor"/>
      </rPr>
      <t>旺厨食品有限公司</t>
    </r>
  </si>
  <si>
    <r>
      <t xml:space="preserve"> 果酒(含酒精); 清酒(日本米酒); 烈酒;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</si>
  <si>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美味肴</t>
    </r>
    <r>
      <rPr>
        <sz val="11"/>
        <rFont val="ＭＳ Ｐゴシック"/>
        <family val="3"/>
        <charset val="134"/>
        <scheme val="minor"/>
      </rPr>
      <t>篮</t>
    </r>
  </si>
  <si>
    <r>
      <t>湖北</t>
    </r>
    <r>
      <rPr>
        <sz val="11"/>
        <rFont val="ＭＳ Ｐゴシック"/>
        <family val="3"/>
        <charset val="134"/>
        <scheme val="minor"/>
      </rPr>
      <t>圆</t>
    </r>
    <r>
      <rPr>
        <sz val="11"/>
        <rFont val="ＭＳ Ｐゴシック"/>
        <family val="3"/>
        <charset val="128"/>
        <scheme val="minor"/>
      </rPr>
      <t>幸</t>
    </r>
    <r>
      <rPr>
        <sz val="11"/>
        <rFont val="ＭＳ Ｐゴシック"/>
        <family val="3"/>
        <charset val="134"/>
        <scheme val="minor"/>
      </rPr>
      <t>斋实业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</si>
  <si>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</si>
  <si>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义乌</t>
    </r>
    <r>
      <rPr>
        <sz val="11"/>
        <rFont val="ＭＳ Ｐゴシック"/>
        <family val="3"/>
        <charset val="128"/>
        <scheme val="minor"/>
      </rPr>
      <t>市布</t>
    </r>
    <r>
      <rPr>
        <sz val="11"/>
        <rFont val="ＭＳ Ｐゴシック"/>
        <family val="3"/>
        <charset val="134"/>
        <scheme val="minor"/>
      </rPr>
      <t>伦</t>
    </r>
    <r>
      <rPr>
        <sz val="11"/>
        <rFont val="ＭＳ Ｐゴシック"/>
        <family val="3"/>
        <charset val="128"/>
        <scheme val="minor"/>
      </rPr>
      <t>熊日用品有限公司</t>
    </r>
  </si>
  <si>
    <r>
      <t xml:space="preserve"> 含奶油利口酒; 含牛奶的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朗姆酒; 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白葡萄酒; 白酒; 米酒;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</si>
  <si>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t>津小</t>
    </r>
    <r>
      <rPr>
        <sz val="11"/>
        <rFont val="ＭＳ Ｐゴシック"/>
        <family val="3"/>
        <charset val="134"/>
        <scheme val="minor"/>
      </rPr>
      <t>满</t>
    </r>
  </si>
  <si>
    <r>
      <t>江西新</t>
    </r>
    <r>
      <rPr>
        <sz val="11"/>
        <rFont val="ＭＳ Ｐゴシック"/>
        <family val="3"/>
        <charset val="134"/>
        <scheme val="minor"/>
      </rPr>
      <t>华发</t>
    </r>
    <r>
      <rPr>
        <sz val="11"/>
        <rFont val="ＭＳ Ｐゴシック"/>
        <family val="3"/>
        <charset val="128"/>
        <scheme val="minor"/>
      </rPr>
      <t>行集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</si>
  <si>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rPr>
        <sz val="11"/>
        <rFont val="ＭＳ Ｐゴシック"/>
        <family val="3"/>
        <charset val="134"/>
        <scheme val="minor"/>
      </rPr>
      <t>谭</t>
    </r>
    <r>
      <rPr>
        <sz val="11"/>
        <rFont val="ＭＳ Ｐゴシック"/>
        <family val="3"/>
        <charset val="128"/>
        <scheme val="minor"/>
      </rPr>
      <t>格秋月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</si>
  <si>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旭朋</t>
    </r>
  </si>
  <si>
    <r>
      <t xml:space="preserve"> 伏特加酒; 威士忌; 朗姆酒;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</si>
  <si>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内蒙古自治区酒</t>
    </r>
    <r>
      <rPr>
        <sz val="11"/>
        <rFont val="ＭＳ Ｐゴシック"/>
        <family val="3"/>
        <charset val="134"/>
        <scheme val="minor"/>
      </rPr>
      <t>业协</t>
    </r>
    <r>
      <rPr>
        <sz val="11"/>
        <rFont val="ＭＳ Ｐゴシック"/>
        <family val="3"/>
        <charset val="128"/>
        <scheme val="minor"/>
      </rPr>
      <t>会</t>
    </r>
  </si>
  <si>
    <r>
      <t xml:space="preserve"> 伏特加酒; 威士忌; 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</si>
  <si>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威士忌; 果酒; 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</si>
  <si>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广州瓦</t>
    </r>
    <r>
      <rPr>
        <sz val="11"/>
        <rFont val="ＭＳ Ｐゴシック"/>
        <family val="3"/>
        <charset val="134"/>
        <scheme val="minor"/>
      </rPr>
      <t>哒</t>
    </r>
    <r>
      <rPr>
        <sz val="11"/>
        <rFont val="ＭＳ Ｐゴシック"/>
        <family val="3"/>
        <charset val="128"/>
        <scheme val="minor"/>
      </rPr>
      <t>喜餐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</si>
  <si>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果酒; 清酒; 白酒; 苹果酒;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</si>
  <si>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湾新力元</t>
    </r>
  </si>
  <si>
    <r>
      <rPr>
        <sz val="11"/>
        <rFont val="ＭＳ Ｐゴシック"/>
        <family val="3"/>
        <charset val="134"/>
        <scheme val="minor"/>
      </rPr>
      <t>临</t>
    </r>
    <r>
      <rPr>
        <sz val="11"/>
        <rFont val="ＭＳ Ｐゴシック"/>
        <family val="3"/>
        <charset val="128"/>
        <scheme val="minor"/>
      </rPr>
      <t>沂宝都建</t>
    </r>
    <r>
      <rPr>
        <sz val="11"/>
        <rFont val="ＭＳ Ｐゴシック"/>
        <family val="3"/>
        <charset val="134"/>
        <scheme val="minor"/>
      </rPr>
      <t>设</t>
    </r>
    <r>
      <rPr>
        <sz val="11"/>
        <rFont val="ＭＳ Ｐゴシック"/>
        <family val="3"/>
        <charset val="128"/>
        <scheme val="minor"/>
      </rPr>
      <t>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有限公司</t>
    </r>
  </si>
  <si>
    <r>
      <t>大博山</t>
    </r>
    <r>
      <rPr>
        <sz val="11"/>
        <rFont val="ＭＳ Ｐゴシック"/>
        <family val="3"/>
        <charset val="134"/>
        <scheme val="minor"/>
      </rPr>
      <t>传统</t>
    </r>
    <r>
      <rPr>
        <sz val="11"/>
        <rFont val="ＭＳ Ｐゴシック"/>
        <family val="3"/>
        <charset val="128"/>
        <scheme val="minor"/>
      </rPr>
      <t>制品制造厂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</si>
  <si>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梨酒;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主的除外)</t>
    </r>
  </si>
  <si>
    <r>
      <rPr>
        <sz val="11"/>
        <rFont val="ＭＳ Ｐゴシック"/>
        <family val="3"/>
        <charset val="134"/>
        <scheme val="minor"/>
      </rPr>
      <t>韩旸</t>
    </r>
  </si>
  <si>
    <r>
      <t xml:space="preserve"> 利口酒; 开胃酒; 果酒(含酒精);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</si>
  <si>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热</t>
    </r>
    <r>
      <rPr>
        <sz val="11"/>
        <rFont val="ＭＳ Ｐゴシック"/>
        <family val="3"/>
        <charset val="128"/>
        <scheme val="minor"/>
      </rPr>
      <t>九</t>
    </r>
  </si>
  <si>
    <r>
      <rPr>
        <sz val="11"/>
        <rFont val="ＭＳ Ｐゴシック"/>
        <family val="3"/>
        <charset val="134"/>
        <scheme val="minor"/>
      </rPr>
      <t>坛</t>
    </r>
    <r>
      <rPr>
        <sz val="11"/>
        <rFont val="ＭＳ Ｐゴシック"/>
        <family val="3"/>
        <charset val="128"/>
        <scheme val="minor"/>
      </rPr>
      <t>家</t>
    </r>
    <r>
      <rPr>
        <sz val="11"/>
        <rFont val="ＭＳ Ｐゴシック"/>
        <family val="3"/>
        <charset val="134"/>
        <scheme val="minor"/>
      </rPr>
      <t>欢</t>
    </r>
  </si>
  <si>
    <r>
      <t>海口要</t>
    </r>
    <r>
      <rPr>
        <sz val="11"/>
        <rFont val="ＭＳ Ｐゴシック"/>
        <family val="3"/>
        <charset val="134"/>
        <scheme val="minor"/>
      </rPr>
      <t>飞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</si>
  <si>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威士忌;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葡萄酒; 青稞酒;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</si>
  <si>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宇</t>
    </r>
  </si>
  <si>
    <r>
      <rPr>
        <sz val="11"/>
        <rFont val="ＭＳ Ｐゴシック"/>
        <family val="3"/>
        <charset val="134"/>
        <scheme val="minor"/>
      </rPr>
      <t>滨</t>
    </r>
    <r>
      <rPr>
        <sz val="11"/>
        <rFont val="ＭＳ Ｐゴシック"/>
        <family val="3"/>
        <charset val="128"/>
        <scheme val="minor"/>
      </rPr>
      <t>山</t>
    </r>
  </si>
  <si>
    <r>
      <t>新余市盛</t>
    </r>
    <r>
      <rPr>
        <sz val="11"/>
        <rFont val="ＭＳ Ｐゴシック"/>
        <family val="3"/>
        <charset val="134"/>
        <scheme val="minor"/>
      </rPr>
      <t>爱贸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</si>
  <si>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蜂蜜酒; 食用酒精; 黄酒</t>
    </r>
  </si>
  <si>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中客</t>
    </r>
  </si>
  <si>
    <r>
      <t xml:space="preserve"> 开胃酒; 果酒(含酒精);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</si>
  <si>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rPr>
        <sz val="11"/>
        <rFont val="ＭＳ Ｐゴシック"/>
        <family val="3"/>
        <charset val="134"/>
        <scheme val="minor"/>
      </rPr>
      <t>孙</t>
    </r>
    <r>
      <rPr>
        <sz val="11"/>
        <rFont val="ＭＳ Ｐゴシック"/>
        <family val="3"/>
        <charset val="128"/>
        <scheme val="minor"/>
      </rPr>
      <t>洪建</t>
    </r>
  </si>
  <si>
    <r>
      <rPr>
        <sz val="11"/>
        <rFont val="ＭＳ Ｐゴシック"/>
        <family val="3"/>
        <charset val="134"/>
        <scheme val="minor"/>
      </rPr>
      <t>觞</t>
    </r>
    <r>
      <rPr>
        <sz val="11"/>
        <rFont val="ＭＳ Ｐゴシック"/>
        <family val="3"/>
        <charset val="128"/>
        <scheme val="minor"/>
      </rPr>
      <t>秋·孔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</si>
  <si>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</t>
    </r>
    <r>
      <rPr>
        <sz val="11"/>
        <rFont val="ＭＳ Ｐゴシック"/>
        <family val="3"/>
        <charset val="134"/>
        <scheme val="minor"/>
      </rPr>
      <t>觞</t>
    </r>
    <r>
      <rPr>
        <sz val="11"/>
        <rFont val="ＭＳ Ｐゴシック"/>
        <family val="3"/>
        <charset val="128"/>
        <scheme val="minor"/>
      </rPr>
      <t>歌酒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</si>
  <si>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</t>
    </r>
  </si>
  <si>
    <r>
      <t>宇邦臻</t>
    </r>
    <r>
      <rPr>
        <sz val="11"/>
        <rFont val="ＭＳ Ｐゴシック"/>
        <family val="3"/>
        <charset val="134"/>
        <scheme val="minor"/>
      </rPr>
      <t>选</t>
    </r>
  </si>
  <si>
    <r>
      <t>天下</t>
    </r>
    <r>
      <rPr>
        <sz val="11"/>
        <rFont val="ＭＳ Ｐゴシック"/>
        <family val="3"/>
        <charset val="134"/>
        <scheme val="minor"/>
      </rPr>
      <t>泽</t>
    </r>
    <r>
      <rPr>
        <sz val="11"/>
        <rFont val="ＭＳ Ｐゴシック"/>
        <family val="3"/>
        <charset val="128"/>
        <scheme val="minor"/>
      </rPr>
      <t>雨 RAINIGRACE</t>
    </r>
  </si>
  <si>
    <r>
      <t>霍山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天下</t>
    </r>
    <r>
      <rPr>
        <sz val="11"/>
        <rFont val="ＭＳ Ｐゴシック"/>
        <family val="3"/>
        <charset val="134"/>
        <scheme val="minor"/>
      </rPr>
      <t>泽</t>
    </r>
    <r>
      <rPr>
        <sz val="11"/>
        <rFont val="ＭＳ Ｐゴシック"/>
        <family val="3"/>
        <charset val="128"/>
        <scheme val="minor"/>
      </rPr>
      <t>雨生物科技</t>
    </r>
    <r>
      <rPr>
        <sz val="11"/>
        <rFont val="ＭＳ Ｐゴシック"/>
        <family val="3"/>
        <charset val="134"/>
        <scheme val="minor"/>
      </rPr>
      <t>发</t>
    </r>
    <r>
      <rPr>
        <sz val="11"/>
        <rFont val="ＭＳ Ｐゴシック"/>
        <family val="3"/>
        <charset val="128"/>
        <scheme val="minor"/>
      </rPr>
      <t>展有限公司</t>
    </r>
  </si>
  <si>
    <r>
      <t xml:space="preserve"> 利口酒;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青稞酒; 食用酒精; 黄酒</t>
    </r>
  </si>
  <si>
    <r>
      <rPr>
        <sz val="11"/>
        <rFont val="ＭＳ Ｐゴシック"/>
        <family val="3"/>
        <charset val="134"/>
        <scheme val="minor"/>
      </rPr>
      <t>补</t>
    </r>
    <r>
      <rPr>
        <sz val="11"/>
        <rFont val="ＭＳ Ｐゴシック"/>
        <family val="3"/>
        <charset val="128"/>
        <scheme val="minor"/>
      </rPr>
      <t>台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坊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</si>
  <si>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州掌上通网</t>
    </r>
    <r>
      <rPr>
        <sz val="11"/>
        <rFont val="ＭＳ Ｐゴシック"/>
        <family val="3"/>
        <charset val="134"/>
        <scheme val="minor"/>
      </rPr>
      <t>络</t>
    </r>
    <r>
      <rPr>
        <sz val="11"/>
        <rFont val="ＭＳ Ｐゴシック"/>
        <family val="3"/>
        <charset val="128"/>
        <scheme val="minor"/>
      </rPr>
      <t>科技有限公司</t>
    </r>
  </si>
  <si>
    <r>
      <t xml:space="preserve">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>梅酒; 果酒; 烈酒; 甜酒;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</si>
  <si>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砍下餐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管理有限公司</t>
    </r>
  </si>
  <si>
    <r>
      <t xml:space="preserve"> 开胃酒;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苦味酒; 薄荷酒;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</si>
  <si>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t>董</t>
    </r>
    <r>
      <rPr>
        <sz val="11"/>
        <rFont val="ＭＳ Ｐゴシック"/>
        <family val="3"/>
        <charset val="134"/>
        <scheme val="minor"/>
      </rPr>
      <t>亿</t>
    </r>
    <r>
      <rPr>
        <sz val="11"/>
        <rFont val="ＭＳ Ｐゴシック"/>
        <family val="3"/>
        <charset val="128"/>
        <scheme val="minor"/>
      </rPr>
      <t>新</t>
    </r>
  </si>
  <si>
    <r>
      <t xml:space="preserve"> 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高粱酒; 黄酒</t>
    </r>
  </si>
  <si>
    <r>
      <t>珍</t>
    </r>
    <r>
      <rPr>
        <sz val="11"/>
        <rFont val="ＭＳ Ｐゴシック"/>
        <family val="3"/>
        <charset val="134"/>
        <scheme val="minor"/>
      </rPr>
      <t>酿贵</t>
    </r>
    <r>
      <rPr>
        <sz val="11"/>
        <rFont val="ＭＳ Ｐゴシック"/>
        <family val="3"/>
        <charset val="128"/>
        <scheme val="minor"/>
      </rPr>
      <t>沙</t>
    </r>
  </si>
  <si>
    <r>
      <t>安徽老池酒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</si>
  <si>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果酒(含酒精);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</si>
  <si>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湖</t>
    </r>
    <r>
      <rPr>
        <sz val="11"/>
        <rFont val="ＭＳ Ｐゴシック"/>
        <family val="3"/>
        <charset val="134"/>
        <scheme val="minor"/>
      </rPr>
      <t>垛</t>
    </r>
    <r>
      <rPr>
        <sz val="11"/>
        <rFont val="ＭＳ Ｐゴシック"/>
        <family val="3"/>
        <charset val="128"/>
        <scheme val="minor"/>
      </rPr>
      <t>九</t>
    </r>
    <r>
      <rPr>
        <sz val="11"/>
        <rFont val="ＭＳ Ｐゴシック"/>
        <family val="3"/>
        <charset val="134"/>
        <scheme val="minor"/>
      </rPr>
      <t>龙</t>
    </r>
  </si>
  <si>
    <r>
      <t>南京</t>
    </r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江</t>
    </r>
    <r>
      <rPr>
        <sz val="11"/>
        <rFont val="ＭＳ Ｐゴシック"/>
        <family val="3"/>
        <charset val="134"/>
        <scheme val="minor"/>
      </rPr>
      <t>缘</t>
    </r>
    <r>
      <rPr>
        <sz val="11"/>
        <rFont val="ＭＳ Ｐゴシック"/>
        <family val="3"/>
        <charset val="128"/>
        <scheme val="minor"/>
      </rPr>
      <t>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</si>
  <si>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甜果酒; 白酒; 米酒;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</si>
  <si>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米江</t>
    </r>
    <r>
      <rPr>
        <sz val="11"/>
        <rFont val="ＭＳ Ｐゴシック"/>
        <family val="3"/>
        <charset val="134"/>
        <scheme val="minor"/>
      </rPr>
      <t>伟</t>
    </r>
  </si>
  <si>
    <r>
      <t xml:space="preserve">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料原汁;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</si>
  <si>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市巨鹿汽</t>
    </r>
    <r>
      <rPr>
        <sz val="11"/>
        <rFont val="ＭＳ Ｐゴシック"/>
        <family val="3"/>
        <charset val="134"/>
        <scheme val="minor"/>
      </rPr>
      <t>车</t>
    </r>
    <r>
      <rPr>
        <sz val="11"/>
        <rFont val="ＭＳ Ｐゴシック"/>
        <family val="3"/>
        <charset val="128"/>
        <scheme val="minor"/>
      </rPr>
      <t>配件有限公司</t>
    </r>
  </si>
  <si>
    <r>
      <t xml:space="preserve"> 伏特加酒;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蒸煮提取物(利口酒和烈酒);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</si>
  <si>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云南最品供</t>
    </r>
    <r>
      <rPr>
        <sz val="11"/>
        <rFont val="ＭＳ Ｐゴシック"/>
        <family val="3"/>
        <charset val="134"/>
        <scheme val="minor"/>
      </rPr>
      <t>应链</t>
    </r>
    <r>
      <rPr>
        <sz val="11"/>
        <rFont val="ＭＳ Ｐゴシック"/>
        <family val="3"/>
        <charset val="128"/>
        <scheme val="minor"/>
      </rPr>
      <t>有限公司</t>
    </r>
  </si>
  <si>
    <r>
      <t>岳阳云湘餐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</si>
  <si>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甜酒; 白酒; 米酒; 苹果酒; 葡萄酒; 黄酒</t>
    </r>
  </si>
  <si>
    <r>
      <t>遵</t>
    </r>
    <r>
      <rPr>
        <sz val="11"/>
        <rFont val="ＭＳ Ｐゴシック"/>
        <family val="3"/>
        <charset val="134"/>
        <scheme val="minor"/>
      </rPr>
      <t>满</t>
    </r>
    <r>
      <rPr>
        <sz val="11"/>
        <rFont val="ＭＳ Ｐゴシック"/>
        <family val="3"/>
        <charset val="128"/>
        <scheme val="minor"/>
      </rPr>
      <t>香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</si>
  <si>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州遵醇酒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</si>
  <si>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五加皮酒(中国混合烈酒);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酒; 烈酒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白干酒(中国白酒);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高粱酒</t>
    </r>
  </si>
  <si>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富星耀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</si>
  <si>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雍天下</t>
    </r>
  </si>
  <si>
    <r>
      <t>富</t>
    </r>
    <r>
      <rPr>
        <sz val="11"/>
        <rFont val="ＭＳ Ｐゴシック"/>
        <family val="3"/>
        <charset val="134"/>
        <scheme val="minor"/>
      </rPr>
      <t>贵鱼</t>
    </r>
  </si>
  <si>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善</t>
    </r>
  </si>
  <si>
    <r>
      <rPr>
        <sz val="11"/>
        <rFont val="ＭＳ Ｐゴシック"/>
        <family val="3"/>
        <charset val="134"/>
        <scheme val="minor"/>
      </rPr>
      <t>华宾</t>
    </r>
    <r>
      <rPr>
        <sz val="11"/>
        <rFont val="ＭＳ Ｐゴシック"/>
        <family val="3"/>
        <charset val="128"/>
        <scheme val="minor"/>
      </rPr>
      <t>儒仕</t>
    </r>
  </si>
  <si>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秀美</t>
    </r>
  </si>
  <si>
    <r>
      <t xml:space="preserve"> 威士忌; </t>
    </r>
    <r>
      <rPr>
        <sz val="11"/>
        <rFont val="ＭＳ Ｐゴシック"/>
        <family val="3"/>
        <charset val="134"/>
        <scheme val="minor"/>
      </rPr>
      <t>杨</t>
    </r>
    <r>
      <rPr>
        <sz val="11"/>
        <rFont val="ＭＳ Ｐゴシック"/>
        <family val="3"/>
        <charset val="128"/>
        <scheme val="minor"/>
      </rPr>
      <t xml:space="preserve">梅酒;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葡萄酒; 除啤酒外的酒精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</si>
  <si>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尾酒混合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品; 果酒(含酒精);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</si>
  <si>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烟台</t>
    </r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裕葡萄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酒股份有限公司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</si>
  <si>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开胃酒; 果酒(含酒精); 汽酒;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餐后酒(利口酒和烈酒)</t>
    </r>
  </si>
  <si>
    <r>
      <t>建</t>
    </r>
    <r>
      <rPr>
        <sz val="11"/>
        <rFont val="ＭＳ Ｐゴシック"/>
        <family val="3"/>
        <charset val="134"/>
        <scheme val="minor"/>
      </rPr>
      <t>龄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</si>
  <si>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市捍天下酒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(集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)有限公司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</si>
  <si>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开胃酒; 清酒; 烈酒;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薄荷酒; 高粱酒; 黄酒</t>
    </r>
  </si>
  <si>
    <r>
      <t>堤川</t>
    </r>
    <r>
      <rPr>
        <sz val="11"/>
        <rFont val="ＭＳ Ｐゴシック"/>
        <family val="3"/>
        <charset val="134"/>
        <scheme val="minor"/>
      </rPr>
      <t>韩药营农组</t>
    </r>
    <r>
      <rPr>
        <sz val="11"/>
        <rFont val="ＭＳ Ｐゴシック"/>
        <family val="3"/>
        <charset val="128"/>
        <scheme val="minor"/>
      </rPr>
      <t>合法人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</si>
  <si>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米酒; 蒸煮提取物(利口酒和烈酒);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>汁</t>
    </r>
  </si>
  <si>
    <r>
      <t>新</t>
    </r>
    <r>
      <rPr>
        <sz val="11"/>
        <rFont val="ＭＳ Ｐゴシック"/>
        <family val="3"/>
        <charset val="134"/>
        <scheme val="minor"/>
      </rPr>
      <t>辉</t>
    </r>
    <r>
      <rPr>
        <sz val="11"/>
        <rFont val="ＭＳ Ｐゴシック"/>
        <family val="3"/>
        <charset val="128"/>
        <scheme val="minor"/>
      </rPr>
      <t>全</t>
    </r>
    <r>
      <rPr>
        <sz val="11"/>
        <rFont val="ＭＳ Ｐゴシック"/>
        <family val="3"/>
        <charset val="134"/>
        <scheme val="minor"/>
      </rPr>
      <t>动</t>
    </r>
    <r>
      <rPr>
        <sz val="11"/>
        <rFont val="ＭＳ Ｐゴシック"/>
        <family val="3"/>
        <charset val="128"/>
        <scheme val="minor"/>
      </rPr>
      <t>力(北京)科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</si>
  <si>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开胃酒;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</si>
  <si>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rPr>
        <sz val="11"/>
        <rFont val="ＭＳ Ｐゴシック"/>
        <family val="3"/>
        <charset val="134"/>
        <scheme val="minor"/>
      </rPr>
      <t>问</t>
    </r>
    <r>
      <rPr>
        <sz val="11"/>
        <rFont val="ＭＳ Ｐゴシック"/>
        <family val="3"/>
        <charset val="128"/>
        <scheme val="minor"/>
      </rPr>
      <t>童村</t>
    </r>
  </si>
  <si>
    <r>
      <t>山西九州文化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</si>
  <si>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威士忌; 开胃酒; 果酒(含酒精); 清酒;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</si>
  <si>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创</t>
    </r>
    <r>
      <rPr>
        <sz val="11"/>
        <rFont val="ＭＳ Ｐゴシック"/>
        <family val="3"/>
        <charset val="128"/>
        <scheme val="minor"/>
      </rPr>
      <t>日</t>
    </r>
    <r>
      <rPr>
        <sz val="11"/>
        <rFont val="ＭＳ Ｐゴシック"/>
        <family val="3"/>
        <charset val="134"/>
        <scheme val="minor"/>
      </rPr>
      <t>红</t>
    </r>
  </si>
  <si>
    <r>
      <t>刘</t>
    </r>
    <r>
      <rPr>
        <sz val="11"/>
        <rFont val="ＭＳ Ｐゴシック"/>
        <family val="3"/>
        <charset val="134"/>
        <scheme val="minor"/>
      </rPr>
      <t>辅</t>
    </r>
    <r>
      <rPr>
        <sz val="11"/>
        <rFont val="ＭＳ Ｐゴシック"/>
        <family val="3"/>
        <charset val="128"/>
        <scheme val="minor"/>
      </rPr>
      <t>波</t>
    </r>
  </si>
  <si>
    <r>
      <t xml:space="preserve"> 伏特加酒; 威士忌;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味的麦芽</t>
    </r>
    <r>
      <rPr>
        <sz val="11"/>
        <rFont val="ＭＳ Ｐゴシック"/>
        <family val="3"/>
        <charset val="134"/>
        <scheme val="minor"/>
      </rPr>
      <t>酿</t>
    </r>
    <r>
      <rPr>
        <sz val="11"/>
        <rFont val="ＭＳ Ｐゴシック"/>
        <family val="3"/>
        <charset val="128"/>
        <scheme val="minor"/>
      </rPr>
      <t>制的酒精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</si>
  <si>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t>冠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良膳</t>
    </r>
  </si>
  <si>
    <r>
      <t>广</t>
    </r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冠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食品科技有限公司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</si>
  <si>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果酒(含酒精); 汽酒;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</t>
    </r>
  </si>
  <si>
    <r>
      <t>福</t>
    </r>
    <r>
      <rPr>
        <sz val="11"/>
        <rFont val="ＭＳ Ｐゴシック"/>
        <family val="3"/>
        <charset val="134"/>
        <scheme val="minor"/>
      </rPr>
      <t>罗</t>
    </r>
    <r>
      <rPr>
        <sz val="11"/>
        <rFont val="ＭＳ Ｐゴシック"/>
        <family val="3"/>
        <charset val="128"/>
        <scheme val="minor"/>
      </rPr>
      <t>墩</t>
    </r>
  </si>
  <si>
    <r>
      <t>河北安特</t>
    </r>
    <r>
      <rPr>
        <sz val="11"/>
        <rFont val="ＭＳ Ｐゴシック"/>
        <family val="3"/>
        <charset val="134"/>
        <scheme val="minor"/>
      </rPr>
      <t>卫</t>
    </r>
    <r>
      <rPr>
        <sz val="11"/>
        <rFont val="ＭＳ Ｐゴシック"/>
        <family val="3"/>
        <charset val="128"/>
        <scheme val="minor"/>
      </rPr>
      <t>普</t>
    </r>
    <r>
      <rPr>
        <sz val="11"/>
        <rFont val="ＭＳ Ｐゴシック"/>
        <family val="3"/>
        <charset val="134"/>
        <scheme val="minor"/>
      </rPr>
      <t>贸</t>
    </r>
    <r>
      <rPr>
        <sz val="11"/>
        <rFont val="ＭＳ Ｐゴシック"/>
        <family val="3"/>
        <charset val="128"/>
        <scheme val="minor"/>
      </rPr>
      <t>易有限公司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</si>
  <si>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利口酒;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白葡萄酒;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黄酒</t>
    </r>
  </si>
  <si>
    <r>
      <t>江</t>
    </r>
    <r>
      <rPr>
        <sz val="11"/>
        <rFont val="ＭＳ Ｐゴシック"/>
        <family val="3"/>
        <charset val="134"/>
        <scheme val="minor"/>
      </rPr>
      <t>苏</t>
    </r>
    <r>
      <rPr>
        <sz val="11"/>
        <rFont val="ＭＳ Ｐゴシック"/>
        <family val="3"/>
        <charset val="128"/>
        <scheme val="minor"/>
      </rPr>
      <t>醉世酒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</si>
  <si>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酒; 果酒(含酒精);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露酒; 青梅酒; 高粱酒</t>
    </r>
  </si>
  <si>
    <r>
      <t>天水市甘果酒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</si>
  <si>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含酒精的充气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果酒(含酒精); 甜果酒; 白酒; 米酒; 苹果酒;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</si>
  <si>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冰</t>
    </r>
    <r>
      <rPr>
        <sz val="11"/>
        <rFont val="ＭＳ Ｐゴシック"/>
        <family val="3"/>
        <charset val="134"/>
        <scheme val="minor"/>
      </rPr>
      <t>马</t>
    </r>
    <r>
      <rPr>
        <sz val="11"/>
        <rFont val="ＭＳ Ｐゴシック"/>
        <family val="3"/>
        <charset val="128"/>
        <scheme val="minor"/>
      </rPr>
      <t>湖</t>
    </r>
  </si>
  <si>
    <r>
      <t>雷波</t>
    </r>
    <r>
      <rPr>
        <sz val="11"/>
        <rFont val="ＭＳ Ｐゴシック"/>
        <family val="3"/>
        <charset val="134"/>
        <scheme val="minor"/>
      </rPr>
      <t>县</t>
    </r>
    <r>
      <rPr>
        <sz val="11"/>
        <rFont val="ＭＳ Ｐゴシック"/>
        <family val="3"/>
        <charset val="128"/>
        <scheme val="minor"/>
      </rPr>
      <t>金沙江国有</t>
    </r>
    <r>
      <rPr>
        <sz val="11"/>
        <rFont val="ＭＳ Ｐゴシック"/>
        <family val="3"/>
        <charset val="134"/>
        <scheme val="minor"/>
      </rPr>
      <t>资产经营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</si>
  <si>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朗姆酒;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白酒; 米酒; 苹果酒; 葡萄酒; 蜂蜜酒;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</si>
  <si>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千</t>
    </r>
    <r>
      <rPr>
        <sz val="11"/>
        <rFont val="ＭＳ Ｐゴシック"/>
        <family val="3"/>
        <charset val="134"/>
        <scheme val="minor"/>
      </rPr>
      <t>贺颂</t>
    </r>
  </si>
  <si>
    <r>
      <t>叙永途橙旅游服</t>
    </r>
    <r>
      <rPr>
        <sz val="11"/>
        <rFont val="ＭＳ Ｐゴシック"/>
        <family val="3"/>
        <charset val="134"/>
        <scheme val="minor"/>
      </rPr>
      <t>务</t>
    </r>
    <r>
      <rPr>
        <sz val="11"/>
        <rFont val="ＭＳ Ｐゴシック"/>
        <family val="3"/>
        <charset val="128"/>
        <scheme val="minor"/>
      </rPr>
      <t>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</si>
  <si>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苹果酒;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</si>
  <si>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BSL </t>
    </r>
    <r>
      <rPr>
        <sz val="11"/>
        <rFont val="ＭＳ Ｐゴシック"/>
        <family val="3"/>
        <charset val="134"/>
        <scheme val="minor"/>
      </rPr>
      <t>贝</t>
    </r>
    <r>
      <rPr>
        <sz val="11"/>
        <rFont val="ＭＳ Ｐゴシック"/>
        <family val="3"/>
        <charset val="128"/>
        <scheme val="minor"/>
      </rPr>
      <t>索</t>
    </r>
    <r>
      <rPr>
        <sz val="11"/>
        <rFont val="ＭＳ Ｐゴシック"/>
        <family val="3"/>
        <charset val="134"/>
        <scheme val="minor"/>
      </rPr>
      <t>罗</t>
    </r>
  </si>
  <si>
    <r>
      <rPr>
        <sz val="11"/>
        <rFont val="ＭＳ Ｐゴシック"/>
        <family val="3"/>
        <charset val="134"/>
        <scheme val="minor"/>
      </rPr>
      <t>东</t>
    </r>
    <r>
      <rPr>
        <sz val="11"/>
        <rFont val="ＭＳ Ｐゴシック"/>
        <family val="3"/>
        <charset val="128"/>
        <scheme val="minor"/>
      </rPr>
      <t>革</t>
    </r>
    <r>
      <rPr>
        <sz val="11"/>
        <rFont val="ＭＳ Ｐゴシック"/>
        <family val="3"/>
        <charset val="134"/>
        <scheme val="minor"/>
      </rPr>
      <t>爷们</t>
    </r>
    <r>
      <rPr>
        <sz val="11"/>
        <rFont val="ＭＳ Ｐゴシック"/>
        <family val="3"/>
        <charset val="128"/>
        <scheme val="minor"/>
      </rPr>
      <t>儿中</t>
    </r>
  </si>
  <si>
    <r>
      <rPr>
        <sz val="11"/>
        <rFont val="ＭＳ Ｐゴシック"/>
        <family val="3"/>
        <charset val="134"/>
        <scheme val="minor"/>
      </rPr>
      <t>张</t>
    </r>
    <r>
      <rPr>
        <sz val="11"/>
        <rFont val="ＭＳ Ｐゴシック"/>
        <family val="3"/>
        <charset val="128"/>
        <scheme val="minor"/>
      </rPr>
      <t>珂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</si>
  <si>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含酒精的气泡水; 已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味的蒸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</si>
  <si>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道正堂</t>
    </r>
  </si>
  <si>
    <r>
      <t>北京天下</t>
    </r>
    <r>
      <rPr>
        <sz val="11"/>
        <rFont val="ＭＳ Ｐゴシック"/>
        <family val="3"/>
        <charset val="134"/>
        <scheme val="minor"/>
      </rPr>
      <t>泽</t>
    </r>
    <r>
      <rPr>
        <sz val="11"/>
        <rFont val="ＭＳ Ｐゴシック"/>
        <family val="3"/>
        <charset val="128"/>
        <scheme val="minor"/>
      </rPr>
      <t>雨霍山石斛健康科技有限公司</t>
    </r>
  </si>
  <si>
    <r>
      <t xml:space="preserve"> 清酒(日本米酒);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青稞酒; 黄酒</t>
    </r>
  </si>
  <si>
    <r>
      <t>米歌小</t>
    </r>
    <r>
      <rPr>
        <sz val="11"/>
        <rFont val="ＭＳ Ｐゴシック"/>
        <family val="3"/>
        <charset val="134"/>
        <scheme val="minor"/>
      </rPr>
      <t>柠</t>
    </r>
    <r>
      <rPr>
        <sz val="11"/>
        <rFont val="ＭＳ Ｐゴシック"/>
        <family val="3"/>
        <charset val="128"/>
        <scheme val="minor"/>
      </rPr>
      <t>萌</t>
    </r>
  </si>
  <si>
    <r>
      <t xml:space="preserve"> 利口酒; 开胃酒;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高粱酒; 黄酒</t>
    </r>
  </si>
  <si>
    <r>
      <t xml:space="preserve">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蒸煮提取物(利口酒和烈酒); 起泡白葡萄酒;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</t>
    </r>
  </si>
  <si>
    <r>
      <t>碧</t>
    </r>
    <r>
      <rPr>
        <sz val="11"/>
        <rFont val="ＭＳ Ｐゴシック"/>
        <family val="3"/>
        <charset val="134"/>
        <scheme val="minor"/>
      </rPr>
      <t>铺</t>
    </r>
  </si>
  <si>
    <r>
      <t>唐朝</t>
    </r>
    <r>
      <rPr>
        <sz val="11"/>
        <rFont val="ＭＳ Ｐゴシック"/>
        <family val="3"/>
        <charset val="134"/>
        <scheme val="minor"/>
      </rPr>
      <t>诡</t>
    </r>
    <r>
      <rPr>
        <sz val="11"/>
        <rFont val="ＭＳ Ｐゴシック"/>
        <family val="3"/>
        <charset val="128"/>
        <scheme val="minor"/>
      </rPr>
      <t>事</t>
    </r>
    <r>
      <rPr>
        <sz val="11"/>
        <rFont val="ＭＳ Ｐゴシック"/>
        <family val="3"/>
        <charset val="134"/>
        <scheme val="minor"/>
      </rPr>
      <t>录</t>
    </r>
  </si>
  <si>
    <r>
      <t>天津</t>
    </r>
    <r>
      <rPr>
        <sz val="11"/>
        <rFont val="ＭＳ Ｐゴシック"/>
        <family val="3"/>
        <charset val="134"/>
        <scheme val="minor"/>
      </rPr>
      <t>长</t>
    </r>
    <r>
      <rPr>
        <sz val="11"/>
        <rFont val="ＭＳ Ｐゴシック"/>
        <family val="3"/>
        <charset val="128"/>
        <scheme val="minor"/>
      </rPr>
      <t>信影</t>
    </r>
    <r>
      <rPr>
        <sz val="11"/>
        <rFont val="ＭＳ Ｐゴシック"/>
        <family val="3"/>
        <charset val="134"/>
        <scheme val="minor"/>
      </rPr>
      <t>视传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</si>
  <si>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汽酒;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白干酒(中国白酒);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</si>
  <si>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裕</t>
    </r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福</t>
    </r>
  </si>
  <si>
    <r>
      <rPr>
        <sz val="11"/>
        <rFont val="ＭＳ Ｐゴシック"/>
        <family val="3"/>
        <charset val="134"/>
        <scheme val="minor"/>
      </rPr>
      <t>庐</t>
    </r>
    <r>
      <rPr>
        <sz val="11"/>
        <rFont val="ＭＳ Ｐゴシック"/>
        <family val="3"/>
        <charset val="128"/>
        <scheme val="minor"/>
      </rPr>
      <t>玉</t>
    </r>
  </si>
  <si>
    <r>
      <t>宜春美鄱</t>
    </r>
    <r>
      <rPr>
        <sz val="11"/>
        <rFont val="ＭＳ Ｐゴシック"/>
        <family val="3"/>
        <charset val="134"/>
        <scheme val="minor"/>
      </rPr>
      <t>环</t>
    </r>
    <r>
      <rPr>
        <sz val="11"/>
        <rFont val="ＭＳ Ｐゴシック"/>
        <family val="3"/>
        <charset val="128"/>
        <scheme val="minor"/>
      </rPr>
      <t>境科技有限公司</t>
    </r>
  </si>
  <si>
    <r>
      <t xml:space="preserve"> 伏特加酒; 果酒(含酒精);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青稞酒; 高粱酒; 黄酒</t>
    </r>
  </si>
  <si>
    <r>
      <rPr>
        <sz val="11"/>
        <rFont val="ＭＳ Ｐゴシック"/>
        <family val="3"/>
        <charset val="134"/>
        <scheme val="minor"/>
      </rPr>
      <t>卢灿辉</t>
    </r>
  </si>
  <si>
    <r>
      <t xml:space="preserve">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黄酒;未知群</t>
    </r>
    <r>
      <rPr>
        <sz val="11"/>
        <rFont val="ＭＳ Ｐゴシック"/>
        <family val="3"/>
        <charset val="134"/>
        <scheme val="minor"/>
      </rPr>
      <t>组</t>
    </r>
    <r>
      <rPr>
        <sz val="11"/>
        <rFont val="ＭＳ Ｐゴシック"/>
        <family val="3"/>
        <charset val="128"/>
        <scheme val="minor"/>
      </rPr>
      <t xml:space="preserve"> 人参酒浸泡有人参的白酒</t>
    </r>
  </si>
  <si>
    <r>
      <t>青</t>
    </r>
    <r>
      <rPr>
        <sz val="11"/>
        <rFont val="ＭＳ Ｐゴシック"/>
        <family val="3"/>
        <charset val="134"/>
        <scheme val="minor"/>
      </rPr>
      <t>岛锦鹏伟业</t>
    </r>
    <r>
      <rPr>
        <sz val="11"/>
        <rFont val="ＭＳ Ｐゴシック"/>
        <family val="3"/>
        <charset val="128"/>
        <scheme val="minor"/>
      </rPr>
      <t>食品有限公司</t>
    </r>
  </si>
  <si>
    <r>
      <t xml:space="preserve"> 含奶油利口酒; 开胃酒; 果酒; 水果汽酒;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</t>
    </r>
  </si>
  <si>
    <r>
      <rPr>
        <sz val="11"/>
        <rFont val="ＭＳ Ｐゴシック"/>
        <family val="3"/>
        <charset val="134"/>
        <scheme val="minor"/>
      </rPr>
      <t>项</t>
    </r>
    <r>
      <rPr>
        <sz val="11"/>
        <rFont val="ＭＳ Ｐゴシック"/>
        <family val="3"/>
        <charset val="128"/>
        <scheme val="minor"/>
      </rPr>
      <t>羽山海</t>
    </r>
  </si>
  <si>
    <r>
      <t xml:space="preserve"> 伏特加酒; 威士忌; 朗姆酒; 清酒;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</si>
  <si>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栾金</t>
    </r>
    <r>
      <rPr>
        <sz val="11"/>
        <rFont val="ＭＳ Ｐゴシック"/>
        <family val="3"/>
        <charset val="134"/>
        <scheme val="minor"/>
      </rPr>
      <t>龙</t>
    </r>
  </si>
  <si>
    <r>
      <rPr>
        <sz val="11"/>
        <rFont val="ＭＳ Ｐゴシック"/>
        <family val="3"/>
        <charset val="134"/>
        <scheme val="minor"/>
      </rPr>
      <t>贤</t>
    </r>
    <r>
      <rPr>
        <sz val="11"/>
        <rFont val="ＭＳ Ｐゴシック"/>
        <family val="3"/>
        <charset val="128"/>
        <scheme val="minor"/>
      </rPr>
      <t>秘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坊</t>
    </r>
  </si>
  <si>
    <r>
      <t>漳州市淡然</t>
    </r>
    <r>
      <rPr>
        <sz val="11"/>
        <rFont val="ＭＳ Ｐゴシック"/>
        <family val="3"/>
        <charset val="134"/>
        <scheme val="minor"/>
      </rPr>
      <t>电</t>
    </r>
    <r>
      <rPr>
        <sz val="11"/>
        <rFont val="ＭＳ Ｐゴシック"/>
        <family val="3"/>
        <charset val="128"/>
        <scheme val="minor"/>
      </rPr>
      <t>子科技有限公司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</si>
  <si>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甜酒;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 xml:space="preserve">烈酒); 葡萄酒; </t>
    </r>
    <r>
      <rPr>
        <sz val="11"/>
        <rFont val="ＭＳ Ｐゴシック"/>
        <family val="3"/>
        <charset val="134"/>
        <scheme val="minor"/>
      </rPr>
      <t>调</t>
    </r>
    <r>
      <rPr>
        <sz val="11"/>
        <rFont val="ＭＳ Ｐゴシック"/>
        <family val="3"/>
        <charset val="128"/>
        <scheme val="minor"/>
      </rPr>
      <t>制好的葡萄酒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 xml:space="preserve">尾酒;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</si>
  <si>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徐</t>
    </r>
    <r>
      <rPr>
        <sz val="11"/>
        <rFont val="ＭＳ Ｐゴシック"/>
        <family val="3"/>
        <charset val="134"/>
        <scheme val="minor"/>
      </rPr>
      <t>凤琼</t>
    </r>
  </si>
  <si>
    <r>
      <t xml:space="preserve"> 开胃酒;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青稞酒; 黄酒</t>
    </r>
  </si>
  <si>
    <r>
      <t>瑞世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方</t>
    </r>
  </si>
  <si>
    <r>
      <t>重</t>
    </r>
    <r>
      <rPr>
        <sz val="11"/>
        <rFont val="ＭＳ Ｐゴシック"/>
        <family val="3"/>
        <charset val="134"/>
        <scheme val="minor"/>
      </rPr>
      <t>庆</t>
    </r>
    <r>
      <rPr>
        <sz val="11"/>
        <rFont val="ＭＳ Ｐゴシック"/>
        <family val="3"/>
        <charset val="128"/>
        <scheme val="minor"/>
      </rPr>
      <t>瑞世</t>
    </r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方生物科技有限公司</t>
    </r>
  </si>
  <si>
    <r>
      <t xml:space="preserve"> 伏特加酒; 利口酒; 威士忌; 果酒(含酒精);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葡萄酒; 青稞酒;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</si>
  <si>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陈绩</t>
    </r>
    <r>
      <rPr>
        <sz val="11"/>
        <rFont val="ＭＳ Ｐゴシック"/>
        <family val="3"/>
        <charset val="128"/>
        <scheme val="minor"/>
      </rPr>
      <t>好</t>
    </r>
  </si>
  <si>
    <r>
      <t>河南</t>
    </r>
    <r>
      <rPr>
        <sz val="11"/>
        <rFont val="ＭＳ Ｐゴシック"/>
        <family val="3"/>
        <charset val="134"/>
        <scheme val="minor"/>
      </rPr>
      <t>陈绩</t>
    </r>
    <r>
      <rPr>
        <sz val="11"/>
        <rFont val="ＭＳ Ｐゴシック"/>
        <family val="3"/>
        <charset val="128"/>
        <scheme val="minor"/>
      </rPr>
      <t>好餐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</si>
  <si>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含酒精的气泡水; 果酒(含酒精); 清酒(日本米酒); 白酒; 米酒;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食用酒精; 黄酒</t>
    </r>
  </si>
  <si>
    <r>
      <rPr>
        <sz val="11"/>
        <rFont val="ＭＳ Ｐゴシック"/>
        <family val="3"/>
        <charset val="134"/>
        <scheme val="minor"/>
      </rPr>
      <t>陕</t>
    </r>
    <r>
      <rPr>
        <sz val="11"/>
        <rFont val="ＭＳ Ｐゴシック"/>
        <family val="3"/>
        <charset val="128"/>
        <scheme val="minor"/>
      </rPr>
      <t>西金秋叶餐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酒店管理有限公司</t>
    </r>
  </si>
  <si>
    <r>
      <t xml:space="preserve">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由谷物蒸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的白酒;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青稞酒; 高粱酒;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</si>
  <si>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奇隽秀</t>
    </r>
  </si>
  <si>
    <r>
      <t>博山区文醉百</t>
    </r>
    <r>
      <rPr>
        <sz val="11"/>
        <rFont val="ＭＳ Ｐゴシック"/>
        <family val="3"/>
        <charset val="134"/>
        <scheme val="minor"/>
      </rPr>
      <t>货</t>
    </r>
    <r>
      <rPr>
        <sz val="11"/>
        <rFont val="ＭＳ Ｐゴシック"/>
        <family val="3"/>
        <charset val="128"/>
        <scheme val="minor"/>
      </rPr>
      <t>超市</t>
    </r>
  </si>
  <si>
    <r>
      <t xml:space="preserve"> 烈性干酒;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白干酒(中国白酒); 白酒;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露酒; 高粱酒</t>
    </r>
  </si>
  <si>
    <r>
      <rPr>
        <sz val="11"/>
        <rFont val="ＭＳ Ｐゴシック"/>
        <family val="3"/>
        <charset val="134"/>
        <scheme val="minor"/>
      </rPr>
      <t>华</t>
    </r>
    <r>
      <rPr>
        <sz val="11"/>
        <rFont val="ＭＳ Ｐゴシック"/>
        <family val="3"/>
        <charset val="128"/>
        <scheme val="minor"/>
      </rPr>
      <t>清竹</t>
    </r>
  </si>
  <si>
    <r>
      <rPr>
        <sz val="11"/>
        <rFont val="ＭＳ Ｐゴシック"/>
        <family val="3"/>
        <charset val="134"/>
        <scheme val="minor"/>
      </rPr>
      <t>绿</t>
    </r>
    <r>
      <rPr>
        <sz val="11"/>
        <rFont val="ＭＳ Ｐゴシック"/>
        <family val="3"/>
        <charset val="128"/>
        <scheme val="minor"/>
      </rPr>
      <t>氿人</t>
    </r>
  </si>
  <si>
    <r>
      <t>北京玄生万物珠宝</t>
    </r>
    <r>
      <rPr>
        <sz val="11"/>
        <rFont val="ＭＳ Ｐゴシック"/>
        <family val="3"/>
        <charset val="134"/>
        <scheme val="minor"/>
      </rPr>
      <t>艺术</t>
    </r>
    <r>
      <rPr>
        <sz val="11"/>
        <rFont val="ＭＳ Ｐゴシック"/>
        <family val="3"/>
        <charset val="128"/>
        <scheme val="minor"/>
      </rPr>
      <t>品有限公司</t>
    </r>
  </si>
  <si>
    <r>
      <t xml:space="preserve"> 利口酒; 开胃酒; 果酒(含酒精); 清酒;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白酒; 葡萄酒;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</si>
  <si>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驰龙</t>
    </r>
    <r>
      <rPr>
        <sz val="11"/>
        <rFont val="ＭＳ Ｐゴシック"/>
        <family val="3"/>
        <charset val="128"/>
        <scheme val="minor"/>
      </rPr>
      <t>山</t>
    </r>
  </si>
  <si>
    <r>
      <t>中</t>
    </r>
    <r>
      <rPr>
        <sz val="11"/>
        <rFont val="ＭＳ Ｐゴシック"/>
        <family val="3"/>
        <charset val="134"/>
        <scheme val="minor"/>
      </rPr>
      <t>维爱</t>
    </r>
  </si>
  <si>
    <r>
      <t>北京唯</t>
    </r>
    <r>
      <rPr>
        <sz val="11"/>
        <rFont val="ＭＳ Ｐゴシック"/>
        <family val="3"/>
        <charset val="134"/>
        <scheme val="minor"/>
      </rPr>
      <t>爱</t>
    </r>
    <r>
      <rPr>
        <sz val="11"/>
        <rFont val="ＭＳ Ｐゴシック"/>
        <family val="3"/>
        <charset val="128"/>
        <scheme val="minor"/>
      </rPr>
      <t>大健康</t>
    </r>
    <r>
      <rPr>
        <sz val="11"/>
        <rFont val="ＭＳ Ｐゴシック"/>
        <family val="3"/>
        <charset val="134"/>
        <scheme val="minor"/>
      </rPr>
      <t>产业</t>
    </r>
    <r>
      <rPr>
        <sz val="11"/>
        <rFont val="ＭＳ Ｐゴシック"/>
        <family val="3"/>
        <charset val="128"/>
        <scheme val="minor"/>
      </rPr>
      <t>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</si>
  <si>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老酒(中国蒸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烈酒);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</si>
  <si>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森</t>
    </r>
    <r>
      <rPr>
        <sz val="11"/>
        <rFont val="ＭＳ Ｐゴシック"/>
        <family val="3"/>
        <charset val="134"/>
        <scheme val="minor"/>
      </rPr>
      <t>尘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</si>
  <si>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州造物者酒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</si>
  <si>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利口酒; 含酒精的气泡水;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</si>
  <si>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>玉</t>
    </r>
    <r>
      <rPr>
        <sz val="11"/>
        <rFont val="ＭＳ Ｐゴシック"/>
        <family val="3"/>
        <charset val="134"/>
        <scheme val="minor"/>
      </rPr>
      <t>坛贻</t>
    </r>
    <r>
      <rPr>
        <sz val="11"/>
        <rFont val="ＭＳ Ｐゴシック"/>
        <family val="3"/>
        <charset val="128"/>
        <scheme val="minor"/>
      </rPr>
      <t>坊</t>
    </r>
  </si>
  <si>
    <r>
      <t>林</t>
    </r>
    <r>
      <rPr>
        <sz val="11"/>
        <rFont val="ＭＳ Ｐゴシック"/>
        <family val="3"/>
        <charset val="134"/>
        <scheme val="minor"/>
      </rPr>
      <t>谋钱</t>
    </r>
  </si>
  <si>
    <r>
      <t xml:space="preserve"> 含酒精水果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蜂蜜酒;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</si>
  <si>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开胃酒; 果酒(含酒精); 汽酒;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尾酒; 黄酒</t>
    </r>
  </si>
  <si>
    <r>
      <rPr>
        <sz val="11"/>
        <rFont val="ＭＳ Ｐゴシック"/>
        <family val="3"/>
        <charset val="134"/>
        <scheme val="minor"/>
      </rPr>
      <t>纳远</t>
    </r>
  </si>
  <si>
    <r>
      <rPr>
        <sz val="11"/>
        <rFont val="ＭＳ Ｐゴシック"/>
        <family val="3"/>
        <charset val="134"/>
        <scheme val="minor"/>
      </rPr>
      <t>欢</t>
    </r>
    <r>
      <rPr>
        <sz val="11"/>
        <rFont val="ＭＳ Ｐゴシック"/>
        <family val="3"/>
        <charset val="128"/>
        <scheme val="minor"/>
      </rPr>
      <t>喜多多</t>
    </r>
  </si>
  <si>
    <r>
      <t>喜多多集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</si>
  <si>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开胃酒;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 xml:space="preserve">料; 食用酒精;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</si>
  <si>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秦皇</t>
    </r>
    <r>
      <rPr>
        <sz val="11"/>
        <rFont val="ＭＳ Ｐゴシック"/>
        <family val="3"/>
        <charset val="134"/>
        <scheme val="minor"/>
      </rPr>
      <t>岛</t>
    </r>
    <r>
      <rPr>
        <sz val="11"/>
        <rFont val="ＭＳ Ｐゴシック"/>
        <family val="3"/>
        <charset val="128"/>
        <scheme val="minor"/>
      </rPr>
      <t>秦旅智慧旅游有限公司</t>
    </r>
  </si>
  <si>
    <r>
      <t xml:space="preserve"> 以葡萄酒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>主的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威士忌; 果酒(含酒精); </t>
    </r>
    <r>
      <rPr>
        <sz val="11"/>
        <rFont val="ＭＳ Ｐゴシック"/>
        <family val="3"/>
        <charset val="134"/>
        <scheme val="minor"/>
      </rPr>
      <t>樱</t>
    </r>
    <r>
      <rPr>
        <sz val="11"/>
        <rFont val="ＭＳ Ｐゴシック"/>
        <family val="3"/>
        <charset val="128"/>
        <scheme val="minor"/>
      </rPr>
      <t>桃酒;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</t>
    </r>
    <r>
      <rPr>
        <sz val="11"/>
        <rFont val="ＭＳ Ｐゴシック"/>
        <family val="3"/>
        <charset val="128"/>
        <scheme val="minor"/>
      </rPr>
      <t>先混合的酒精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料(以啤酒</t>
    </r>
    <r>
      <rPr>
        <sz val="11"/>
        <rFont val="ＭＳ Ｐゴシック"/>
        <family val="3"/>
        <charset val="134"/>
        <scheme val="minor"/>
      </rPr>
      <t>为</t>
    </r>
    <r>
      <rPr>
        <sz val="11"/>
        <rFont val="ＭＳ Ｐゴシック"/>
        <family val="3"/>
        <charset val="128"/>
        <scheme val="minor"/>
      </rPr>
      <t xml:space="preserve">主的除外);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</si>
  <si>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宋窖元</t>
    </r>
    <r>
      <rPr>
        <sz val="11"/>
        <rFont val="ＭＳ Ｐゴシック"/>
        <family val="3"/>
        <charset val="134"/>
        <scheme val="minor"/>
      </rPr>
      <t>宫</t>
    </r>
  </si>
  <si>
    <r>
      <t>言客</t>
    </r>
    <r>
      <rPr>
        <sz val="11"/>
        <rFont val="ＭＳ Ｐゴシック"/>
        <family val="3"/>
        <charset val="134"/>
        <scheme val="minor"/>
      </rPr>
      <t>诚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</si>
  <si>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</t>
    </r>
    <r>
      <rPr>
        <sz val="11"/>
        <rFont val="ＭＳ Ｐゴシック"/>
        <family val="3"/>
        <charset val="134"/>
        <scheme val="minor"/>
      </rPr>
      <t>龙</t>
    </r>
    <r>
      <rPr>
        <sz val="11"/>
        <rFont val="ＭＳ Ｐゴシック"/>
        <family val="3"/>
        <charset val="128"/>
        <scheme val="minor"/>
      </rPr>
      <t>湾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坊酒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</si>
  <si>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>福普</t>
    </r>
    <r>
      <rPr>
        <sz val="11"/>
        <rFont val="ＭＳ Ｐゴシック"/>
        <family val="3"/>
        <charset val="134"/>
        <scheme val="minor"/>
      </rPr>
      <t>缘</t>
    </r>
  </si>
  <si>
    <r>
      <t>上海</t>
    </r>
    <r>
      <rPr>
        <sz val="11"/>
        <rFont val="ＭＳ Ｐゴシック"/>
        <family val="3"/>
        <charset val="134"/>
        <scheme val="minor"/>
      </rPr>
      <t>乐业药</t>
    </r>
    <r>
      <rPr>
        <sz val="11"/>
        <rFont val="ＭＳ Ｐゴシック"/>
        <family val="3"/>
        <charset val="128"/>
        <scheme val="minor"/>
      </rPr>
      <t>材集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</si>
  <si>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伏特加酒; 利口酒; 开胃酒; 朗姆酒; 果酒; 清酒; 白酒; 苦味酒; 薄荷酒;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</si>
  <si>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书</t>
    </r>
    <r>
      <rPr>
        <sz val="11"/>
        <rFont val="ＭＳ Ｐゴシック"/>
        <family val="3"/>
        <charset val="128"/>
        <scheme val="minor"/>
      </rPr>
      <t>花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</si>
  <si>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州省仁</t>
    </r>
    <r>
      <rPr>
        <sz val="11"/>
        <rFont val="ＭＳ Ｐゴシック"/>
        <family val="3"/>
        <charset val="134"/>
        <scheme val="minor"/>
      </rPr>
      <t>怀</t>
    </r>
    <r>
      <rPr>
        <sz val="11"/>
        <rFont val="ＭＳ Ｐゴシック"/>
        <family val="3"/>
        <charset val="128"/>
        <scheme val="minor"/>
      </rPr>
      <t>市茅台</t>
    </r>
    <r>
      <rPr>
        <sz val="11"/>
        <rFont val="ＭＳ Ｐゴシック"/>
        <family val="3"/>
        <charset val="134"/>
        <scheme val="minor"/>
      </rPr>
      <t>镇</t>
    </r>
    <r>
      <rPr>
        <sz val="11"/>
        <rFont val="ＭＳ Ｐゴシック"/>
        <family val="3"/>
        <charset val="128"/>
        <scheme val="minor"/>
      </rPr>
      <t>国宝酒厂有限</t>
    </r>
    <r>
      <rPr>
        <sz val="11"/>
        <rFont val="ＭＳ Ｐゴシック"/>
        <family val="3"/>
        <charset val="134"/>
        <scheme val="minor"/>
      </rPr>
      <t>责</t>
    </r>
    <r>
      <rPr>
        <sz val="11"/>
        <rFont val="ＭＳ Ｐゴシック"/>
        <family val="3"/>
        <charset val="128"/>
        <scheme val="minor"/>
      </rPr>
      <t>任公司</t>
    </r>
  </si>
  <si>
    <r>
      <t>北京尚依燚文化</t>
    </r>
    <r>
      <rPr>
        <sz val="11"/>
        <rFont val="ＭＳ Ｐゴシック"/>
        <family val="3"/>
        <charset val="134"/>
        <scheme val="minor"/>
      </rPr>
      <t>传</t>
    </r>
    <r>
      <rPr>
        <sz val="11"/>
        <rFont val="ＭＳ Ｐゴシック"/>
        <family val="3"/>
        <charset val="128"/>
        <scheme val="minor"/>
      </rPr>
      <t>媒有限公司</t>
    </r>
  </si>
  <si>
    <r>
      <t xml:space="preserve"> 含酒精的气泡水; 果酒(含酒精); 白酒; 米酒; 葡萄酒;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</si>
  <si>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早</t>
    </r>
    <r>
      <rPr>
        <sz val="11"/>
        <rFont val="ＭＳ Ｐゴシック"/>
        <family val="3"/>
        <charset val="134"/>
        <scheme val="minor"/>
      </rPr>
      <t>业</t>
    </r>
  </si>
  <si>
    <r>
      <rPr>
        <sz val="11"/>
        <rFont val="ＭＳ Ｐゴシック"/>
        <family val="3"/>
        <charset val="134"/>
        <scheme val="minor"/>
      </rPr>
      <t>胜</t>
    </r>
    <r>
      <rPr>
        <sz val="11"/>
        <rFont val="ＭＳ Ｐゴシック"/>
        <family val="3"/>
        <charset val="128"/>
        <scheme val="minor"/>
      </rPr>
      <t>材</t>
    </r>
    <r>
      <rPr>
        <sz val="11"/>
        <rFont val="ＭＳ Ｐゴシック"/>
        <family val="3"/>
        <charset val="134"/>
        <scheme val="minor"/>
      </rPr>
      <t>韬</t>
    </r>
  </si>
  <si>
    <r>
      <t xml:space="preserve"> 佐餐酒;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威士忌; 开胃酒; 果酒; 甜酒; 白酒; 苹果酒; 葡萄酒; 蜂蜜酒</t>
    </r>
  </si>
  <si>
    <r>
      <t>山西天祥集</t>
    </r>
    <r>
      <rPr>
        <sz val="11"/>
        <rFont val="ＭＳ Ｐゴシック"/>
        <family val="3"/>
        <charset val="134"/>
        <scheme val="minor"/>
      </rPr>
      <t>团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</si>
  <si>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威士忌; 果酒(含酒精); 汽酒;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酸酒(低等葡萄酒); 食用酒精; 黄酒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</si>
  <si>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料; 果酒(含酒精); 梨酒;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苹果酒; 葡萄酒; 青稞酒; 黄酒</t>
    </r>
  </si>
  <si>
    <r>
      <rPr>
        <sz val="11"/>
        <rFont val="ＭＳ Ｐゴシック"/>
        <family val="3"/>
        <charset val="134"/>
        <scheme val="minor"/>
      </rPr>
      <t>赣赢</t>
    </r>
  </si>
  <si>
    <r>
      <t>武</t>
    </r>
    <r>
      <rPr>
        <sz val="11"/>
        <rFont val="ＭＳ Ｐゴシック"/>
        <family val="3"/>
        <charset val="134"/>
        <scheme val="minor"/>
      </rPr>
      <t>汉</t>
    </r>
    <r>
      <rPr>
        <sz val="11"/>
        <rFont val="ＭＳ Ｐゴシック"/>
        <family val="3"/>
        <charset val="128"/>
        <scheme val="minor"/>
      </rPr>
      <t>九河鹿酒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</si>
  <si>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果酒; 汽酒; 清酒(日本米酒);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预调</t>
    </r>
    <r>
      <rPr>
        <sz val="11"/>
        <rFont val="ＭＳ Ｐゴシック"/>
        <family val="3"/>
        <charset val="128"/>
        <scheme val="minor"/>
      </rPr>
      <t xml:space="preserve">甜酒;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</si>
  <si>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冯镜</t>
    </r>
    <r>
      <rPr>
        <sz val="11"/>
        <rFont val="ＭＳ Ｐゴシック"/>
        <family val="3"/>
        <charset val="128"/>
        <scheme val="minor"/>
      </rPr>
      <t>潞</t>
    </r>
  </si>
  <si>
    <r>
      <t xml:space="preserve"> 伏特加酒; 利口酒; 威士忌;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米酒; 葡萄酒; 黄酒</t>
    </r>
  </si>
  <si>
    <r>
      <rPr>
        <sz val="11"/>
        <rFont val="ＭＳ Ｐゴシック"/>
        <family val="3"/>
        <charset val="134"/>
        <scheme val="minor"/>
      </rPr>
      <t>贵</t>
    </r>
    <r>
      <rPr>
        <sz val="11"/>
        <rFont val="ＭＳ Ｐゴシック"/>
        <family val="3"/>
        <charset val="128"/>
        <scheme val="minor"/>
      </rPr>
      <t>州朝彤酒</t>
    </r>
    <r>
      <rPr>
        <sz val="11"/>
        <rFont val="ＭＳ Ｐゴシック"/>
        <family val="3"/>
        <charset val="134"/>
        <scheme val="minor"/>
      </rPr>
      <t>业</t>
    </r>
    <r>
      <rPr>
        <sz val="11"/>
        <rFont val="ＭＳ Ｐゴシック"/>
        <family val="3"/>
        <charset val="128"/>
        <scheme val="minor"/>
      </rPr>
      <t>有限公司</t>
    </r>
  </si>
  <si>
    <r>
      <t xml:space="preserve"> 含水果酒精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果酒(含酒精);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料); 白酒;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料原汁;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</t>
    </r>
    <r>
      <rPr>
        <sz val="11"/>
        <rFont val="ＭＳ Ｐゴシック"/>
        <family val="3"/>
        <charset val="134"/>
        <scheme val="minor"/>
      </rPr>
      <t>浓缩</t>
    </r>
    <r>
      <rPr>
        <sz val="11"/>
        <rFont val="ＭＳ Ｐゴシック"/>
        <family val="3"/>
        <charset val="128"/>
        <scheme val="minor"/>
      </rPr>
      <t xml:space="preserve">汁; 酸酒(低等葡萄酒);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</si>
  <si>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rPr>
        <sz val="11"/>
        <rFont val="ＭＳ Ｐゴシック"/>
        <family val="3"/>
        <charset val="134"/>
        <scheme val="minor"/>
      </rPr>
      <t>顾</t>
    </r>
    <r>
      <rPr>
        <sz val="11"/>
        <rFont val="ＭＳ Ｐゴシック"/>
        <family val="3"/>
        <charset val="128"/>
        <scheme val="minor"/>
      </rPr>
      <t>志国</t>
    </r>
  </si>
  <si>
    <r>
      <t xml:space="preserve"> 利口酒; 开胃酒;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>地; 白酒; 米酒; 葡萄酒;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料(啤酒除外); </t>
    </r>
    <r>
      <rPr>
        <sz val="11"/>
        <rFont val="ＭＳ Ｐゴシック"/>
        <family val="3"/>
        <charset val="134"/>
        <scheme val="minor"/>
      </rPr>
      <t>鸡</t>
    </r>
    <r>
      <rPr>
        <sz val="11"/>
        <rFont val="ＭＳ Ｐゴシック"/>
        <family val="3"/>
        <charset val="128"/>
        <scheme val="minor"/>
      </rPr>
      <t>尾酒</t>
    </r>
  </si>
  <si>
    <r>
      <t>醉人</t>
    </r>
    <r>
      <rPr>
        <sz val="11"/>
        <rFont val="ＭＳ Ｐゴシック"/>
        <family val="3"/>
        <charset val="134"/>
        <scheme val="minor"/>
      </rPr>
      <t>涧</t>
    </r>
    <r>
      <rPr>
        <sz val="11"/>
        <rFont val="ＭＳ Ｐゴシック"/>
        <family val="3"/>
        <charset val="128"/>
        <scheme val="minor"/>
      </rPr>
      <t xml:space="preserve"> 酒</t>
    </r>
  </si>
  <si>
    <r>
      <t>王志</t>
    </r>
    <r>
      <rPr>
        <sz val="11"/>
        <rFont val="ＭＳ Ｐゴシック"/>
        <family val="3"/>
        <charset val="134"/>
        <scheme val="minor"/>
      </rPr>
      <t>刚</t>
    </r>
  </si>
  <si>
    <r>
      <t>一羊当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 xml:space="preserve"> 从山</t>
    </r>
    <r>
      <rPr>
        <sz val="11"/>
        <rFont val="ＭＳ Ｐゴシック"/>
        <family val="3"/>
        <charset val="134"/>
        <scheme val="minor"/>
      </rPr>
      <t>间</t>
    </r>
    <r>
      <rPr>
        <sz val="11"/>
        <rFont val="ＭＳ Ｐゴシック"/>
        <family val="3"/>
        <charset val="128"/>
        <scheme val="minor"/>
      </rPr>
      <t>直达舌尖</t>
    </r>
  </si>
  <si>
    <r>
      <t>山西一羊当</t>
    </r>
    <r>
      <rPr>
        <sz val="11"/>
        <rFont val="ＭＳ Ｐゴシック"/>
        <family val="3"/>
        <charset val="134"/>
        <scheme val="minor"/>
      </rPr>
      <t>鲜</t>
    </r>
    <r>
      <rPr>
        <sz val="11"/>
        <rFont val="ＭＳ Ｐゴシック"/>
        <family val="3"/>
        <charset val="128"/>
        <scheme val="minor"/>
      </rPr>
      <t>食品公司商行(个人独</t>
    </r>
    <r>
      <rPr>
        <sz val="11"/>
        <rFont val="ＭＳ Ｐゴシック"/>
        <family val="3"/>
        <charset val="134"/>
        <scheme val="minor"/>
      </rPr>
      <t>资</t>
    </r>
    <r>
      <rPr>
        <sz val="11"/>
        <rFont val="ＭＳ Ｐゴシック"/>
        <family val="3"/>
        <charset val="128"/>
        <scheme val="minor"/>
      </rPr>
      <t>)</t>
    </r>
  </si>
  <si>
    <r>
      <t xml:space="preserve"> 果酒; 烈酒;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甜酒; 白酒; 米酒; 葡萄酒; 露酒; 高粱酒; 黄酒</t>
    </r>
  </si>
  <si>
    <r>
      <rPr>
        <sz val="11"/>
        <rFont val="ＭＳ Ｐゴシック"/>
        <family val="3"/>
        <charset val="134"/>
        <scheme val="minor"/>
      </rPr>
      <t>郑</t>
    </r>
    <r>
      <rPr>
        <sz val="11"/>
        <rFont val="ＭＳ Ｐゴシック"/>
        <family val="3"/>
        <charset val="128"/>
        <scheme val="minor"/>
      </rPr>
      <t>永康</t>
    </r>
  </si>
  <si>
    <r>
      <t xml:space="preserve"> 含酒精的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料(啤酒除外); 梨酒; 烈酒(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 xml:space="preserve">料);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酒; 白酒; 葡萄酒; 蒸煮提取物(利口酒和烈酒); 蒸</t>
    </r>
    <r>
      <rPr>
        <sz val="11"/>
        <rFont val="ＭＳ Ｐゴシック"/>
        <family val="3"/>
        <charset val="134"/>
        <scheme val="minor"/>
      </rPr>
      <t>馏饮</t>
    </r>
    <r>
      <rPr>
        <sz val="11"/>
        <rFont val="ＭＳ Ｐゴシック"/>
        <family val="3"/>
        <charset val="128"/>
        <scheme val="minor"/>
      </rPr>
      <t>料; 谷物制蒸</t>
    </r>
    <r>
      <rPr>
        <sz val="11"/>
        <rFont val="ＭＳ Ｐゴシック"/>
        <family val="3"/>
        <charset val="134"/>
        <scheme val="minor"/>
      </rPr>
      <t>馏</t>
    </r>
    <r>
      <rPr>
        <sz val="11"/>
        <rFont val="ＭＳ Ｐゴシック"/>
        <family val="3"/>
        <charset val="128"/>
        <scheme val="minor"/>
      </rPr>
      <t>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料; 酒精</t>
    </r>
    <r>
      <rPr>
        <sz val="11"/>
        <rFont val="ＭＳ Ｐゴシック"/>
        <family val="3"/>
        <charset val="134"/>
        <scheme val="minor"/>
      </rPr>
      <t>饮</t>
    </r>
    <r>
      <rPr>
        <sz val="11"/>
        <rFont val="ＭＳ Ｐゴシック"/>
        <family val="3"/>
        <charset val="128"/>
        <scheme val="minor"/>
      </rPr>
      <t>料(啤酒除外)</t>
    </r>
  </si>
  <si>
    <r>
      <rPr>
        <sz val="11"/>
        <rFont val="ＭＳ Ｐゴシック"/>
        <family val="3"/>
        <charset val="134"/>
        <scheme val="minor"/>
      </rPr>
      <t>谢</t>
    </r>
    <r>
      <rPr>
        <sz val="11"/>
        <rFont val="ＭＳ Ｐゴシック"/>
        <family val="3"/>
        <charset val="128"/>
        <scheme val="minor"/>
      </rPr>
      <t>国其</t>
    </r>
  </si>
  <si>
    <r>
      <t xml:space="preserve"> 利口酒; 威士忌; 果酒;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 xml:space="preserve">酒; </t>
    </r>
    <r>
      <rPr>
        <sz val="11"/>
        <rFont val="ＭＳ Ｐゴシック"/>
        <family val="3"/>
        <charset val="134"/>
        <scheme val="minor"/>
      </rPr>
      <t>烧</t>
    </r>
    <r>
      <rPr>
        <sz val="11"/>
        <rFont val="ＭＳ Ｐゴシック"/>
        <family val="3"/>
        <charset val="128"/>
        <scheme val="minor"/>
      </rPr>
      <t>酒(烈酒); 白</t>
    </r>
    <r>
      <rPr>
        <sz val="11"/>
        <rFont val="ＭＳ Ｐゴシック"/>
        <family val="3"/>
        <charset val="134"/>
        <scheme val="minor"/>
      </rPr>
      <t>兰</t>
    </r>
    <r>
      <rPr>
        <sz val="11"/>
        <rFont val="ＭＳ Ｐゴシック"/>
        <family val="3"/>
        <charset val="128"/>
        <scheme val="minor"/>
      </rPr>
      <t xml:space="preserve">地; 白酒; 米酒; </t>
    </r>
    <r>
      <rPr>
        <sz val="11"/>
        <rFont val="ＭＳ Ｐゴシック"/>
        <family val="3"/>
        <charset val="134"/>
        <scheme val="minor"/>
      </rPr>
      <t>红</t>
    </r>
    <r>
      <rPr>
        <sz val="11"/>
        <rFont val="ＭＳ Ｐゴシック"/>
        <family val="3"/>
        <charset val="128"/>
        <scheme val="minor"/>
      </rPr>
      <t>葡萄酒; 高粱酒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</si>
</sst>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2" borderId="1" xfId="0" applyFont="1" applyFill="1" applyBorder="1" applyAlignment="1">
      <alignment horizontal="center" vertical="top" wrapText="1"/>
    </xf>
    <xf numFmtId="49" fontId="0" fillId="2" borderId="1" xfId="0" applyNumberFormat="1" applyFont="1" applyFill="1" applyBorder="1" applyAlignment="1">
      <alignment horizontal="center" vertical="top" wrapText="1"/>
    </xf>
    <xf numFmtId="177" fontId="0" fillId="2" borderId="1" xfId="0" applyNumberFormat="1" applyFont="1" applyFill="1" applyBorder="1" applyAlignment="1">
      <alignment horizontal="center" vertical="top" wrapText="1"/>
    </xf>
    <xf numFmtId="176" fontId="0" fillId="2" borderId="1" xfId="0" applyNumberFormat="1" applyFont="1" applyFill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>
      <alignment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3" fillId="3" borderId="1" xfId="1" applyFill="1" applyBorder="1" applyAlignment="1">
      <alignment horizontal="center" vertical="center"/>
    </xf>
  </cellXfs>
  <cellStyles count="3">
    <cellStyle name="ハイパーリンク" xfId="1" builtinId="8"/>
    <cellStyle name="常规 2" xfId="2" xr:uid="{1734CF41-FCDF-4589-8122-E3A74D6B7B5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066"/>
  <sheetViews>
    <sheetView tabSelected="1" workbookViewId="0"/>
  </sheetViews>
  <sheetFormatPr defaultRowHeight="13.5" x14ac:dyDescent="0.15"/>
  <cols>
    <col min="1" max="1" width="9" style="1"/>
    <col min="2" max="2" width="9" style="2"/>
    <col min="3" max="3" width="9" style="3"/>
    <col min="4" max="4" width="11.625" style="4" customWidth="1"/>
    <col min="5" max="5" width="10.625" style="3" bestFit="1" customWidth="1"/>
    <col min="6" max="6" width="28.375" style="2" customWidth="1"/>
    <col min="7" max="7" width="31.375" style="2" customWidth="1"/>
    <col min="8" max="8" width="30.625" style="2" customWidth="1"/>
    <col min="9" max="9" width="11.625" style="4" bestFit="1" customWidth="1"/>
  </cols>
  <sheetData>
    <row r="1" spans="1:9" x14ac:dyDescent="0.15">
      <c r="A1" s="5" t="s">
        <v>8</v>
      </c>
      <c r="B1" s="6" t="s">
        <v>0</v>
      </c>
      <c r="C1" s="7" t="s">
        <v>1</v>
      </c>
      <c r="D1" s="8" t="s">
        <v>2</v>
      </c>
      <c r="E1" s="7" t="s">
        <v>3</v>
      </c>
      <c r="F1" s="6" t="s">
        <v>4</v>
      </c>
      <c r="G1" s="6" t="s">
        <v>5</v>
      </c>
      <c r="H1" s="6" t="s">
        <v>6</v>
      </c>
      <c r="I1" s="8" t="s">
        <v>7</v>
      </c>
    </row>
    <row r="2" spans="1:9" x14ac:dyDescent="0.15">
      <c r="A2" s="9">
        <v>1</v>
      </c>
      <c r="B2" s="10" t="s">
        <v>9</v>
      </c>
      <c r="C2" s="11" t="s">
        <v>10</v>
      </c>
      <c r="D2" s="12">
        <v>45623</v>
      </c>
      <c r="E2" s="13" t="str">
        <f>+HYPERLINK("http://trademark.i-assist.jp/data/china/image_1913th/79048420.pdf","79048420")</f>
        <v>79048420</v>
      </c>
      <c r="F2" s="11" t="s">
        <v>11</v>
      </c>
      <c r="G2" s="11" t="s">
        <v>1293</v>
      </c>
      <c r="H2" s="11" t="s">
        <v>1294</v>
      </c>
      <c r="I2" s="12">
        <v>45448</v>
      </c>
    </row>
    <row r="3" spans="1:9" x14ac:dyDescent="0.15">
      <c r="A3" s="9">
        <v>2</v>
      </c>
      <c r="B3" s="10" t="s">
        <v>9</v>
      </c>
      <c r="C3" s="11" t="s">
        <v>10</v>
      </c>
      <c r="D3" s="12">
        <v>45623</v>
      </c>
      <c r="E3" s="13" t="str">
        <f>+HYPERLINK("http://trademark.i-assist.jp/data/china/image_1913th/62775033.pdf","62775033")</f>
        <v>62775033</v>
      </c>
      <c r="F3" s="11" t="s">
        <v>12</v>
      </c>
      <c r="G3" s="11" t="s">
        <v>1295</v>
      </c>
      <c r="H3" s="11" t="s">
        <v>1296</v>
      </c>
      <c r="I3" s="12">
        <v>44614</v>
      </c>
    </row>
    <row r="4" spans="1:9" x14ac:dyDescent="0.15">
      <c r="A4" s="9">
        <v>3</v>
      </c>
      <c r="B4" s="10" t="s">
        <v>9</v>
      </c>
      <c r="C4" s="11" t="s">
        <v>10</v>
      </c>
      <c r="D4" s="12">
        <v>45623</v>
      </c>
      <c r="E4" s="13" t="str">
        <f>+HYPERLINK("http://trademark.i-assist.jp/data/china/image_1913th/66506045.pdf","66506045")</f>
        <v>66506045</v>
      </c>
      <c r="F4" s="11" t="s">
        <v>13</v>
      </c>
      <c r="G4" s="11" t="s">
        <v>1297</v>
      </c>
      <c r="H4" s="11" t="s">
        <v>1298</v>
      </c>
      <c r="I4" s="12">
        <v>44783</v>
      </c>
    </row>
    <row r="5" spans="1:9" x14ac:dyDescent="0.15">
      <c r="A5" s="9">
        <v>4</v>
      </c>
      <c r="B5" s="10" t="s">
        <v>9</v>
      </c>
      <c r="C5" s="11" t="s">
        <v>10</v>
      </c>
      <c r="D5" s="12">
        <v>45623</v>
      </c>
      <c r="E5" s="13" t="str">
        <f>+HYPERLINK("http://trademark.i-assist.jp/data/china/image_1913th/70315341.pdf","70315341")</f>
        <v>70315341</v>
      </c>
      <c r="F5" s="11" t="s">
        <v>1299</v>
      </c>
      <c r="G5" s="11" t="s">
        <v>1297</v>
      </c>
      <c r="H5" s="11" t="s">
        <v>1298</v>
      </c>
      <c r="I5" s="12">
        <v>45005</v>
      </c>
    </row>
    <row r="6" spans="1:9" x14ac:dyDescent="0.15">
      <c r="A6" s="9">
        <v>5</v>
      </c>
      <c r="B6" s="10" t="s">
        <v>9</v>
      </c>
      <c r="C6" s="11" t="s">
        <v>10</v>
      </c>
      <c r="D6" s="12">
        <v>45623</v>
      </c>
      <c r="E6" s="13" t="str">
        <f>+HYPERLINK("http://trademark.i-assist.jp/data/china/image_1913th/75148207.pdf","75148207")</f>
        <v>75148207</v>
      </c>
      <c r="F6" s="11" t="s">
        <v>1300</v>
      </c>
      <c r="G6" s="11" t="s">
        <v>1301</v>
      </c>
      <c r="H6" s="11" t="s">
        <v>1302</v>
      </c>
      <c r="I6" s="12">
        <v>45243</v>
      </c>
    </row>
    <row r="7" spans="1:9" x14ac:dyDescent="0.15">
      <c r="A7" s="9">
        <v>6</v>
      </c>
      <c r="B7" s="10" t="s">
        <v>9</v>
      </c>
      <c r="C7" s="11" t="s">
        <v>10</v>
      </c>
      <c r="D7" s="12">
        <v>45623</v>
      </c>
      <c r="E7" s="13" t="str">
        <f>+HYPERLINK("http://trademark.i-assist.jp/data/china/image_1913th/78821277.pdf","78821277")</f>
        <v>78821277</v>
      </c>
      <c r="F7" s="11" t="s">
        <v>1303</v>
      </c>
      <c r="G7" s="11" t="s">
        <v>14</v>
      </c>
      <c r="H7" s="11" t="s">
        <v>1304</v>
      </c>
      <c r="I7" s="12">
        <v>45436</v>
      </c>
    </row>
    <row r="8" spans="1:9" x14ac:dyDescent="0.15">
      <c r="A8" s="9">
        <v>7</v>
      </c>
      <c r="B8" s="10" t="s">
        <v>9</v>
      </c>
      <c r="C8" s="11" t="s">
        <v>10</v>
      </c>
      <c r="D8" s="12">
        <v>45623</v>
      </c>
      <c r="E8" s="13" t="str">
        <f>+HYPERLINK("http://trademark.i-assist.jp/data/china/image_1913th/78846246.pdf","78846246")</f>
        <v>78846246</v>
      </c>
      <c r="F8" s="11" t="s">
        <v>16</v>
      </c>
      <c r="G8" s="11" t="s">
        <v>15</v>
      </c>
      <c r="H8" s="11" t="s">
        <v>1305</v>
      </c>
      <c r="I8" s="12">
        <v>45439</v>
      </c>
    </row>
    <row r="9" spans="1:9" x14ac:dyDescent="0.15">
      <c r="A9" s="9">
        <v>8</v>
      </c>
      <c r="B9" s="10" t="s">
        <v>9</v>
      </c>
      <c r="C9" s="11" t="s">
        <v>10</v>
      </c>
      <c r="D9" s="12">
        <v>45623</v>
      </c>
      <c r="E9" s="13" t="str">
        <f>+HYPERLINK("http://trademark.i-assist.jp/data/china/image_1913th/80463966.pdf","80463966")</f>
        <v>80463966</v>
      </c>
      <c r="F9" s="11" t="s">
        <v>18</v>
      </c>
      <c r="G9" s="11" t="s">
        <v>17</v>
      </c>
      <c r="H9" s="11" t="s">
        <v>1306</v>
      </c>
      <c r="I9" s="12">
        <v>45524</v>
      </c>
    </row>
    <row r="10" spans="1:9" x14ac:dyDescent="0.15">
      <c r="A10" s="9">
        <v>9</v>
      </c>
      <c r="B10" s="10" t="s">
        <v>9</v>
      </c>
      <c r="C10" s="11" t="s">
        <v>10</v>
      </c>
      <c r="D10" s="12">
        <v>45623</v>
      </c>
      <c r="E10" s="13" t="str">
        <f>+HYPERLINK("http://trademark.i-assist.jp/data/china/image_1913th/80502111.pdf","80502111")</f>
        <v>80502111</v>
      </c>
      <c r="F10" s="11" t="s">
        <v>1307</v>
      </c>
      <c r="G10" s="11" t="s">
        <v>1308</v>
      </c>
      <c r="H10" s="11" t="s">
        <v>1309</v>
      </c>
      <c r="I10" s="12">
        <v>45526</v>
      </c>
    </row>
    <row r="11" spans="1:9" x14ac:dyDescent="0.15">
      <c r="A11" s="9">
        <v>10</v>
      </c>
      <c r="B11" s="10" t="s">
        <v>9</v>
      </c>
      <c r="C11" s="11" t="s">
        <v>10</v>
      </c>
      <c r="D11" s="12">
        <v>45623</v>
      </c>
      <c r="E11" s="13" t="str">
        <f>+HYPERLINK("http://trademark.i-assist.jp/data/china/image_1913th/80526196.pdf","80526196")</f>
        <v>80526196</v>
      </c>
      <c r="F11" s="11" t="s">
        <v>1310</v>
      </c>
      <c r="G11" s="11" t="s">
        <v>1311</v>
      </c>
      <c r="H11" s="11" t="s">
        <v>1312</v>
      </c>
      <c r="I11" s="12">
        <v>45527</v>
      </c>
    </row>
    <row r="12" spans="1:9" x14ac:dyDescent="0.15">
      <c r="A12" s="9">
        <v>11</v>
      </c>
      <c r="B12" s="10" t="s">
        <v>9</v>
      </c>
      <c r="C12" s="11" t="s">
        <v>10</v>
      </c>
      <c r="D12" s="12">
        <v>45623</v>
      </c>
      <c r="E12" s="13" t="str">
        <f>+HYPERLINK("http://trademark.i-assist.jp/data/china/image_1913th/80530769.pdf","80530769")</f>
        <v>80530769</v>
      </c>
      <c r="F12" s="11" t="s">
        <v>19</v>
      </c>
      <c r="G12" s="11" t="s">
        <v>1313</v>
      </c>
      <c r="H12" s="11" t="s">
        <v>1314</v>
      </c>
      <c r="I12" s="12">
        <v>45527</v>
      </c>
    </row>
    <row r="13" spans="1:9" x14ac:dyDescent="0.15">
      <c r="A13" s="9">
        <v>12</v>
      </c>
      <c r="B13" s="10" t="s">
        <v>9</v>
      </c>
      <c r="C13" s="11" t="s">
        <v>10</v>
      </c>
      <c r="D13" s="12">
        <v>45623</v>
      </c>
      <c r="E13" s="13" t="str">
        <f>+HYPERLINK("http://trademark.i-assist.jp/data/china/image_1913th/80533059.pdf","80533059")</f>
        <v>80533059</v>
      </c>
      <c r="F13" s="11" t="s">
        <v>1315</v>
      </c>
      <c r="G13" s="11" t="s">
        <v>1316</v>
      </c>
      <c r="H13" s="11" t="s">
        <v>1317</v>
      </c>
      <c r="I13" s="12">
        <v>45527</v>
      </c>
    </row>
    <row r="14" spans="1:9" x14ac:dyDescent="0.15">
      <c r="A14" s="9">
        <v>13</v>
      </c>
      <c r="B14" s="10" t="s">
        <v>9</v>
      </c>
      <c r="C14" s="11" t="s">
        <v>10</v>
      </c>
      <c r="D14" s="12">
        <v>45623</v>
      </c>
      <c r="E14" s="13" t="str">
        <f>+HYPERLINK("http://trademark.i-assist.jp/data/china/image_1913th/80550240.pdf","80550240")</f>
        <v>80550240</v>
      </c>
      <c r="F14" s="11" t="s">
        <v>20</v>
      </c>
      <c r="G14" s="11" t="s">
        <v>1318</v>
      </c>
      <c r="H14" s="11" t="s">
        <v>1319</v>
      </c>
      <c r="I14" s="12">
        <v>45528</v>
      </c>
    </row>
    <row r="15" spans="1:9" x14ac:dyDescent="0.15">
      <c r="A15" s="9">
        <v>14</v>
      </c>
      <c r="B15" s="10" t="s">
        <v>9</v>
      </c>
      <c r="C15" s="11" t="s">
        <v>10</v>
      </c>
      <c r="D15" s="12">
        <v>45623</v>
      </c>
      <c r="E15" s="13" t="str">
        <f>+HYPERLINK("http://trademark.i-assist.jp/data/china/image_1913th/80550664.pdf","80550664")</f>
        <v>80550664</v>
      </c>
      <c r="F15" s="11" t="s">
        <v>1320</v>
      </c>
      <c r="G15" s="11" t="s">
        <v>1321</v>
      </c>
      <c r="H15" s="11" t="s">
        <v>1322</v>
      </c>
      <c r="I15" s="12">
        <v>45528</v>
      </c>
    </row>
    <row r="16" spans="1:9" x14ac:dyDescent="0.15">
      <c r="A16" s="9">
        <v>15</v>
      </c>
      <c r="B16" s="10" t="s">
        <v>9</v>
      </c>
      <c r="C16" s="11" t="s">
        <v>10</v>
      </c>
      <c r="D16" s="12">
        <v>45623</v>
      </c>
      <c r="E16" s="13" t="str">
        <f>+HYPERLINK("http://trademark.i-assist.jp/data/china/image_1913th/79570607.pdf","79570607")</f>
        <v>79570607</v>
      </c>
      <c r="F16" s="11" t="s">
        <v>1323</v>
      </c>
      <c r="G16" s="11" t="s">
        <v>1324</v>
      </c>
      <c r="H16" s="11" t="s">
        <v>1325</v>
      </c>
      <c r="I16" s="12">
        <v>45475</v>
      </c>
    </row>
    <row r="17" spans="1:9" x14ac:dyDescent="0.15">
      <c r="A17" s="9">
        <v>16</v>
      </c>
      <c r="B17" s="10" t="s">
        <v>9</v>
      </c>
      <c r="C17" s="11" t="s">
        <v>10</v>
      </c>
      <c r="D17" s="12">
        <v>45623</v>
      </c>
      <c r="E17" s="13" t="str">
        <f>+HYPERLINK("http://trademark.i-assist.jp/data/china/image_1913th/80360697.pdf","80360697")</f>
        <v>80360697</v>
      </c>
      <c r="F17" s="11" t="s">
        <v>21</v>
      </c>
      <c r="G17" s="11" t="s">
        <v>1326</v>
      </c>
      <c r="H17" s="11" t="s">
        <v>1327</v>
      </c>
      <c r="I17" s="12">
        <v>45518</v>
      </c>
    </row>
    <row r="18" spans="1:9" x14ac:dyDescent="0.15">
      <c r="A18" s="9">
        <v>17</v>
      </c>
      <c r="B18" s="10" t="s">
        <v>9</v>
      </c>
      <c r="C18" s="11" t="s">
        <v>10</v>
      </c>
      <c r="D18" s="12">
        <v>45623</v>
      </c>
      <c r="E18" s="13" t="str">
        <f>+HYPERLINK("http://trademark.i-assist.jp/data/china/image_1913th/80373057.pdf","80373057")</f>
        <v>80373057</v>
      </c>
      <c r="F18" s="11" t="s">
        <v>22</v>
      </c>
      <c r="G18" s="11" t="s">
        <v>1328</v>
      </c>
      <c r="H18" s="11" t="s">
        <v>1329</v>
      </c>
      <c r="I18" s="12">
        <v>45519</v>
      </c>
    </row>
    <row r="19" spans="1:9" x14ac:dyDescent="0.15">
      <c r="A19" s="9">
        <v>18</v>
      </c>
      <c r="B19" s="10" t="s">
        <v>9</v>
      </c>
      <c r="C19" s="11" t="s">
        <v>10</v>
      </c>
      <c r="D19" s="12">
        <v>45623</v>
      </c>
      <c r="E19" s="13" t="str">
        <f>+HYPERLINK("http://trademark.i-assist.jp/data/china/image_1913th/80385088.pdf","80385088")</f>
        <v>80385088</v>
      </c>
      <c r="F19" s="11" t="s">
        <v>1330</v>
      </c>
      <c r="G19" s="11" t="s">
        <v>1331</v>
      </c>
      <c r="H19" s="11" t="s">
        <v>1332</v>
      </c>
      <c r="I19" s="12">
        <v>45519</v>
      </c>
    </row>
    <row r="20" spans="1:9" x14ac:dyDescent="0.15">
      <c r="A20" s="9">
        <v>19</v>
      </c>
      <c r="B20" s="10" t="s">
        <v>9</v>
      </c>
      <c r="C20" s="11" t="s">
        <v>10</v>
      </c>
      <c r="D20" s="12">
        <v>45623</v>
      </c>
      <c r="E20" s="13" t="str">
        <f>+HYPERLINK("http://trademark.i-assist.jp/data/china/image_1913th/80400699.pdf","80400699")</f>
        <v>80400699</v>
      </c>
      <c r="F20" s="11" t="s">
        <v>23</v>
      </c>
      <c r="G20" s="11" t="s">
        <v>1333</v>
      </c>
      <c r="H20" s="11" t="s">
        <v>1334</v>
      </c>
      <c r="I20" s="12">
        <v>45520</v>
      </c>
    </row>
    <row r="21" spans="1:9" x14ac:dyDescent="0.15">
      <c r="A21" s="9">
        <v>20</v>
      </c>
      <c r="B21" s="10" t="s">
        <v>9</v>
      </c>
      <c r="C21" s="11" t="s">
        <v>10</v>
      </c>
      <c r="D21" s="12">
        <v>45623</v>
      </c>
      <c r="E21" s="13" t="str">
        <f>+HYPERLINK("http://trademark.i-assist.jp/data/china/image_1913th/80444763.pdf","80444763")</f>
        <v>80444763</v>
      </c>
      <c r="F21" s="11" t="s">
        <v>1335</v>
      </c>
      <c r="G21" s="11" t="s">
        <v>24</v>
      </c>
      <c r="H21" s="11" t="s">
        <v>1336</v>
      </c>
      <c r="I21" s="12">
        <v>45523</v>
      </c>
    </row>
    <row r="22" spans="1:9" x14ac:dyDescent="0.15">
      <c r="A22" s="9">
        <v>21</v>
      </c>
      <c r="B22" s="10" t="s">
        <v>9</v>
      </c>
      <c r="C22" s="11" t="s">
        <v>10</v>
      </c>
      <c r="D22" s="12">
        <v>45623</v>
      </c>
      <c r="E22" s="13" t="str">
        <f>+HYPERLINK("http://trademark.i-assist.jp/data/china/image_1913th/80460602.pdf","80460602")</f>
        <v>80460602</v>
      </c>
      <c r="F22" s="11" t="s">
        <v>1337</v>
      </c>
      <c r="G22" s="11" t="s">
        <v>1338</v>
      </c>
      <c r="H22" s="11" t="s">
        <v>1339</v>
      </c>
      <c r="I22" s="12">
        <v>45524</v>
      </c>
    </row>
    <row r="23" spans="1:9" x14ac:dyDescent="0.15">
      <c r="A23" s="9">
        <v>22</v>
      </c>
      <c r="B23" s="10" t="s">
        <v>9</v>
      </c>
      <c r="C23" s="11" t="s">
        <v>10</v>
      </c>
      <c r="D23" s="12">
        <v>45623</v>
      </c>
      <c r="E23" s="13" t="str">
        <f>+HYPERLINK("http://trademark.i-assist.jp/data/china/image_1913th/80460582.pdf","80460582")</f>
        <v>80460582</v>
      </c>
      <c r="F23" s="11" t="s">
        <v>1340</v>
      </c>
      <c r="G23" s="11" t="s">
        <v>1338</v>
      </c>
      <c r="H23" s="11" t="s">
        <v>1339</v>
      </c>
      <c r="I23" s="12">
        <v>45524</v>
      </c>
    </row>
    <row r="24" spans="1:9" x14ac:dyDescent="0.15">
      <c r="A24" s="9">
        <v>23</v>
      </c>
      <c r="B24" s="10" t="s">
        <v>9</v>
      </c>
      <c r="C24" s="11" t="s">
        <v>10</v>
      </c>
      <c r="D24" s="12">
        <v>45623</v>
      </c>
      <c r="E24" s="13" t="str">
        <f>+HYPERLINK("http://trademark.i-assist.jp/data/china/image_1913th/79998358.pdf","79998358")</f>
        <v>79998358</v>
      </c>
      <c r="F24" s="11" t="s">
        <v>1341</v>
      </c>
      <c r="G24" s="11" t="s">
        <v>1342</v>
      </c>
      <c r="H24" s="11" t="s">
        <v>1343</v>
      </c>
      <c r="I24" s="12">
        <v>45498</v>
      </c>
    </row>
    <row r="25" spans="1:9" x14ac:dyDescent="0.15">
      <c r="A25" s="9">
        <v>24</v>
      </c>
      <c r="B25" s="10" t="s">
        <v>9</v>
      </c>
      <c r="C25" s="11" t="s">
        <v>10</v>
      </c>
      <c r="D25" s="12">
        <v>45623</v>
      </c>
      <c r="E25" s="13" t="str">
        <f>+HYPERLINK("http://trademark.i-assist.jp/data/china/image_1913th/80091989.pdf","80091989")</f>
        <v>80091989</v>
      </c>
      <c r="F25" s="11" t="s">
        <v>25</v>
      </c>
      <c r="G25" s="11" t="s">
        <v>1344</v>
      </c>
      <c r="H25" s="11" t="s">
        <v>1345</v>
      </c>
      <c r="I25" s="12">
        <v>45503</v>
      </c>
    </row>
    <row r="26" spans="1:9" x14ac:dyDescent="0.15">
      <c r="A26" s="9">
        <v>25</v>
      </c>
      <c r="B26" s="10" t="s">
        <v>9</v>
      </c>
      <c r="C26" s="11" t="s">
        <v>10</v>
      </c>
      <c r="D26" s="12">
        <v>45623</v>
      </c>
      <c r="E26" s="13" t="str">
        <f>+HYPERLINK("http://trademark.i-assist.jp/data/china/image_1913th/80104734.pdf","80104734")</f>
        <v>80104734</v>
      </c>
      <c r="F26" s="11" t="s">
        <v>26</v>
      </c>
      <c r="G26" s="11" t="s">
        <v>1346</v>
      </c>
      <c r="H26" s="11" t="s">
        <v>1347</v>
      </c>
      <c r="I26" s="12">
        <v>45504</v>
      </c>
    </row>
    <row r="27" spans="1:9" x14ac:dyDescent="0.15">
      <c r="A27" s="9">
        <v>26</v>
      </c>
      <c r="B27" s="10" t="s">
        <v>9</v>
      </c>
      <c r="C27" s="11" t="s">
        <v>10</v>
      </c>
      <c r="D27" s="12">
        <v>45623</v>
      </c>
      <c r="E27" s="13" t="str">
        <f>+HYPERLINK("http://trademark.i-assist.jp/data/china/image_1913th/80108935.pdf","80108935")</f>
        <v>80108935</v>
      </c>
      <c r="F27" s="11" t="s">
        <v>1348</v>
      </c>
      <c r="G27" s="11" t="s">
        <v>1349</v>
      </c>
      <c r="H27" s="11" t="s">
        <v>1350</v>
      </c>
      <c r="I27" s="12">
        <v>45504</v>
      </c>
    </row>
    <row r="28" spans="1:9" x14ac:dyDescent="0.15">
      <c r="A28" s="9">
        <v>27</v>
      </c>
      <c r="B28" s="10" t="s">
        <v>9</v>
      </c>
      <c r="C28" s="11" t="s">
        <v>10</v>
      </c>
      <c r="D28" s="12">
        <v>45623</v>
      </c>
      <c r="E28" s="13" t="str">
        <f>+HYPERLINK("http://trademark.i-assist.jp/data/china/image_1913th/80156449.pdf","80156449")</f>
        <v>80156449</v>
      </c>
      <c r="F28" s="11" t="s">
        <v>1351</v>
      </c>
      <c r="G28" s="11" t="s">
        <v>1352</v>
      </c>
      <c r="H28" s="11" t="s">
        <v>1302</v>
      </c>
      <c r="I28" s="12">
        <v>45506</v>
      </c>
    </row>
    <row r="29" spans="1:9" x14ac:dyDescent="0.15">
      <c r="A29" s="9">
        <v>28</v>
      </c>
      <c r="B29" s="10" t="s">
        <v>9</v>
      </c>
      <c r="C29" s="11" t="s">
        <v>10</v>
      </c>
      <c r="D29" s="12">
        <v>45623</v>
      </c>
      <c r="E29" s="13" t="str">
        <f>+HYPERLINK("http://trademark.i-assist.jp/data/china/image_1913th/80195720.pdf","80195720")</f>
        <v>80195720</v>
      </c>
      <c r="F29" s="11" t="s">
        <v>1335</v>
      </c>
      <c r="G29" s="11" t="s">
        <v>1353</v>
      </c>
      <c r="H29" s="11" t="s">
        <v>1273</v>
      </c>
      <c r="I29" s="12">
        <v>45509</v>
      </c>
    </row>
    <row r="30" spans="1:9" x14ac:dyDescent="0.15">
      <c r="A30" s="9">
        <v>29</v>
      </c>
      <c r="B30" s="10" t="s">
        <v>9</v>
      </c>
      <c r="C30" s="11" t="s">
        <v>10</v>
      </c>
      <c r="D30" s="12">
        <v>45623</v>
      </c>
      <c r="E30" s="13" t="str">
        <f>+HYPERLINK("http://trademark.i-assist.jp/data/china/image_1913th/80204996.pdf","80204996")</f>
        <v>80204996</v>
      </c>
      <c r="F30" s="11" t="s">
        <v>1354</v>
      </c>
      <c r="G30" s="11" t="s">
        <v>1355</v>
      </c>
      <c r="H30" s="11" t="s">
        <v>1356</v>
      </c>
      <c r="I30" s="12">
        <v>45510</v>
      </c>
    </row>
    <row r="31" spans="1:9" x14ac:dyDescent="0.15">
      <c r="A31" s="9">
        <v>30</v>
      </c>
      <c r="B31" s="10" t="s">
        <v>9</v>
      </c>
      <c r="C31" s="11" t="s">
        <v>10</v>
      </c>
      <c r="D31" s="12">
        <v>45623</v>
      </c>
      <c r="E31" s="13" t="str">
        <f>+HYPERLINK("http://trademark.i-assist.jp/data/china/image_1913th/80303347.pdf","80303347")</f>
        <v>80303347</v>
      </c>
      <c r="F31" s="11" t="s">
        <v>1357</v>
      </c>
      <c r="G31" s="11" t="s">
        <v>1358</v>
      </c>
      <c r="H31" s="11" t="s">
        <v>1359</v>
      </c>
      <c r="I31" s="12">
        <v>45516</v>
      </c>
    </row>
    <row r="32" spans="1:9" x14ac:dyDescent="0.15">
      <c r="A32" s="9">
        <v>31</v>
      </c>
      <c r="B32" s="10" t="s">
        <v>9</v>
      </c>
      <c r="C32" s="11" t="s">
        <v>10</v>
      </c>
      <c r="D32" s="12">
        <v>45623</v>
      </c>
      <c r="E32" s="13" t="str">
        <f>+HYPERLINK("http://trademark.i-assist.jp/data/china/image_1913th/80314140.pdf","80314140")</f>
        <v>80314140</v>
      </c>
      <c r="F32" s="11" t="s">
        <v>28</v>
      </c>
      <c r="G32" s="11" t="s">
        <v>27</v>
      </c>
      <c r="H32" s="11" t="s">
        <v>1360</v>
      </c>
      <c r="I32" s="12">
        <v>45516</v>
      </c>
    </row>
    <row r="33" spans="1:9" x14ac:dyDescent="0.15">
      <c r="A33" s="9">
        <v>32</v>
      </c>
      <c r="B33" s="10" t="s">
        <v>9</v>
      </c>
      <c r="C33" s="11" t="s">
        <v>10</v>
      </c>
      <c r="D33" s="12">
        <v>45623</v>
      </c>
      <c r="E33" s="13" t="str">
        <f>+HYPERLINK("http://trademark.i-assist.jp/data/china/image_1913th/80318574.pdf","80318574")</f>
        <v>80318574</v>
      </c>
      <c r="F33" s="11" t="s">
        <v>1361</v>
      </c>
      <c r="G33" s="11" t="s">
        <v>1362</v>
      </c>
      <c r="H33" s="11" t="s">
        <v>1363</v>
      </c>
      <c r="I33" s="12">
        <v>45516</v>
      </c>
    </row>
    <row r="34" spans="1:9" x14ac:dyDescent="0.15">
      <c r="A34" s="9">
        <v>33</v>
      </c>
      <c r="B34" s="10" t="s">
        <v>9</v>
      </c>
      <c r="C34" s="11" t="s">
        <v>10</v>
      </c>
      <c r="D34" s="12">
        <v>45623</v>
      </c>
      <c r="E34" s="13" t="str">
        <f>+HYPERLINK("http://trademark.i-assist.jp/data/china/image_1913th/80321332.pdf","80321332")</f>
        <v>80321332</v>
      </c>
      <c r="F34" s="11" t="s">
        <v>29</v>
      </c>
      <c r="G34" s="11" t="s">
        <v>1364</v>
      </c>
      <c r="H34" s="11" t="s">
        <v>1365</v>
      </c>
      <c r="I34" s="12">
        <v>45516</v>
      </c>
    </row>
    <row r="35" spans="1:9" x14ac:dyDescent="0.15">
      <c r="A35" s="9">
        <v>34</v>
      </c>
      <c r="B35" s="10" t="s">
        <v>9</v>
      </c>
      <c r="C35" s="11" t="s">
        <v>10</v>
      </c>
      <c r="D35" s="12">
        <v>45623</v>
      </c>
      <c r="E35" s="13" t="str">
        <f>+HYPERLINK("http://trademark.i-assist.jp/data/china/image_1913th/80606723.pdf","80606723")</f>
        <v>80606723</v>
      </c>
      <c r="F35" s="11" t="s">
        <v>1366</v>
      </c>
      <c r="G35" s="11" t="s">
        <v>1367</v>
      </c>
      <c r="H35" s="11" t="s">
        <v>1368</v>
      </c>
      <c r="I35" s="12">
        <v>45532</v>
      </c>
    </row>
    <row r="36" spans="1:9" x14ac:dyDescent="0.15">
      <c r="A36" s="9">
        <v>35</v>
      </c>
      <c r="B36" s="10" t="s">
        <v>9</v>
      </c>
      <c r="C36" s="11" t="s">
        <v>10</v>
      </c>
      <c r="D36" s="12">
        <v>45623</v>
      </c>
      <c r="E36" s="13" t="str">
        <f>+HYPERLINK("http://trademark.i-assist.jp/data/china/image_1913th/80609246.pdf","80609246")</f>
        <v>80609246</v>
      </c>
      <c r="F36" s="11" t="s">
        <v>1369</v>
      </c>
      <c r="G36" s="11" t="s">
        <v>1370</v>
      </c>
      <c r="H36" s="11" t="s">
        <v>1371</v>
      </c>
      <c r="I36" s="12">
        <v>45532</v>
      </c>
    </row>
    <row r="37" spans="1:9" x14ac:dyDescent="0.15">
      <c r="A37" s="9">
        <v>36</v>
      </c>
      <c r="B37" s="10" t="s">
        <v>9</v>
      </c>
      <c r="C37" s="11" t="s">
        <v>10</v>
      </c>
      <c r="D37" s="12">
        <v>45623</v>
      </c>
      <c r="E37" s="13" t="str">
        <f>+HYPERLINK("http://trademark.i-assist.jp/data/china/image_1913th/80618157.pdf","80618157")</f>
        <v>80618157</v>
      </c>
      <c r="F37" s="11" t="s">
        <v>30</v>
      </c>
      <c r="G37" s="11" t="s">
        <v>1372</v>
      </c>
      <c r="H37" s="11" t="s">
        <v>1373</v>
      </c>
      <c r="I37" s="12">
        <v>45532</v>
      </c>
    </row>
    <row r="38" spans="1:9" x14ac:dyDescent="0.15">
      <c r="A38" s="9">
        <v>37</v>
      </c>
      <c r="B38" s="10" t="s">
        <v>9</v>
      </c>
      <c r="C38" s="11" t="s">
        <v>10</v>
      </c>
      <c r="D38" s="12">
        <v>45623</v>
      </c>
      <c r="E38" s="13" t="str">
        <f>+HYPERLINK("http://trademark.i-assist.jp/data/china/image_1913th/80619536.pdf","80619536")</f>
        <v>80619536</v>
      </c>
      <c r="F38" s="11" t="s">
        <v>1374</v>
      </c>
      <c r="G38" s="11" t="s">
        <v>1375</v>
      </c>
      <c r="H38" s="11" t="s">
        <v>1376</v>
      </c>
      <c r="I38" s="12">
        <v>45532</v>
      </c>
    </row>
    <row r="39" spans="1:9" x14ac:dyDescent="0.15">
      <c r="A39" s="9">
        <v>38</v>
      </c>
      <c r="B39" s="10" t="s">
        <v>9</v>
      </c>
      <c r="C39" s="11" t="s">
        <v>10</v>
      </c>
      <c r="D39" s="12">
        <v>45623</v>
      </c>
      <c r="E39" s="13" t="str">
        <f>+HYPERLINK("http://trademark.i-assist.jp/data/china/image_1913th/80619713.pdf","80619713")</f>
        <v>80619713</v>
      </c>
      <c r="F39" s="11" t="s">
        <v>1377</v>
      </c>
      <c r="G39" s="11" t="s">
        <v>1378</v>
      </c>
      <c r="H39" s="11" t="s">
        <v>1379</v>
      </c>
      <c r="I39" s="12">
        <v>45532</v>
      </c>
    </row>
    <row r="40" spans="1:9" x14ac:dyDescent="0.15">
      <c r="A40" s="9">
        <v>39</v>
      </c>
      <c r="B40" s="10" t="s">
        <v>9</v>
      </c>
      <c r="C40" s="11" t="s">
        <v>10</v>
      </c>
      <c r="D40" s="12">
        <v>45623</v>
      </c>
      <c r="E40" s="13" t="str">
        <f>+HYPERLINK("http://trademark.i-assist.jp/data/china/image_1913th/80626380.pdf","80626380")</f>
        <v>80626380</v>
      </c>
      <c r="F40" s="11" t="s">
        <v>1380</v>
      </c>
      <c r="G40" s="11" t="s">
        <v>1381</v>
      </c>
      <c r="H40" s="11" t="s">
        <v>1382</v>
      </c>
      <c r="I40" s="12">
        <v>45533</v>
      </c>
    </row>
    <row r="41" spans="1:9" x14ac:dyDescent="0.15">
      <c r="A41" s="9">
        <v>40</v>
      </c>
      <c r="B41" s="10" t="s">
        <v>9</v>
      </c>
      <c r="C41" s="11" t="s">
        <v>10</v>
      </c>
      <c r="D41" s="12">
        <v>45623</v>
      </c>
      <c r="E41" s="13" t="str">
        <f>+HYPERLINK("http://trademark.i-assist.jp/data/china/image_1913th/80630954.pdf","80630954")</f>
        <v>80630954</v>
      </c>
      <c r="F41" s="11" t="s">
        <v>31</v>
      </c>
      <c r="G41" s="11" t="s">
        <v>1383</v>
      </c>
      <c r="H41" s="11" t="s">
        <v>1384</v>
      </c>
      <c r="I41" s="12">
        <v>45533</v>
      </c>
    </row>
    <row r="42" spans="1:9" x14ac:dyDescent="0.15">
      <c r="A42" s="9">
        <v>41</v>
      </c>
      <c r="B42" s="10" t="s">
        <v>9</v>
      </c>
      <c r="C42" s="11" t="s">
        <v>10</v>
      </c>
      <c r="D42" s="12">
        <v>45623</v>
      </c>
      <c r="E42" s="13" t="str">
        <f>+HYPERLINK("http://trademark.i-assist.jp/data/china/image_1913th/80638256.pdf","80638256")</f>
        <v>80638256</v>
      </c>
      <c r="F42" s="11" t="s">
        <v>1385</v>
      </c>
      <c r="G42" s="11" t="s">
        <v>1386</v>
      </c>
      <c r="H42" s="11" t="s">
        <v>1387</v>
      </c>
      <c r="I42" s="12">
        <v>45533</v>
      </c>
    </row>
    <row r="43" spans="1:9" x14ac:dyDescent="0.15">
      <c r="A43" s="9">
        <v>42</v>
      </c>
      <c r="B43" s="10" t="s">
        <v>9</v>
      </c>
      <c r="C43" s="11" t="s">
        <v>10</v>
      </c>
      <c r="D43" s="12">
        <v>45623</v>
      </c>
      <c r="E43" s="13" t="str">
        <f>+HYPERLINK("http://trademark.i-assist.jp/data/china/image_1913th/80639683.pdf","80639683")</f>
        <v>80639683</v>
      </c>
      <c r="F43" s="11" t="s">
        <v>32</v>
      </c>
      <c r="G43" s="11" t="s">
        <v>1388</v>
      </c>
      <c r="H43" s="11" t="s">
        <v>1389</v>
      </c>
      <c r="I43" s="12">
        <v>45533</v>
      </c>
    </row>
    <row r="44" spans="1:9" x14ac:dyDescent="0.15">
      <c r="A44" s="9">
        <v>43</v>
      </c>
      <c r="B44" s="10" t="s">
        <v>9</v>
      </c>
      <c r="C44" s="11" t="s">
        <v>10</v>
      </c>
      <c r="D44" s="12">
        <v>45623</v>
      </c>
      <c r="E44" s="13" t="str">
        <f>+HYPERLINK("http://trademark.i-assist.jp/data/china/image_1913th/80732799.pdf","80732799")</f>
        <v>80732799</v>
      </c>
      <c r="F44" s="11" t="s">
        <v>1390</v>
      </c>
      <c r="G44" s="11" t="s">
        <v>1391</v>
      </c>
      <c r="H44" s="11" t="s">
        <v>1302</v>
      </c>
      <c r="I44" s="12">
        <v>45539</v>
      </c>
    </row>
    <row r="45" spans="1:9" x14ac:dyDescent="0.15">
      <c r="A45" s="9">
        <v>44</v>
      </c>
      <c r="B45" s="10" t="s">
        <v>9</v>
      </c>
      <c r="C45" s="11" t="s">
        <v>10</v>
      </c>
      <c r="D45" s="12">
        <v>45623</v>
      </c>
      <c r="E45" s="13" t="str">
        <f>+HYPERLINK("http://trademark.i-assist.jp/data/china/image_1913th/80736710.pdf","80736710")</f>
        <v>80736710</v>
      </c>
      <c r="F45" s="11" t="s">
        <v>33</v>
      </c>
      <c r="G45" s="11" t="s">
        <v>1392</v>
      </c>
      <c r="H45" s="11" t="s">
        <v>1393</v>
      </c>
      <c r="I45" s="12">
        <v>45539</v>
      </c>
    </row>
    <row r="46" spans="1:9" x14ac:dyDescent="0.15">
      <c r="A46" s="9">
        <v>45</v>
      </c>
      <c r="B46" s="10" t="s">
        <v>9</v>
      </c>
      <c r="C46" s="11" t="s">
        <v>10</v>
      </c>
      <c r="D46" s="12">
        <v>45623</v>
      </c>
      <c r="E46" s="13" t="str">
        <f>+HYPERLINK("http://trademark.i-assist.jp/data/china/image_1913th/80749999.pdf","80749999")</f>
        <v>80749999</v>
      </c>
      <c r="F46" s="11" t="s">
        <v>34</v>
      </c>
      <c r="G46" s="11" t="s">
        <v>1394</v>
      </c>
      <c r="H46" s="11" t="s">
        <v>1395</v>
      </c>
      <c r="I46" s="12">
        <v>45539</v>
      </c>
    </row>
    <row r="47" spans="1:9" x14ac:dyDescent="0.15">
      <c r="A47" s="9">
        <v>46</v>
      </c>
      <c r="B47" s="10" t="s">
        <v>9</v>
      </c>
      <c r="C47" s="11" t="s">
        <v>10</v>
      </c>
      <c r="D47" s="12">
        <v>45623</v>
      </c>
      <c r="E47" s="13" t="str">
        <f>+HYPERLINK("http://trademark.i-assist.jp/data/china/image_1913th/80683126.pdf","80683126")</f>
        <v>80683126</v>
      </c>
      <c r="F47" s="11" t="s">
        <v>1396</v>
      </c>
      <c r="G47" s="11" t="s">
        <v>35</v>
      </c>
      <c r="H47" s="11" t="s">
        <v>1368</v>
      </c>
      <c r="I47" s="12">
        <v>45537</v>
      </c>
    </row>
    <row r="48" spans="1:9" x14ac:dyDescent="0.15">
      <c r="A48" s="9">
        <v>47</v>
      </c>
      <c r="B48" s="10" t="s">
        <v>9</v>
      </c>
      <c r="C48" s="11" t="s">
        <v>10</v>
      </c>
      <c r="D48" s="12">
        <v>45623</v>
      </c>
      <c r="E48" s="13" t="str">
        <f>+HYPERLINK("http://trademark.i-assist.jp/data/china/image_1913th/80686961.pdf","80686961")</f>
        <v>80686961</v>
      </c>
      <c r="F48" s="11" t="s">
        <v>36</v>
      </c>
      <c r="G48" s="11" t="s">
        <v>1397</v>
      </c>
      <c r="H48" s="11" t="s">
        <v>1398</v>
      </c>
      <c r="I48" s="12">
        <v>45537</v>
      </c>
    </row>
    <row r="49" spans="1:9" x14ac:dyDescent="0.15">
      <c r="A49" s="9">
        <v>48</v>
      </c>
      <c r="B49" s="10" t="s">
        <v>9</v>
      </c>
      <c r="C49" s="11" t="s">
        <v>10</v>
      </c>
      <c r="D49" s="12">
        <v>45623</v>
      </c>
      <c r="E49" s="13" t="str">
        <f>+HYPERLINK("http://trademark.i-assist.jp/data/china/image_1913th/80687807.pdf","80687807")</f>
        <v>80687807</v>
      </c>
      <c r="F49" s="11" t="s">
        <v>1399</v>
      </c>
      <c r="G49" s="11" t="s">
        <v>1400</v>
      </c>
      <c r="H49" s="11" t="s">
        <v>1401</v>
      </c>
      <c r="I49" s="12">
        <v>45537</v>
      </c>
    </row>
    <row r="50" spans="1:9" x14ac:dyDescent="0.15">
      <c r="A50" s="9">
        <v>49</v>
      </c>
      <c r="B50" s="10" t="s">
        <v>9</v>
      </c>
      <c r="C50" s="11" t="s">
        <v>10</v>
      </c>
      <c r="D50" s="12">
        <v>45623</v>
      </c>
      <c r="E50" s="13" t="str">
        <f>+HYPERLINK("http://trademark.i-assist.jp/data/china/image_1913th/80689026.pdf","80689026")</f>
        <v>80689026</v>
      </c>
      <c r="F50" s="11" t="s">
        <v>38</v>
      </c>
      <c r="G50" s="11" t="s">
        <v>37</v>
      </c>
      <c r="H50" s="11" t="s">
        <v>1402</v>
      </c>
      <c r="I50" s="12">
        <v>45537</v>
      </c>
    </row>
    <row r="51" spans="1:9" x14ac:dyDescent="0.15">
      <c r="A51" s="9">
        <v>50</v>
      </c>
      <c r="B51" s="10" t="s">
        <v>9</v>
      </c>
      <c r="C51" s="11" t="s">
        <v>10</v>
      </c>
      <c r="D51" s="12">
        <v>45623</v>
      </c>
      <c r="E51" s="13" t="str">
        <f>+HYPERLINK("http://trademark.i-assist.jp/data/china/image_1913th/80691020.pdf","80691020")</f>
        <v>80691020</v>
      </c>
      <c r="F51" s="11" t="s">
        <v>39</v>
      </c>
      <c r="G51" s="11" t="s">
        <v>1403</v>
      </c>
      <c r="H51" s="11" t="s">
        <v>1404</v>
      </c>
      <c r="I51" s="12">
        <v>45537</v>
      </c>
    </row>
    <row r="52" spans="1:9" x14ac:dyDescent="0.15">
      <c r="A52" s="9">
        <v>51</v>
      </c>
      <c r="B52" s="10" t="s">
        <v>9</v>
      </c>
      <c r="C52" s="11" t="s">
        <v>10</v>
      </c>
      <c r="D52" s="12">
        <v>45623</v>
      </c>
      <c r="E52" s="13" t="str">
        <f>+HYPERLINK("http://trademark.i-assist.jp/data/china/image_1913th/80693796.pdf","80693796")</f>
        <v>80693796</v>
      </c>
      <c r="F52" s="11" t="s">
        <v>1405</v>
      </c>
      <c r="G52" s="11" t="s">
        <v>35</v>
      </c>
      <c r="H52" s="11" t="s">
        <v>1368</v>
      </c>
      <c r="I52" s="12">
        <v>45537</v>
      </c>
    </row>
    <row r="53" spans="1:9" x14ac:dyDescent="0.15">
      <c r="A53" s="9">
        <v>52</v>
      </c>
      <c r="B53" s="10" t="s">
        <v>9</v>
      </c>
      <c r="C53" s="11" t="s">
        <v>10</v>
      </c>
      <c r="D53" s="12">
        <v>45623</v>
      </c>
      <c r="E53" s="13" t="str">
        <f>+HYPERLINK("http://trademark.i-assist.jp/data/china/image_1913th/80695632.pdf","80695632")</f>
        <v>80695632</v>
      </c>
      <c r="F53" s="11" t="s">
        <v>1406</v>
      </c>
      <c r="G53" s="11" t="s">
        <v>1407</v>
      </c>
      <c r="H53" s="11" t="s">
        <v>1408</v>
      </c>
      <c r="I53" s="12">
        <v>45537</v>
      </c>
    </row>
    <row r="54" spans="1:9" x14ac:dyDescent="0.15">
      <c r="A54" s="9">
        <v>53</v>
      </c>
      <c r="B54" s="10" t="s">
        <v>9</v>
      </c>
      <c r="C54" s="11" t="s">
        <v>10</v>
      </c>
      <c r="D54" s="12">
        <v>45623</v>
      </c>
      <c r="E54" s="13" t="str">
        <f>+HYPERLINK("http://trademark.i-assist.jp/data/china/image_1913th/80699326.pdf","80699326")</f>
        <v>80699326</v>
      </c>
      <c r="F54" s="11" t="s">
        <v>1409</v>
      </c>
      <c r="G54" s="11" t="s">
        <v>1410</v>
      </c>
      <c r="H54" s="11" t="s">
        <v>1411</v>
      </c>
      <c r="I54" s="12">
        <v>45537</v>
      </c>
    </row>
    <row r="55" spans="1:9" x14ac:dyDescent="0.15">
      <c r="A55" s="9">
        <v>54</v>
      </c>
      <c r="B55" s="10" t="s">
        <v>9</v>
      </c>
      <c r="C55" s="11" t="s">
        <v>10</v>
      </c>
      <c r="D55" s="12">
        <v>45623</v>
      </c>
      <c r="E55" s="13" t="str">
        <f>+HYPERLINK("http://trademark.i-assist.jp/data/china/image_1913th/80700202.pdf","80700202")</f>
        <v>80700202</v>
      </c>
      <c r="F55" s="11" t="s">
        <v>1412</v>
      </c>
      <c r="G55" s="11" t="s">
        <v>1413</v>
      </c>
      <c r="H55" s="11" t="s">
        <v>1414</v>
      </c>
      <c r="I55" s="12">
        <v>45537</v>
      </c>
    </row>
    <row r="56" spans="1:9" x14ac:dyDescent="0.15">
      <c r="A56" s="9">
        <v>55</v>
      </c>
      <c r="B56" s="10" t="s">
        <v>9</v>
      </c>
      <c r="C56" s="11" t="s">
        <v>10</v>
      </c>
      <c r="D56" s="12">
        <v>45623</v>
      </c>
      <c r="E56" s="13" t="str">
        <f>+HYPERLINK("http://trademark.i-assist.jp/data/china/image_1913th/80706829.pdf","80706829")</f>
        <v>80706829</v>
      </c>
      <c r="F56" s="11" t="s">
        <v>40</v>
      </c>
      <c r="G56" s="11" t="s">
        <v>1415</v>
      </c>
      <c r="H56" s="11" t="s">
        <v>1416</v>
      </c>
      <c r="I56" s="12">
        <v>45538</v>
      </c>
    </row>
    <row r="57" spans="1:9" x14ac:dyDescent="0.15">
      <c r="A57" s="9">
        <v>56</v>
      </c>
      <c r="B57" s="10" t="s">
        <v>9</v>
      </c>
      <c r="C57" s="11" t="s">
        <v>10</v>
      </c>
      <c r="D57" s="12">
        <v>45623</v>
      </c>
      <c r="E57" s="13" t="str">
        <f>+HYPERLINK("http://trademark.i-assist.jp/data/china/image_1913th/80708259.pdf","80708259")</f>
        <v>80708259</v>
      </c>
      <c r="F57" s="11" t="s">
        <v>1417</v>
      </c>
      <c r="G57" s="11" t="s">
        <v>1418</v>
      </c>
      <c r="H57" s="11" t="s">
        <v>1419</v>
      </c>
      <c r="I57" s="12">
        <v>45538</v>
      </c>
    </row>
    <row r="58" spans="1:9" x14ac:dyDescent="0.15">
      <c r="A58" s="9">
        <v>57</v>
      </c>
      <c r="B58" s="10" t="s">
        <v>9</v>
      </c>
      <c r="C58" s="11" t="s">
        <v>10</v>
      </c>
      <c r="D58" s="12">
        <v>45623</v>
      </c>
      <c r="E58" s="13" t="str">
        <f>+HYPERLINK("http://trademark.i-assist.jp/data/china/image_1913th/80709086.pdf","80709086")</f>
        <v>80709086</v>
      </c>
      <c r="F58" s="11" t="s">
        <v>41</v>
      </c>
      <c r="G58" s="11" t="s">
        <v>1420</v>
      </c>
      <c r="H58" s="11" t="s">
        <v>1421</v>
      </c>
      <c r="I58" s="12">
        <v>45538</v>
      </c>
    </row>
    <row r="59" spans="1:9" x14ac:dyDescent="0.15">
      <c r="A59" s="9">
        <v>58</v>
      </c>
      <c r="B59" s="10" t="s">
        <v>9</v>
      </c>
      <c r="C59" s="11" t="s">
        <v>10</v>
      </c>
      <c r="D59" s="12">
        <v>45623</v>
      </c>
      <c r="E59" s="13" t="str">
        <f>+HYPERLINK("http://trademark.i-assist.jp/data/china/image_1913th/80712171.pdf","80712171")</f>
        <v>80712171</v>
      </c>
      <c r="F59" s="11" t="s">
        <v>1422</v>
      </c>
      <c r="G59" s="11" t="s">
        <v>42</v>
      </c>
      <c r="H59" s="11" t="s">
        <v>1423</v>
      </c>
      <c r="I59" s="12">
        <v>45538</v>
      </c>
    </row>
    <row r="60" spans="1:9" x14ac:dyDescent="0.15">
      <c r="A60" s="9">
        <v>59</v>
      </c>
      <c r="B60" s="10" t="s">
        <v>9</v>
      </c>
      <c r="C60" s="11" t="s">
        <v>10</v>
      </c>
      <c r="D60" s="12">
        <v>45623</v>
      </c>
      <c r="E60" s="13" t="str">
        <f>+HYPERLINK("http://trademark.i-assist.jp/data/china/image_1913th/80712706.pdf","80712706")</f>
        <v>80712706</v>
      </c>
      <c r="F60" s="11" t="s">
        <v>1424</v>
      </c>
      <c r="G60" s="11" t="s">
        <v>1425</v>
      </c>
      <c r="H60" s="11" t="s">
        <v>1426</v>
      </c>
      <c r="I60" s="12">
        <v>45538</v>
      </c>
    </row>
    <row r="61" spans="1:9" x14ac:dyDescent="0.15">
      <c r="A61" s="9">
        <v>60</v>
      </c>
      <c r="B61" s="10" t="s">
        <v>9</v>
      </c>
      <c r="C61" s="11" t="s">
        <v>10</v>
      </c>
      <c r="D61" s="12">
        <v>45623</v>
      </c>
      <c r="E61" s="13" t="str">
        <f>+HYPERLINK("http://trademark.i-assist.jp/data/china/image_1913th/80715834.pdf","80715834")</f>
        <v>80715834</v>
      </c>
      <c r="F61" s="11" t="s">
        <v>44</v>
      </c>
      <c r="G61" s="11" t="s">
        <v>43</v>
      </c>
      <c r="H61" s="11" t="s">
        <v>1427</v>
      </c>
      <c r="I61" s="12">
        <v>45538</v>
      </c>
    </row>
    <row r="62" spans="1:9" x14ac:dyDescent="0.15">
      <c r="A62" s="9">
        <v>61</v>
      </c>
      <c r="B62" s="10" t="s">
        <v>9</v>
      </c>
      <c r="C62" s="11" t="s">
        <v>10</v>
      </c>
      <c r="D62" s="12">
        <v>45623</v>
      </c>
      <c r="E62" s="13" t="str">
        <f>+HYPERLINK("http://trademark.i-assist.jp/data/china/image_1913th/80717293.pdf","80717293")</f>
        <v>80717293</v>
      </c>
      <c r="F62" s="11" t="s">
        <v>45</v>
      </c>
      <c r="G62" s="11" t="s">
        <v>1428</v>
      </c>
      <c r="H62" s="11" t="s">
        <v>1429</v>
      </c>
      <c r="I62" s="12">
        <v>45538</v>
      </c>
    </row>
    <row r="63" spans="1:9" x14ac:dyDescent="0.15">
      <c r="A63" s="9">
        <v>62</v>
      </c>
      <c r="B63" s="10" t="s">
        <v>9</v>
      </c>
      <c r="C63" s="11" t="s">
        <v>10</v>
      </c>
      <c r="D63" s="12">
        <v>45623</v>
      </c>
      <c r="E63" s="13" t="str">
        <f>+HYPERLINK("http://trademark.i-assist.jp/data/china/image_1913th/80727142.pdf","80727142")</f>
        <v>80727142</v>
      </c>
      <c r="F63" s="11" t="s">
        <v>47</v>
      </c>
      <c r="G63" s="11" t="s">
        <v>46</v>
      </c>
      <c r="H63" s="11" t="s">
        <v>1430</v>
      </c>
      <c r="I63" s="12">
        <v>45538</v>
      </c>
    </row>
    <row r="64" spans="1:9" x14ac:dyDescent="0.15">
      <c r="A64" s="9">
        <v>63</v>
      </c>
      <c r="B64" s="10" t="s">
        <v>9</v>
      </c>
      <c r="C64" s="11" t="s">
        <v>10</v>
      </c>
      <c r="D64" s="12">
        <v>45623</v>
      </c>
      <c r="E64" s="13" t="str">
        <f>+HYPERLINK("http://trademark.i-assist.jp/data/china/image_1913th/80727671.pdf","80727671")</f>
        <v>80727671</v>
      </c>
      <c r="F64" s="11" t="s">
        <v>1335</v>
      </c>
      <c r="G64" s="11" t="s">
        <v>1431</v>
      </c>
      <c r="H64" s="11" t="s">
        <v>1432</v>
      </c>
      <c r="I64" s="12">
        <v>45538</v>
      </c>
    </row>
    <row r="65" spans="1:9" x14ac:dyDescent="0.15">
      <c r="A65" s="9">
        <v>64</v>
      </c>
      <c r="B65" s="10" t="s">
        <v>9</v>
      </c>
      <c r="C65" s="11" t="s">
        <v>10</v>
      </c>
      <c r="D65" s="12">
        <v>45623</v>
      </c>
      <c r="E65" s="13" t="str">
        <f>+HYPERLINK("http://trademark.i-assist.jp/data/china/image_1913th/80728408.pdf","80728408")</f>
        <v>80728408</v>
      </c>
      <c r="F65" s="11" t="s">
        <v>1335</v>
      </c>
      <c r="G65" s="11" t="s">
        <v>1433</v>
      </c>
      <c r="H65" s="11" t="s">
        <v>1434</v>
      </c>
      <c r="I65" s="12">
        <v>45538</v>
      </c>
    </row>
    <row r="66" spans="1:9" x14ac:dyDescent="0.15">
      <c r="A66" s="9">
        <v>65</v>
      </c>
      <c r="B66" s="10" t="s">
        <v>9</v>
      </c>
      <c r="C66" s="11" t="s">
        <v>10</v>
      </c>
      <c r="D66" s="12">
        <v>45623</v>
      </c>
      <c r="E66" s="13" t="str">
        <f>+HYPERLINK("http://trademark.i-assist.jp/data/china/image_1913th/80657212.pdf","80657212")</f>
        <v>80657212</v>
      </c>
      <c r="F66" s="11" t="s">
        <v>1335</v>
      </c>
      <c r="G66" s="11" t="s">
        <v>1435</v>
      </c>
      <c r="H66" s="11" t="s">
        <v>1436</v>
      </c>
      <c r="I66" s="12">
        <v>45534</v>
      </c>
    </row>
    <row r="67" spans="1:9" x14ac:dyDescent="0.15">
      <c r="A67" s="9">
        <v>66</v>
      </c>
      <c r="B67" s="10" t="s">
        <v>9</v>
      </c>
      <c r="C67" s="11" t="s">
        <v>10</v>
      </c>
      <c r="D67" s="12">
        <v>45623</v>
      </c>
      <c r="E67" s="13" t="str">
        <f>+HYPERLINK("http://trademark.i-assist.jp/data/china/image_1913th/80664334.pdf","80664334")</f>
        <v>80664334</v>
      </c>
      <c r="F67" s="11" t="s">
        <v>1437</v>
      </c>
      <c r="G67" s="11" t="s">
        <v>1438</v>
      </c>
      <c r="H67" s="11" t="s">
        <v>1439</v>
      </c>
      <c r="I67" s="12">
        <v>45534</v>
      </c>
    </row>
    <row r="68" spans="1:9" x14ac:dyDescent="0.15">
      <c r="A68" s="9">
        <v>67</v>
      </c>
      <c r="B68" s="10" t="s">
        <v>9</v>
      </c>
      <c r="C68" s="11" t="s">
        <v>10</v>
      </c>
      <c r="D68" s="12">
        <v>45623</v>
      </c>
      <c r="E68" s="13" t="str">
        <f>+HYPERLINK("http://trademark.i-assist.jp/data/china/image_1913th/80666688.pdf","80666688")</f>
        <v>80666688</v>
      </c>
      <c r="F68" s="11" t="s">
        <v>1335</v>
      </c>
      <c r="G68" s="11" t="s">
        <v>1440</v>
      </c>
      <c r="H68" s="11" t="s">
        <v>1441</v>
      </c>
      <c r="I68" s="12">
        <v>45534</v>
      </c>
    </row>
    <row r="69" spans="1:9" x14ac:dyDescent="0.15">
      <c r="A69" s="9">
        <v>68</v>
      </c>
      <c r="B69" s="10" t="s">
        <v>9</v>
      </c>
      <c r="C69" s="11" t="s">
        <v>10</v>
      </c>
      <c r="D69" s="12">
        <v>45623</v>
      </c>
      <c r="E69" s="13" t="str">
        <f>+HYPERLINK("http://trademark.i-assist.jp/data/china/image_1913th/80672258.pdf","80672258")</f>
        <v>80672258</v>
      </c>
      <c r="F69" s="11" t="s">
        <v>48</v>
      </c>
      <c r="G69" s="11" t="s">
        <v>1442</v>
      </c>
      <c r="H69" s="11" t="s">
        <v>1302</v>
      </c>
      <c r="I69" s="12">
        <v>45534</v>
      </c>
    </row>
    <row r="70" spans="1:9" x14ac:dyDescent="0.15">
      <c r="A70" s="9">
        <v>69</v>
      </c>
      <c r="B70" s="10" t="s">
        <v>9</v>
      </c>
      <c r="C70" s="11" t="s">
        <v>10</v>
      </c>
      <c r="D70" s="12">
        <v>45623</v>
      </c>
      <c r="E70" s="13" t="str">
        <f>+HYPERLINK("http://trademark.i-assist.jp/data/china/image_1913th/80672346.pdf","80672346")</f>
        <v>80672346</v>
      </c>
      <c r="F70" s="11" t="s">
        <v>50</v>
      </c>
      <c r="G70" s="11" t="s">
        <v>49</v>
      </c>
      <c r="H70" s="11" t="s">
        <v>1443</v>
      </c>
      <c r="I70" s="12">
        <v>45534</v>
      </c>
    </row>
    <row r="71" spans="1:9" x14ac:dyDescent="0.15">
      <c r="A71" s="9">
        <v>70</v>
      </c>
      <c r="B71" s="10" t="s">
        <v>9</v>
      </c>
      <c r="C71" s="11" t="s">
        <v>10</v>
      </c>
      <c r="D71" s="12">
        <v>45623</v>
      </c>
      <c r="E71" s="13" t="str">
        <f>+HYPERLINK("http://trademark.i-assist.jp/data/china/image_1913th/80676633.pdf","80676633")</f>
        <v>80676633</v>
      </c>
      <c r="F71" s="11" t="s">
        <v>1444</v>
      </c>
      <c r="G71" s="11" t="s">
        <v>51</v>
      </c>
      <c r="H71" s="11" t="s">
        <v>1445</v>
      </c>
      <c r="I71" s="12">
        <v>45535</v>
      </c>
    </row>
    <row r="72" spans="1:9" x14ac:dyDescent="0.15">
      <c r="A72" s="9">
        <v>71</v>
      </c>
      <c r="B72" s="10" t="s">
        <v>9</v>
      </c>
      <c r="C72" s="11" t="s">
        <v>10</v>
      </c>
      <c r="D72" s="12">
        <v>45623</v>
      </c>
      <c r="E72" s="13" t="str">
        <f>+HYPERLINK("http://trademark.i-assist.jp/data/china/image_1913th/80809559.pdf","80809559")</f>
        <v>80809559</v>
      </c>
      <c r="F72" s="11" t="s">
        <v>52</v>
      </c>
      <c r="G72" s="11" t="s">
        <v>1446</v>
      </c>
      <c r="H72" s="11" t="s">
        <v>1447</v>
      </c>
      <c r="I72" s="12">
        <v>45544</v>
      </c>
    </row>
    <row r="73" spans="1:9" x14ac:dyDescent="0.15">
      <c r="A73" s="9">
        <v>72</v>
      </c>
      <c r="B73" s="10" t="s">
        <v>9</v>
      </c>
      <c r="C73" s="11" t="s">
        <v>10</v>
      </c>
      <c r="D73" s="12">
        <v>45623</v>
      </c>
      <c r="E73" s="13" t="str">
        <f>+HYPERLINK("http://trademark.i-assist.jp/data/china/image_1913th/80812647.pdf","80812647")</f>
        <v>80812647</v>
      </c>
      <c r="F73" s="11" t="s">
        <v>1448</v>
      </c>
      <c r="G73" s="11" t="s">
        <v>53</v>
      </c>
      <c r="H73" s="11" t="s">
        <v>1449</v>
      </c>
      <c r="I73" s="12">
        <v>45544</v>
      </c>
    </row>
    <row r="74" spans="1:9" x14ac:dyDescent="0.15">
      <c r="A74" s="9">
        <v>73</v>
      </c>
      <c r="B74" s="10" t="s">
        <v>9</v>
      </c>
      <c r="C74" s="11" t="s">
        <v>10</v>
      </c>
      <c r="D74" s="12">
        <v>45623</v>
      </c>
      <c r="E74" s="13" t="str">
        <f>+HYPERLINK("http://trademark.i-assist.jp/data/china/image_1913th/80821679.pdf","80821679")</f>
        <v>80821679</v>
      </c>
      <c r="F74" s="11" t="s">
        <v>54</v>
      </c>
      <c r="G74" s="11" t="s">
        <v>1450</v>
      </c>
      <c r="H74" s="11" t="s">
        <v>1451</v>
      </c>
      <c r="I74" s="12">
        <v>45544</v>
      </c>
    </row>
    <row r="75" spans="1:9" x14ac:dyDescent="0.15">
      <c r="A75" s="9">
        <v>74</v>
      </c>
      <c r="B75" s="10" t="s">
        <v>9</v>
      </c>
      <c r="C75" s="11" t="s">
        <v>10</v>
      </c>
      <c r="D75" s="12">
        <v>45623</v>
      </c>
      <c r="E75" s="13" t="str">
        <f>+HYPERLINK("http://trademark.i-assist.jp/data/china/image_1913th/80826526.pdf","80826526")</f>
        <v>80826526</v>
      </c>
      <c r="F75" s="11" t="s">
        <v>1452</v>
      </c>
      <c r="G75" s="11" t="s">
        <v>1453</v>
      </c>
      <c r="H75" s="11" t="s">
        <v>1454</v>
      </c>
      <c r="I75" s="12">
        <v>45544</v>
      </c>
    </row>
    <row r="76" spans="1:9" x14ac:dyDescent="0.15">
      <c r="A76" s="9">
        <v>75</v>
      </c>
      <c r="B76" s="10" t="s">
        <v>9</v>
      </c>
      <c r="C76" s="11" t="s">
        <v>10</v>
      </c>
      <c r="D76" s="12">
        <v>45623</v>
      </c>
      <c r="E76" s="13" t="str">
        <f>+HYPERLINK("http://trademark.i-assist.jp/data/china/image_1913th/80792953.pdf","80792953")</f>
        <v>80792953</v>
      </c>
      <c r="F76" s="11" t="s">
        <v>1455</v>
      </c>
      <c r="G76" s="11" t="s">
        <v>55</v>
      </c>
      <c r="H76" s="11" t="s">
        <v>1456</v>
      </c>
      <c r="I76" s="12">
        <v>45541</v>
      </c>
    </row>
    <row r="77" spans="1:9" x14ac:dyDescent="0.15">
      <c r="A77" s="9">
        <v>76</v>
      </c>
      <c r="B77" s="10" t="s">
        <v>9</v>
      </c>
      <c r="C77" s="11" t="s">
        <v>10</v>
      </c>
      <c r="D77" s="12">
        <v>45623</v>
      </c>
      <c r="E77" s="13" t="str">
        <f>+HYPERLINK("http://trademark.i-assist.jp/data/china/image_1913th/80795891.pdf","80795891")</f>
        <v>80795891</v>
      </c>
      <c r="F77" s="11" t="s">
        <v>56</v>
      </c>
      <c r="G77" s="11" t="s">
        <v>1457</v>
      </c>
      <c r="H77" s="11" t="s">
        <v>1368</v>
      </c>
      <c r="I77" s="12">
        <v>45541</v>
      </c>
    </row>
    <row r="78" spans="1:9" x14ac:dyDescent="0.15">
      <c r="A78" s="9">
        <v>77</v>
      </c>
      <c r="B78" s="10" t="s">
        <v>9</v>
      </c>
      <c r="C78" s="11" t="s">
        <v>10</v>
      </c>
      <c r="D78" s="12">
        <v>45623</v>
      </c>
      <c r="E78" s="13" t="str">
        <f>+HYPERLINK("http://trademark.i-assist.jp/data/china/image_1913th/80797916.pdf","80797916")</f>
        <v>80797916</v>
      </c>
      <c r="F78" s="11" t="s">
        <v>1458</v>
      </c>
      <c r="G78" s="11" t="s">
        <v>1459</v>
      </c>
      <c r="H78" s="11" t="s">
        <v>1460</v>
      </c>
      <c r="I78" s="12">
        <v>45541</v>
      </c>
    </row>
    <row r="79" spans="1:9" x14ac:dyDescent="0.15">
      <c r="A79" s="9">
        <v>78</v>
      </c>
      <c r="B79" s="10" t="s">
        <v>9</v>
      </c>
      <c r="C79" s="11" t="s">
        <v>10</v>
      </c>
      <c r="D79" s="12">
        <v>45623</v>
      </c>
      <c r="E79" s="13" t="str">
        <f>+HYPERLINK("http://trademark.i-assist.jp/data/china/image_1913th/80798114.pdf","80798114")</f>
        <v>80798114</v>
      </c>
      <c r="F79" s="11" t="s">
        <v>58</v>
      </c>
      <c r="G79" s="11" t="s">
        <v>57</v>
      </c>
      <c r="H79" s="11" t="s">
        <v>1306</v>
      </c>
      <c r="I79" s="12">
        <v>45541</v>
      </c>
    </row>
    <row r="80" spans="1:9" x14ac:dyDescent="0.15">
      <c r="A80" s="9">
        <v>79</v>
      </c>
      <c r="B80" s="10" t="s">
        <v>9</v>
      </c>
      <c r="C80" s="11" t="s">
        <v>10</v>
      </c>
      <c r="D80" s="12">
        <v>45623</v>
      </c>
      <c r="E80" s="13" t="str">
        <f>+HYPERLINK("http://trademark.i-assist.jp/data/china/image_1913th/80798240.pdf","80798240")</f>
        <v>80798240</v>
      </c>
      <c r="F80" s="11" t="s">
        <v>1335</v>
      </c>
      <c r="G80" s="11" t="s">
        <v>1461</v>
      </c>
      <c r="H80" s="11" t="s">
        <v>1462</v>
      </c>
      <c r="I80" s="12">
        <v>45541</v>
      </c>
    </row>
    <row r="81" spans="1:9" x14ac:dyDescent="0.15">
      <c r="A81" s="9">
        <v>80</v>
      </c>
      <c r="B81" s="10" t="s">
        <v>9</v>
      </c>
      <c r="C81" s="11" t="s">
        <v>10</v>
      </c>
      <c r="D81" s="12">
        <v>45623</v>
      </c>
      <c r="E81" s="13" t="str">
        <f>+HYPERLINK("http://trademark.i-assist.jp/data/china/image_1913th/80829466.pdf","80829466")</f>
        <v>80829466</v>
      </c>
      <c r="F81" s="11" t="s">
        <v>1463</v>
      </c>
      <c r="G81" s="11" t="s">
        <v>1464</v>
      </c>
      <c r="H81" s="11" t="s">
        <v>1465</v>
      </c>
      <c r="I81" s="12">
        <v>45544</v>
      </c>
    </row>
    <row r="82" spans="1:9" x14ac:dyDescent="0.15">
      <c r="A82" s="9">
        <v>81</v>
      </c>
      <c r="B82" s="10" t="s">
        <v>9</v>
      </c>
      <c r="C82" s="11" t="s">
        <v>10</v>
      </c>
      <c r="D82" s="12">
        <v>45623</v>
      </c>
      <c r="E82" s="13" t="str">
        <f>+HYPERLINK("http://trademark.i-assist.jp/data/china/image_1913th/80831035.pdf","80831035")</f>
        <v>80831035</v>
      </c>
      <c r="F82" s="11" t="s">
        <v>59</v>
      </c>
      <c r="G82" s="11" t="s">
        <v>1466</v>
      </c>
      <c r="H82" s="11" t="s">
        <v>1467</v>
      </c>
      <c r="I82" s="12">
        <v>45544</v>
      </c>
    </row>
    <row r="83" spans="1:9" x14ac:dyDescent="0.15">
      <c r="A83" s="9">
        <v>82</v>
      </c>
      <c r="B83" s="10" t="s">
        <v>9</v>
      </c>
      <c r="C83" s="11" t="s">
        <v>10</v>
      </c>
      <c r="D83" s="12">
        <v>45623</v>
      </c>
      <c r="E83" s="13" t="str">
        <f>+HYPERLINK("http://trademark.i-assist.jp/data/china/image_1913th/80840328.pdf","80840328")</f>
        <v>80840328</v>
      </c>
      <c r="F83" s="11" t="s">
        <v>1468</v>
      </c>
      <c r="G83" s="11" t="s">
        <v>60</v>
      </c>
      <c r="H83" s="11" t="s">
        <v>1469</v>
      </c>
      <c r="I83" s="12">
        <v>45545</v>
      </c>
    </row>
    <row r="84" spans="1:9" x14ac:dyDescent="0.15">
      <c r="A84" s="9">
        <v>83</v>
      </c>
      <c r="B84" s="10" t="s">
        <v>9</v>
      </c>
      <c r="C84" s="11" t="s">
        <v>10</v>
      </c>
      <c r="D84" s="12">
        <v>45623</v>
      </c>
      <c r="E84" s="13" t="str">
        <f>+HYPERLINK("http://trademark.i-assist.jp/data/china/image_1913th/80849418.pdf","80849418")</f>
        <v>80849418</v>
      </c>
      <c r="F84" s="11" t="s">
        <v>1335</v>
      </c>
      <c r="G84" s="11" t="s">
        <v>1470</v>
      </c>
      <c r="H84" s="11" t="s">
        <v>1471</v>
      </c>
      <c r="I84" s="12">
        <v>45545</v>
      </c>
    </row>
    <row r="85" spans="1:9" x14ac:dyDescent="0.15">
      <c r="A85" s="9">
        <v>84</v>
      </c>
      <c r="B85" s="10" t="s">
        <v>9</v>
      </c>
      <c r="C85" s="11" t="s">
        <v>10</v>
      </c>
      <c r="D85" s="12">
        <v>45623</v>
      </c>
      <c r="E85" s="13" t="str">
        <f>+HYPERLINK("http://trademark.i-assist.jp/data/china/image_1913th/80856874.pdf","80856874")</f>
        <v>80856874</v>
      </c>
      <c r="F85" s="11" t="s">
        <v>61</v>
      </c>
      <c r="G85" s="11" t="s">
        <v>1472</v>
      </c>
      <c r="H85" s="11" t="s">
        <v>1473</v>
      </c>
      <c r="I85" s="12">
        <v>45545</v>
      </c>
    </row>
    <row r="86" spans="1:9" x14ac:dyDescent="0.15">
      <c r="A86" s="9">
        <v>85</v>
      </c>
      <c r="B86" s="10" t="s">
        <v>9</v>
      </c>
      <c r="C86" s="11" t="s">
        <v>10</v>
      </c>
      <c r="D86" s="12">
        <v>45623</v>
      </c>
      <c r="E86" s="13" t="str">
        <f>+HYPERLINK("http://trademark.i-assist.jp/data/china/image_1913th/80567653.pdf","80567653")</f>
        <v>80567653</v>
      </c>
      <c r="F86" s="11" t="s">
        <v>63</v>
      </c>
      <c r="G86" s="11" t="s">
        <v>62</v>
      </c>
      <c r="H86" s="11" t="s">
        <v>1474</v>
      </c>
      <c r="I86" s="12">
        <v>45530</v>
      </c>
    </row>
    <row r="87" spans="1:9" x14ac:dyDescent="0.15">
      <c r="A87" s="9">
        <v>86</v>
      </c>
      <c r="B87" s="10" t="s">
        <v>9</v>
      </c>
      <c r="C87" s="11" t="s">
        <v>10</v>
      </c>
      <c r="D87" s="12">
        <v>45623</v>
      </c>
      <c r="E87" s="13" t="str">
        <f>+HYPERLINK("http://trademark.i-assist.jp/data/china/image_1913th/80569476.pdf","80569476")</f>
        <v>80569476</v>
      </c>
      <c r="F87" s="11" t="s">
        <v>64</v>
      </c>
      <c r="G87" s="11" t="s">
        <v>1475</v>
      </c>
      <c r="H87" s="11" t="s">
        <v>1476</v>
      </c>
      <c r="I87" s="12">
        <v>45530</v>
      </c>
    </row>
    <row r="88" spans="1:9" x14ac:dyDescent="0.15">
      <c r="A88" s="9">
        <v>87</v>
      </c>
      <c r="B88" s="10" t="s">
        <v>9</v>
      </c>
      <c r="C88" s="11" t="s">
        <v>10</v>
      </c>
      <c r="D88" s="12">
        <v>45623</v>
      </c>
      <c r="E88" s="13" t="str">
        <f>+HYPERLINK("http://trademark.i-assist.jp/data/china/image_1913th/80569816.pdf","80569816")</f>
        <v>80569816</v>
      </c>
      <c r="F88" s="11" t="s">
        <v>65</v>
      </c>
      <c r="G88" s="11" t="s">
        <v>1477</v>
      </c>
      <c r="H88" s="11" t="s">
        <v>1430</v>
      </c>
      <c r="I88" s="12">
        <v>45530</v>
      </c>
    </row>
    <row r="89" spans="1:9" x14ac:dyDescent="0.15">
      <c r="A89" s="9">
        <v>88</v>
      </c>
      <c r="B89" s="10" t="s">
        <v>9</v>
      </c>
      <c r="C89" s="11" t="s">
        <v>10</v>
      </c>
      <c r="D89" s="12">
        <v>45623</v>
      </c>
      <c r="E89" s="13" t="str">
        <f>+HYPERLINK("http://trademark.i-assist.jp/data/china/image_1913th/80586039.pdf","80586039")</f>
        <v>80586039</v>
      </c>
      <c r="F89" s="11" t="s">
        <v>1478</v>
      </c>
      <c r="G89" s="11" t="s">
        <v>1479</v>
      </c>
      <c r="H89" s="11" t="s">
        <v>1480</v>
      </c>
      <c r="I89" s="12">
        <v>45531</v>
      </c>
    </row>
    <row r="90" spans="1:9" x14ac:dyDescent="0.15">
      <c r="A90" s="9">
        <v>89</v>
      </c>
      <c r="B90" s="10" t="s">
        <v>9</v>
      </c>
      <c r="C90" s="11" t="s">
        <v>10</v>
      </c>
      <c r="D90" s="12">
        <v>45623</v>
      </c>
      <c r="E90" s="13" t="str">
        <f>+HYPERLINK("http://trademark.i-assist.jp/data/china/image_1913th/80587475.pdf","80587475")</f>
        <v>80587475</v>
      </c>
      <c r="F90" s="11" t="s">
        <v>1481</v>
      </c>
      <c r="G90" s="11" t="s">
        <v>1482</v>
      </c>
      <c r="H90" s="11" t="s">
        <v>1483</v>
      </c>
      <c r="I90" s="12">
        <v>45531</v>
      </c>
    </row>
    <row r="91" spans="1:9" x14ac:dyDescent="0.15">
      <c r="A91" s="9">
        <v>90</v>
      </c>
      <c r="B91" s="10" t="s">
        <v>9</v>
      </c>
      <c r="C91" s="11" t="s">
        <v>10</v>
      </c>
      <c r="D91" s="12">
        <v>45623</v>
      </c>
      <c r="E91" s="13" t="str">
        <f>+HYPERLINK("http://trademark.i-assist.jp/data/china/image_1913th/80596484.pdf","80596484")</f>
        <v>80596484</v>
      </c>
      <c r="F91" s="11" t="s">
        <v>66</v>
      </c>
      <c r="G91" s="11" t="s">
        <v>1484</v>
      </c>
      <c r="H91" s="11" t="s">
        <v>1485</v>
      </c>
      <c r="I91" s="12">
        <v>45531</v>
      </c>
    </row>
    <row r="92" spans="1:9" x14ac:dyDescent="0.15">
      <c r="A92" s="9">
        <v>91</v>
      </c>
      <c r="B92" s="10" t="s">
        <v>9</v>
      </c>
      <c r="C92" s="11" t="s">
        <v>10</v>
      </c>
      <c r="D92" s="12">
        <v>45623</v>
      </c>
      <c r="E92" s="13" t="str">
        <f>+HYPERLINK("http://trademark.i-assist.jp/data/china/image_1913th/80759527.pdf","80759527")</f>
        <v>80759527</v>
      </c>
      <c r="F92" s="11" t="s">
        <v>67</v>
      </c>
      <c r="G92" s="11" t="s">
        <v>1486</v>
      </c>
      <c r="H92" s="11" t="s">
        <v>1430</v>
      </c>
      <c r="I92" s="12">
        <v>45540</v>
      </c>
    </row>
    <row r="93" spans="1:9" x14ac:dyDescent="0.15">
      <c r="A93" s="9">
        <v>92</v>
      </c>
      <c r="B93" s="10" t="s">
        <v>9</v>
      </c>
      <c r="C93" s="11" t="s">
        <v>10</v>
      </c>
      <c r="D93" s="12">
        <v>45623</v>
      </c>
      <c r="E93" s="13" t="str">
        <f>+HYPERLINK("http://trademark.i-assist.jp/data/china/image_1913th/80759730.pdf","80759730")</f>
        <v>80759730</v>
      </c>
      <c r="F93" s="11" t="s">
        <v>1487</v>
      </c>
      <c r="G93" s="11" t="s">
        <v>68</v>
      </c>
      <c r="H93" s="11" t="s">
        <v>1488</v>
      </c>
      <c r="I93" s="12">
        <v>45540</v>
      </c>
    </row>
    <row r="94" spans="1:9" x14ac:dyDescent="0.15">
      <c r="A94" s="9">
        <v>93</v>
      </c>
      <c r="B94" s="10" t="s">
        <v>9</v>
      </c>
      <c r="C94" s="11" t="s">
        <v>10</v>
      </c>
      <c r="D94" s="12">
        <v>45623</v>
      </c>
      <c r="E94" s="13" t="str">
        <f>+HYPERLINK("http://trademark.i-assist.jp/data/china/image_1913th/80759848.pdf","80759848")</f>
        <v>80759848</v>
      </c>
      <c r="F94" s="11" t="s">
        <v>70</v>
      </c>
      <c r="G94" s="11" t="s">
        <v>69</v>
      </c>
      <c r="H94" s="11" t="s">
        <v>1489</v>
      </c>
      <c r="I94" s="12">
        <v>45540</v>
      </c>
    </row>
    <row r="95" spans="1:9" x14ac:dyDescent="0.15">
      <c r="A95" s="9">
        <v>94</v>
      </c>
      <c r="B95" s="10" t="s">
        <v>9</v>
      </c>
      <c r="C95" s="11" t="s">
        <v>10</v>
      </c>
      <c r="D95" s="12">
        <v>45623</v>
      </c>
      <c r="E95" s="13" t="str">
        <f>+HYPERLINK("http://trademark.i-assist.jp/data/china/image_1913th/80766799.pdf","80766799")</f>
        <v>80766799</v>
      </c>
      <c r="F95" s="11" t="s">
        <v>1490</v>
      </c>
      <c r="G95" s="11" t="s">
        <v>1491</v>
      </c>
      <c r="H95" s="11" t="s">
        <v>1492</v>
      </c>
      <c r="I95" s="12">
        <v>45540</v>
      </c>
    </row>
    <row r="96" spans="1:9" x14ac:dyDescent="0.15">
      <c r="A96" s="9">
        <v>95</v>
      </c>
      <c r="B96" s="10" t="s">
        <v>9</v>
      </c>
      <c r="C96" s="11" t="s">
        <v>10</v>
      </c>
      <c r="D96" s="12">
        <v>45623</v>
      </c>
      <c r="E96" s="13" t="str">
        <f>+HYPERLINK("http://trademark.i-assist.jp/data/china/image_1913th/80770894.pdf","80770894")</f>
        <v>80770894</v>
      </c>
      <c r="F96" s="11" t="s">
        <v>1493</v>
      </c>
      <c r="G96" s="11" t="s">
        <v>1494</v>
      </c>
      <c r="H96" s="11" t="s">
        <v>1274</v>
      </c>
      <c r="I96" s="12">
        <v>45540</v>
      </c>
    </row>
    <row r="97" spans="1:9" x14ac:dyDescent="0.15">
      <c r="A97" s="9">
        <v>96</v>
      </c>
      <c r="B97" s="10" t="s">
        <v>9</v>
      </c>
      <c r="C97" s="11" t="s">
        <v>10</v>
      </c>
      <c r="D97" s="12">
        <v>45623</v>
      </c>
      <c r="E97" s="13" t="str">
        <f>+HYPERLINK("http://trademark.i-assist.jp/data/china/image_1913th/80773290.pdf","80773290")</f>
        <v>80773290</v>
      </c>
      <c r="F97" s="11" t="s">
        <v>1495</v>
      </c>
      <c r="G97" s="11" t="s">
        <v>1496</v>
      </c>
      <c r="H97" s="11" t="s">
        <v>1497</v>
      </c>
      <c r="I97" s="12">
        <v>45540</v>
      </c>
    </row>
    <row r="98" spans="1:9" x14ac:dyDescent="0.15">
      <c r="A98" s="9">
        <v>97</v>
      </c>
      <c r="B98" s="10" t="s">
        <v>9</v>
      </c>
      <c r="C98" s="11" t="s">
        <v>10</v>
      </c>
      <c r="D98" s="12">
        <v>45623</v>
      </c>
      <c r="E98" s="13" t="str">
        <f>+HYPERLINK("http://trademark.i-assist.jp/data/china/image_1913th/80781543.pdf","80781543")</f>
        <v>80781543</v>
      </c>
      <c r="F98" s="11" t="s">
        <v>72</v>
      </c>
      <c r="G98" s="11" t="s">
        <v>71</v>
      </c>
      <c r="H98" s="11" t="s">
        <v>1498</v>
      </c>
      <c r="I98" s="12">
        <v>45541</v>
      </c>
    </row>
    <row r="99" spans="1:9" x14ac:dyDescent="0.15">
      <c r="A99" s="9">
        <v>98</v>
      </c>
      <c r="B99" s="10" t="s">
        <v>9</v>
      </c>
      <c r="C99" s="11" t="s">
        <v>10</v>
      </c>
      <c r="D99" s="12">
        <v>45623</v>
      </c>
      <c r="E99" s="13" t="str">
        <f>+HYPERLINK("http://trademark.i-assist.jp/data/china/image_1913th/80901450.pdf","80901450")</f>
        <v>80901450</v>
      </c>
      <c r="F99" s="11" t="s">
        <v>1499</v>
      </c>
      <c r="G99" s="11" t="s">
        <v>1500</v>
      </c>
      <c r="H99" s="11" t="s">
        <v>1501</v>
      </c>
      <c r="I99" s="12">
        <v>45548</v>
      </c>
    </row>
    <row r="100" spans="1:9" x14ac:dyDescent="0.15">
      <c r="A100" s="9">
        <v>99</v>
      </c>
      <c r="B100" s="10" t="s">
        <v>9</v>
      </c>
      <c r="C100" s="11" t="s">
        <v>10</v>
      </c>
      <c r="D100" s="12">
        <v>45623</v>
      </c>
      <c r="E100" s="13" t="str">
        <f>+HYPERLINK("http://trademark.i-assist.jp/data/china/image_1913th/80914908.pdf","80914908")</f>
        <v>80914908</v>
      </c>
      <c r="F100" s="11" t="s">
        <v>74</v>
      </c>
      <c r="G100" s="11" t="s">
        <v>73</v>
      </c>
      <c r="H100" s="11" t="s">
        <v>1302</v>
      </c>
      <c r="I100" s="12">
        <v>45547</v>
      </c>
    </row>
    <row r="101" spans="1:9" x14ac:dyDescent="0.15">
      <c r="A101" s="9">
        <v>100</v>
      </c>
      <c r="B101" s="10" t="s">
        <v>9</v>
      </c>
      <c r="C101" s="11" t="s">
        <v>10</v>
      </c>
      <c r="D101" s="12">
        <v>45623</v>
      </c>
      <c r="E101" s="13" t="str">
        <f>+HYPERLINK("http://trademark.i-assist.jp/data/china/image_1913th/80919355.pdf","80919355")</f>
        <v>80919355</v>
      </c>
      <c r="F101" s="11" t="s">
        <v>1502</v>
      </c>
      <c r="G101" s="11" t="s">
        <v>1503</v>
      </c>
      <c r="H101" s="11" t="s">
        <v>1376</v>
      </c>
      <c r="I101" s="12">
        <v>45548</v>
      </c>
    </row>
    <row r="102" spans="1:9" x14ac:dyDescent="0.15">
      <c r="A102" s="9">
        <v>101</v>
      </c>
      <c r="B102" s="10" t="s">
        <v>9</v>
      </c>
      <c r="C102" s="11" t="s">
        <v>10</v>
      </c>
      <c r="D102" s="12">
        <v>45623</v>
      </c>
      <c r="E102" s="13" t="str">
        <f>+HYPERLINK("http://trademark.i-assist.jp/data/china/image_1913th/80921143.pdf","80921143")</f>
        <v>80921143</v>
      </c>
      <c r="F102" s="11" t="s">
        <v>75</v>
      </c>
      <c r="G102" s="11" t="s">
        <v>1504</v>
      </c>
      <c r="H102" s="11" t="s">
        <v>1497</v>
      </c>
      <c r="I102" s="12">
        <v>45548</v>
      </c>
    </row>
    <row r="103" spans="1:9" x14ac:dyDescent="0.15">
      <c r="A103" s="9">
        <v>102</v>
      </c>
      <c r="B103" s="10" t="s">
        <v>9</v>
      </c>
      <c r="C103" s="11" t="s">
        <v>10</v>
      </c>
      <c r="D103" s="12">
        <v>45623</v>
      </c>
      <c r="E103" s="13" t="str">
        <f>+HYPERLINK("http://trademark.i-assist.jp/data/china/image_1913th/80925938.pdf","80925938")</f>
        <v>80925938</v>
      </c>
      <c r="F103" s="11" t="s">
        <v>77</v>
      </c>
      <c r="G103" s="11" t="s">
        <v>76</v>
      </c>
      <c r="H103" s="11" t="s">
        <v>1505</v>
      </c>
      <c r="I103" s="12">
        <v>45548</v>
      </c>
    </row>
    <row r="104" spans="1:9" x14ac:dyDescent="0.15">
      <c r="A104" s="9">
        <v>103</v>
      </c>
      <c r="B104" s="10" t="s">
        <v>9</v>
      </c>
      <c r="C104" s="11" t="s">
        <v>10</v>
      </c>
      <c r="D104" s="12">
        <v>45623</v>
      </c>
      <c r="E104" s="13" t="str">
        <f>+HYPERLINK("http://trademark.i-assist.jp/data/china/image_1913th/80944384.pdf","80944384")</f>
        <v>80944384</v>
      </c>
      <c r="F104" s="11" t="s">
        <v>78</v>
      </c>
      <c r="G104" s="11" t="s">
        <v>1506</v>
      </c>
      <c r="H104" s="11" t="s">
        <v>1507</v>
      </c>
      <c r="I104" s="12">
        <v>45549</v>
      </c>
    </row>
    <row r="105" spans="1:9" x14ac:dyDescent="0.15">
      <c r="A105" s="9">
        <v>104</v>
      </c>
      <c r="B105" s="10" t="s">
        <v>9</v>
      </c>
      <c r="C105" s="11" t="s">
        <v>10</v>
      </c>
      <c r="D105" s="12">
        <v>45623</v>
      </c>
      <c r="E105" s="13" t="str">
        <f>+HYPERLINK("http://trademark.i-assist.jp/data/china/image_1913th/80952840.pdf","80952840")</f>
        <v>80952840</v>
      </c>
      <c r="F105" s="11" t="s">
        <v>1335</v>
      </c>
      <c r="G105" s="11" t="s">
        <v>1508</v>
      </c>
      <c r="H105" s="11" t="s">
        <v>1509</v>
      </c>
      <c r="I105" s="12">
        <v>45550</v>
      </c>
    </row>
    <row r="106" spans="1:9" x14ac:dyDescent="0.15">
      <c r="A106" s="9">
        <v>105</v>
      </c>
      <c r="B106" s="10" t="s">
        <v>9</v>
      </c>
      <c r="C106" s="11" t="s">
        <v>10</v>
      </c>
      <c r="D106" s="12">
        <v>45623</v>
      </c>
      <c r="E106" s="13" t="str">
        <f>+HYPERLINK("http://trademark.i-assist.jp/data/china/image_1913th/75601145.pdf","75601145")</f>
        <v>75601145</v>
      </c>
      <c r="F106" s="11" t="s">
        <v>80</v>
      </c>
      <c r="G106" s="11" t="s">
        <v>79</v>
      </c>
      <c r="H106" s="11" t="s">
        <v>1510</v>
      </c>
      <c r="I106" s="12">
        <v>45265</v>
      </c>
    </row>
    <row r="107" spans="1:9" x14ac:dyDescent="0.15">
      <c r="A107" s="9">
        <v>106</v>
      </c>
      <c r="B107" s="10" t="s">
        <v>9</v>
      </c>
      <c r="C107" s="11" t="s">
        <v>10</v>
      </c>
      <c r="D107" s="12">
        <v>45623</v>
      </c>
      <c r="E107" s="13" t="str">
        <f>+HYPERLINK("http://trademark.i-assist.jp/data/china/image_1913th/76490965.pdf","76490965")</f>
        <v>76490965</v>
      </c>
      <c r="F107" s="11" t="s">
        <v>81</v>
      </c>
      <c r="G107" s="11" t="s">
        <v>1297</v>
      </c>
      <c r="H107" s="11" t="s">
        <v>1298</v>
      </c>
      <c r="I107" s="12">
        <v>45309</v>
      </c>
    </row>
    <row r="108" spans="1:9" x14ac:dyDescent="0.15">
      <c r="A108" s="9">
        <v>107</v>
      </c>
      <c r="B108" s="10" t="s">
        <v>9</v>
      </c>
      <c r="C108" s="11" t="s">
        <v>10</v>
      </c>
      <c r="D108" s="12">
        <v>45623</v>
      </c>
      <c r="E108" s="13" t="str">
        <f>+HYPERLINK("http://trademark.i-assist.jp/data/china/image_1913th/78986923.pdf","78986923")</f>
        <v>78986923</v>
      </c>
      <c r="F108" s="11" t="s">
        <v>1511</v>
      </c>
      <c r="G108" s="11" t="s">
        <v>1512</v>
      </c>
      <c r="H108" s="11" t="s">
        <v>1513</v>
      </c>
      <c r="I108" s="12">
        <v>45446</v>
      </c>
    </row>
    <row r="109" spans="1:9" x14ac:dyDescent="0.15">
      <c r="A109" s="9">
        <v>108</v>
      </c>
      <c r="B109" s="10" t="s">
        <v>9</v>
      </c>
      <c r="C109" s="11" t="s">
        <v>10</v>
      </c>
      <c r="D109" s="12">
        <v>45623</v>
      </c>
      <c r="E109" s="13" t="str">
        <f>+HYPERLINK("http://trademark.i-assist.jp/data/china/image_1913th/79231612.pdf","79231612")</f>
        <v>79231612</v>
      </c>
      <c r="F109" s="11" t="s">
        <v>1335</v>
      </c>
      <c r="G109" s="11" t="s">
        <v>82</v>
      </c>
      <c r="H109" s="11" t="s">
        <v>1423</v>
      </c>
      <c r="I109" s="12">
        <v>45457</v>
      </c>
    </row>
    <row r="110" spans="1:9" x14ac:dyDescent="0.15">
      <c r="A110" s="9">
        <v>109</v>
      </c>
      <c r="B110" s="10" t="s">
        <v>9</v>
      </c>
      <c r="C110" s="11" t="s">
        <v>10</v>
      </c>
      <c r="D110" s="12">
        <v>45623</v>
      </c>
      <c r="E110" s="13" t="str">
        <f>+HYPERLINK("http://trademark.i-assist.jp/data/china/image_1913th/74820858.pdf","74820858")</f>
        <v>74820858</v>
      </c>
      <c r="F110" s="11" t="s">
        <v>83</v>
      </c>
      <c r="G110" s="11" t="s">
        <v>1514</v>
      </c>
      <c r="H110" s="11" t="s">
        <v>1515</v>
      </c>
      <c r="I110" s="12">
        <v>45226</v>
      </c>
    </row>
    <row r="111" spans="1:9" x14ac:dyDescent="0.15">
      <c r="A111" s="9">
        <v>110</v>
      </c>
      <c r="B111" s="10" t="s">
        <v>9</v>
      </c>
      <c r="C111" s="11" t="s">
        <v>10</v>
      </c>
      <c r="D111" s="12">
        <v>45623</v>
      </c>
      <c r="E111" s="13" t="str">
        <f>+HYPERLINK("http://trademark.i-assist.jp/data/china/image_1913th/79367207.pdf","79367207")</f>
        <v>79367207</v>
      </c>
      <c r="F111" s="11" t="s">
        <v>1516</v>
      </c>
      <c r="G111" s="11" t="s">
        <v>84</v>
      </c>
      <c r="H111" s="11" t="s">
        <v>1517</v>
      </c>
      <c r="I111" s="12">
        <v>45464</v>
      </c>
    </row>
    <row r="112" spans="1:9" x14ac:dyDescent="0.15">
      <c r="A112" s="9">
        <v>111</v>
      </c>
      <c r="B112" s="10" t="s">
        <v>9</v>
      </c>
      <c r="C112" s="11" t="s">
        <v>10</v>
      </c>
      <c r="D112" s="12">
        <v>45623</v>
      </c>
      <c r="E112" s="13" t="str">
        <f>+HYPERLINK("http://trademark.i-assist.jp/data/china/image_1913th/79505166.pdf","79505166")</f>
        <v>79505166</v>
      </c>
      <c r="F112" s="11" t="s">
        <v>85</v>
      </c>
      <c r="G112" s="11" t="s">
        <v>1338</v>
      </c>
      <c r="H112" s="11" t="s">
        <v>1518</v>
      </c>
      <c r="I112" s="12">
        <v>45471</v>
      </c>
    </row>
    <row r="113" spans="1:9" x14ac:dyDescent="0.15">
      <c r="A113" s="9">
        <v>112</v>
      </c>
      <c r="B113" s="10" t="s">
        <v>9</v>
      </c>
      <c r="C113" s="11" t="s">
        <v>10</v>
      </c>
      <c r="D113" s="12">
        <v>45623</v>
      </c>
      <c r="E113" s="13" t="str">
        <f>+HYPERLINK("http://trademark.i-assist.jp/data/china/image_1913th/79514745.pdf","79514745")</f>
        <v>79514745</v>
      </c>
      <c r="F113" s="11" t="s">
        <v>86</v>
      </c>
      <c r="G113" s="11" t="s">
        <v>1519</v>
      </c>
      <c r="H113" s="11" t="s">
        <v>1520</v>
      </c>
      <c r="I113" s="12">
        <v>45471</v>
      </c>
    </row>
    <row r="114" spans="1:9" x14ac:dyDescent="0.15">
      <c r="A114" s="9">
        <v>113</v>
      </c>
      <c r="B114" s="10" t="s">
        <v>9</v>
      </c>
      <c r="C114" s="11" t="s">
        <v>10</v>
      </c>
      <c r="D114" s="12">
        <v>45623</v>
      </c>
      <c r="E114" s="13" t="str">
        <f>+HYPERLINK("http://trademark.i-assist.jp/data/china/image_1913th/80474178.pdf","80474178")</f>
        <v>80474178</v>
      </c>
      <c r="F114" s="11" t="s">
        <v>1521</v>
      </c>
      <c r="G114" s="11" t="s">
        <v>1522</v>
      </c>
      <c r="H114" s="11" t="s">
        <v>1523</v>
      </c>
      <c r="I114" s="12">
        <v>45525</v>
      </c>
    </row>
    <row r="115" spans="1:9" x14ac:dyDescent="0.15">
      <c r="A115" s="9">
        <v>114</v>
      </c>
      <c r="B115" s="10" t="s">
        <v>9</v>
      </c>
      <c r="C115" s="11" t="s">
        <v>10</v>
      </c>
      <c r="D115" s="12">
        <v>45623</v>
      </c>
      <c r="E115" s="13" t="str">
        <f>+HYPERLINK("http://trademark.i-assist.jp/data/china/image_1913th/80477653.pdf","80477653")</f>
        <v>80477653</v>
      </c>
      <c r="F115" s="11" t="s">
        <v>87</v>
      </c>
      <c r="G115" s="11" t="s">
        <v>1524</v>
      </c>
      <c r="H115" s="11" t="s">
        <v>1525</v>
      </c>
      <c r="I115" s="12">
        <v>45525</v>
      </c>
    </row>
    <row r="116" spans="1:9" x14ac:dyDescent="0.15">
      <c r="A116" s="9">
        <v>115</v>
      </c>
      <c r="B116" s="10" t="s">
        <v>9</v>
      </c>
      <c r="C116" s="11" t="s">
        <v>10</v>
      </c>
      <c r="D116" s="12">
        <v>45623</v>
      </c>
      <c r="E116" s="13" t="str">
        <f>+HYPERLINK("http://trademark.i-assist.jp/data/china/image_1913th/80514418.pdf","80514418")</f>
        <v>80514418</v>
      </c>
      <c r="F116" s="11" t="s">
        <v>1526</v>
      </c>
      <c r="G116" s="11" t="s">
        <v>1527</v>
      </c>
      <c r="H116" s="11" t="s">
        <v>1528</v>
      </c>
      <c r="I116" s="12">
        <v>45526</v>
      </c>
    </row>
    <row r="117" spans="1:9" x14ac:dyDescent="0.15">
      <c r="A117" s="9">
        <v>116</v>
      </c>
      <c r="B117" s="10" t="s">
        <v>9</v>
      </c>
      <c r="C117" s="11" t="s">
        <v>10</v>
      </c>
      <c r="D117" s="12">
        <v>45623</v>
      </c>
      <c r="E117" s="13" t="str">
        <f>+HYPERLINK("http://trademark.i-assist.jp/data/china/image_1913th/80523605.pdf","80523605")</f>
        <v>80523605</v>
      </c>
      <c r="F117" s="11" t="s">
        <v>88</v>
      </c>
      <c r="G117" s="11" t="s">
        <v>1529</v>
      </c>
      <c r="H117" s="11" t="s">
        <v>1530</v>
      </c>
      <c r="I117" s="12">
        <v>45527</v>
      </c>
    </row>
    <row r="118" spans="1:9" x14ac:dyDescent="0.15">
      <c r="A118" s="9">
        <v>117</v>
      </c>
      <c r="B118" s="10" t="s">
        <v>9</v>
      </c>
      <c r="C118" s="11" t="s">
        <v>10</v>
      </c>
      <c r="D118" s="12">
        <v>45623</v>
      </c>
      <c r="E118" s="13" t="str">
        <f>+HYPERLINK("http://trademark.i-assist.jp/data/china/image_1913th/80524021.pdf","80524021")</f>
        <v>80524021</v>
      </c>
      <c r="F118" s="11" t="s">
        <v>89</v>
      </c>
      <c r="G118" s="11" t="s">
        <v>1531</v>
      </c>
      <c r="H118" s="11" t="s">
        <v>1532</v>
      </c>
      <c r="I118" s="12">
        <v>45527</v>
      </c>
    </row>
    <row r="119" spans="1:9" x14ac:dyDescent="0.15">
      <c r="A119" s="9">
        <v>118</v>
      </c>
      <c r="B119" s="10" t="s">
        <v>9</v>
      </c>
      <c r="C119" s="11" t="s">
        <v>10</v>
      </c>
      <c r="D119" s="12">
        <v>45623</v>
      </c>
      <c r="E119" s="13" t="str">
        <f>+HYPERLINK("http://trademark.i-assist.jp/data/china/image_1913th/80537377.pdf","80537377")</f>
        <v>80537377</v>
      </c>
      <c r="F119" s="11" t="s">
        <v>1533</v>
      </c>
      <c r="G119" s="11" t="s">
        <v>1534</v>
      </c>
      <c r="H119" s="11" t="s">
        <v>1535</v>
      </c>
      <c r="I119" s="12">
        <v>45527</v>
      </c>
    </row>
    <row r="120" spans="1:9" x14ac:dyDescent="0.15">
      <c r="A120" s="9">
        <v>119</v>
      </c>
      <c r="B120" s="10" t="s">
        <v>9</v>
      </c>
      <c r="C120" s="11" t="s">
        <v>10</v>
      </c>
      <c r="D120" s="12">
        <v>45623</v>
      </c>
      <c r="E120" s="13" t="str">
        <f>+HYPERLINK("http://trademark.i-assist.jp/data/china/image_1913th/80538923.pdf","80538923")</f>
        <v>80538923</v>
      </c>
      <c r="F120" s="11" t="s">
        <v>1536</v>
      </c>
      <c r="G120" s="11" t="s">
        <v>1311</v>
      </c>
      <c r="H120" s="11" t="s">
        <v>1312</v>
      </c>
      <c r="I120" s="12">
        <v>45527</v>
      </c>
    </row>
    <row r="121" spans="1:9" x14ac:dyDescent="0.15">
      <c r="A121" s="9">
        <v>120</v>
      </c>
      <c r="B121" s="10" t="s">
        <v>9</v>
      </c>
      <c r="C121" s="11" t="s">
        <v>10</v>
      </c>
      <c r="D121" s="12">
        <v>45623</v>
      </c>
      <c r="E121" s="13" t="str">
        <f>+HYPERLINK("http://trademark.i-assist.jp/data/china/image_1913th/80389249.pdf","80389249")</f>
        <v>80389249</v>
      </c>
      <c r="F121" s="11" t="s">
        <v>1537</v>
      </c>
      <c r="G121" s="11" t="s">
        <v>90</v>
      </c>
      <c r="H121" s="11" t="s">
        <v>1538</v>
      </c>
      <c r="I121" s="12">
        <v>45519</v>
      </c>
    </row>
    <row r="122" spans="1:9" x14ac:dyDescent="0.15">
      <c r="A122" s="9">
        <v>121</v>
      </c>
      <c r="B122" s="10" t="s">
        <v>9</v>
      </c>
      <c r="C122" s="11" t="s">
        <v>10</v>
      </c>
      <c r="D122" s="12">
        <v>45623</v>
      </c>
      <c r="E122" s="13" t="str">
        <f>+HYPERLINK("http://trademark.i-assist.jp/data/china/image_1913th/80404382.pdf","80404382")</f>
        <v>80404382</v>
      </c>
      <c r="F122" s="11" t="s">
        <v>1539</v>
      </c>
      <c r="G122" s="11" t="s">
        <v>1397</v>
      </c>
      <c r="H122" s="11" t="s">
        <v>1540</v>
      </c>
      <c r="I122" s="12">
        <v>45520</v>
      </c>
    </row>
    <row r="123" spans="1:9" x14ac:dyDescent="0.15">
      <c r="A123" s="9">
        <v>122</v>
      </c>
      <c r="B123" s="10" t="s">
        <v>9</v>
      </c>
      <c r="C123" s="11" t="s">
        <v>10</v>
      </c>
      <c r="D123" s="12">
        <v>45623</v>
      </c>
      <c r="E123" s="13" t="str">
        <f>+HYPERLINK("http://trademark.i-assist.jp/data/china/image_1913th/80422131.pdf","80422131")</f>
        <v>80422131</v>
      </c>
      <c r="F123" s="11" t="s">
        <v>1541</v>
      </c>
      <c r="G123" s="11" t="s">
        <v>1542</v>
      </c>
      <c r="H123" s="11" t="s">
        <v>1543</v>
      </c>
      <c r="I123" s="12">
        <v>45521</v>
      </c>
    </row>
    <row r="124" spans="1:9" x14ac:dyDescent="0.15">
      <c r="A124" s="9">
        <v>123</v>
      </c>
      <c r="B124" s="10" t="s">
        <v>9</v>
      </c>
      <c r="C124" s="11" t="s">
        <v>10</v>
      </c>
      <c r="D124" s="12">
        <v>45623</v>
      </c>
      <c r="E124" s="13" t="str">
        <f>+HYPERLINK("http://trademark.i-assist.jp/data/china/image_1913th/80443254.pdf","80443254")</f>
        <v>80443254</v>
      </c>
      <c r="F124" s="11" t="s">
        <v>91</v>
      </c>
      <c r="G124" s="11" t="s">
        <v>1544</v>
      </c>
      <c r="H124" s="11" t="s">
        <v>1545</v>
      </c>
      <c r="I124" s="12">
        <v>45523</v>
      </c>
    </row>
    <row r="125" spans="1:9" x14ac:dyDescent="0.15">
      <c r="A125" s="9">
        <v>124</v>
      </c>
      <c r="B125" s="10" t="s">
        <v>9</v>
      </c>
      <c r="C125" s="11" t="s">
        <v>10</v>
      </c>
      <c r="D125" s="12">
        <v>45623</v>
      </c>
      <c r="E125" s="13" t="str">
        <f>+HYPERLINK("http://trademark.i-assist.jp/data/china/image_1913th/80455633.pdf","80455633")</f>
        <v>80455633</v>
      </c>
      <c r="F125" s="11" t="s">
        <v>1546</v>
      </c>
      <c r="G125" s="11" t="s">
        <v>1547</v>
      </c>
      <c r="H125" s="11" t="s">
        <v>1548</v>
      </c>
      <c r="I125" s="12">
        <v>45524</v>
      </c>
    </row>
    <row r="126" spans="1:9" x14ac:dyDescent="0.15">
      <c r="A126" s="9">
        <v>125</v>
      </c>
      <c r="B126" s="10" t="s">
        <v>9</v>
      </c>
      <c r="C126" s="11" t="s">
        <v>10</v>
      </c>
      <c r="D126" s="12">
        <v>45623</v>
      </c>
      <c r="E126" s="13" t="str">
        <f>+HYPERLINK("http://trademark.i-assist.jp/data/china/image_1913th/80456790.pdf","80456790")</f>
        <v>80456790</v>
      </c>
      <c r="F126" s="11" t="s">
        <v>1549</v>
      </c>
      <c r="G126" s="11" t="s">
        <v>1550</v>
      </c>
      <c r="H126" s="11" t="s">
        <v>1551</v>
      </c>
      <c r="I126" s="12">
        <v>45524</v>
      </c>
    </row>
    <row r="127" spans="1:9" x14ac:dyDescent="0.15">
      <c r="A127" s="9">
        <v>126</v>
      </c>
      <c r="B127" s="10" t="s">
        <v>9</v>
      </c>
      <c r="C127" s="11" t="s">
        <v>10</v>
      </c>
      <c r="D127" s="12">
        <v>45623</v>
      </c>
      <c r="E127" s="13" t="str">
        <f>+HYPERLINK("http://trademark.i-assist.jp/data/china/image_1913th/79685327.pdf","79685327")</f>
        <v>79685327</v>
      </c>
      <c r="F127" s="11" t="s">
        <v>1552</v>
      </c>
      <c r="G127" s="11" t="s">
        <v>92</v>
      </c>
      <c r="H127" s="11" t="s">
        <v>1553</v>
      </c>
      <c r="I127" s="12">
        <v>45482</v>
      </c>
    </row>
    <row r="128" spans="1:9" x14ac:dyDescent="0.15">
      <c r="A128" s="9">
        <v>127</v>
      </c>
      <c r="B128" s="10" t="s">
        <v>9</v>
      </c>
      <c r="C128" s="11" t="s">
        <v>10</v>
      </c>
      <c r="D128" s="12">
        <v>45623</v>
      </c>
      <c r="E128" s="13" t="str">
        <f>+HYPERLINK("http://trademark.i-assist.jp/data/china/image_1913th/80567244.pdf","80567244")</f>
        <v>80567244</v>
      </c>
      <c r="F128" s="11" t="s">
        <v>93</v>
      </c>
      <c r="G128" s="11" t="s">
        <v>1554</v>
      </c>
      <c r="H128" s="11" t="s">
        <v>1555</v>
      </c>
      <c r="I128" s="12">
        <v>45530</v>
      </c>
    </row>
    <row r="129" spans="1:9" x14ac:dyDescent="0.15">
      <c r="A129" s="9">
        <v>128</v>
      </c>
      <c r="B129" s="10" t="s">
        <v>9</v>
      </c>
      <c r="C129" s="11" t="s">
        <v>10</v>
      </c>
      <c r="D129" s="12">
        <v>45623</v>
      </c>
      <c r="E129" s="13" t="str">
        <f>+HYPERLINK("http://trademark.i-assist.jp/data/china/image_1913th/80571830.pdf","80571830")</f>
        <v>80571830</v>
      </c>
      <c r="F129" s="11" t="s">
        <v>1556</v>
      </c>
      <c r="G129" s="11" t="s">
        <v>94</v>
      </c>
      <c r="H129" s="11" t="s">
        <v>1557</v>
      </c>
      <c r="I129" s="12">
        <v>45530</v>
      </c>
    </row>
    <row r="130" spans="1:9" x14ac:dyDescent="0.15">
      <c r="A130" s="9">
        <v>129</v>
      </c>
      <c r="B130" s="10" t="s">
        <v>9</v>
      </c>
      <c r="C130" s="11" t="s">
        <v>10</v>
      </c>
      <c r="D130" s="12">
        <v>45623</v>
      </c>
      <c r="E130" s="13" t="str">
        <f>+HYPERLINK("http://trademark.i-assist.jp/data/china/image_1913th/80577068.pdf","80577068")</f>
        <v>80577068</v>
      </c>
      <c r="F130" s="11" t="s">
        <v>95</v>
      </c>
      <c r="G130" s="11" t="s">
        <v>1558</v>
      </c>
      <c r="H130" s="11" t="s">
        <v>1559</v>
      </c>
      <c r="I130" s="12">
        <v>45530</v>
      </c>
    </row>
    <row r="131" spans="1:9" x14ac:dyDescent="0.15">
      <c r="A131" s="9">
        <v>130</v>
      </c>
      <c r="B131" s="10" t="s">
        <v>9</v>
      </c>
      <c r="C131" s="11" t="s">
        <v>10</v>
      </c>
      <c r="D131" s="12">
        <v>45623</v>
      </c>
      <c r="E131" s="13" t="str">
        <f>+HYPERLINK("http://trademark.i-assist.jp/data/china/image_1913th/80591970.pdf","80591970")</f>
        <v>80591970</v>
      </c>
      <c r="F131" s="11" t="s">
        <v>96</v>
      </c>
      <c r="G131" s="11" t="s">
        <v>1560</v>
      </c>
      <c r="H131" s="11" t="s">
        <v>1561</v>
      </c>
      <c r="I131" s="12">
        <v>45531</v>
      </c>
    </row>
    <row r="132" spans="1:9" x14ac:dyDescent="0.15">
      <c r="A132" s="9">
        <v>131</v>
      </c>
      <c r="B132" s="10" t="s">
        <v>9</v>
      </c>
      <c r="C132" s="11" t="s">
        <v>10</v>
      </c>
      <c r="D132" s="12">
        <v>45623</v>
      </c>
      <c r="E132" s="13" t="str">
        <f>+HYPERLINK("http://trademark.i-assist.jp/data/china/image_1913th/80599943.pdf","80599943")</f>
        <v>80599943</v>
      </c>
      <c r="F132" s="11" t="s">
        <v>97</v>
      </c>
      <c r="G132" s="11" t="s">
        <v>1562</v>
      </c>
      <c r="H132" s="11" t="s">
        <v>1563</v>
      </c>
      <c r="I132" s="12">
        <v>45531</v>
      </c>
    </row>
    <row r="133" spans="1:9" x14ac:dyDescent="0.15">
      <c r="A133" s="9">
        <v>132</v>
      </c>
      <c r="B133" s="10" t="s">
        <v>9</v>
      </c>
      <c r="C133" s="11" t="s">
        <v>10</v>
      </c>
      <c r="D133" s="12">
        <v>45623</v>
      </c>
      <c r="E133" s="13" t="str">
        <f>+HYPERLINK("http://trademark.i-assist.jp/data/china/image_1913th/80602200.pdf","80602200")</f>
        <v>80602200</v>
      </c>
      <c r="F133" s="11" t="s">
        <v>98</v>
      </c>
      <c r="G133" s="11" t="s">
        <v>1564</v>
      </c>
      <c r="H133" s="11" t="s">
        <v>1565</v>
      </c>
      <c r="I133" s="12">
        <v>45532</v>
      </c>
    </row>
    <row r="134" spans="1:9" x14ac:dyDescent="0.15">
      <c r="A134" s="9">
        <v>133</v>
      </c>
      <c r="B134" s="10" t="s">
        <v>9</v>
      </c>
      <c r="C134" s="11" t="s">
        <v>10</v>
      </c>
      <c r="D134" s="12">
        <v>45623</v>
      </c>
      <c r="E134" s="13" t="str">
        <f>+HYPERLINK("http://trademark.i-assist.jp/data/china/image_1913th/80602986.pdf","80602986")</f>
        <v>80602986</v>
      </c>
      <c r="F134" s="11" t="s">
        <v>99</v>
      </c>
      <c r="G134" s="11" t="s">
        <v>1566</v>
      </c>
      <c r="H134" s="11" t="s">
        <v>1567</v>
      </c>
      <c r="I134" s="12">
        <v>45532</v>
      </c>
    </row>
    <row r="135" spans="1:9" x14ac:dyDescent="0.15">
      <c r="A135" s="9">
        <v>134</v>
      </c>
      <c r="B135" s="10" t="s">
        <v>9</v>
      </c>
      <c r="C135" s="11" t="s">
        <v>10</v>
      </c>
      <c r="D135" s="12">
        <v>45623</v>
      </c>
      <c r="E135" s="13" t="str">
        <f>+HYPERLINK("http://trademark.i-assist.jp/data/china/image_1913th/80603259.pdf","80603259")</f>
        <v>80603259</v>
      </c>
      <c r="F135" s="11" t="s">
        <v>1568</v>
      </c>
      <c r="G135" s="11" t="s">
        <v>1569</v>
      </c>
      <c r="H135" s="11" t="s">
        <v>1570</v>
      </c>
      <c r="I135" s="12">
        <v>45532</v>
      </c>
    </row>
    <row r="136" spans="1:9" x14ac:dyDescent="0.15">
      <c r="A136" s="9">
        <v>135</v>
      </c>
      <c r="B136" s="10" t="s">
        <v>9</v>
      </c>
      <c r="C136" s="11" t="s">
        <v>10</v>
      </c>
      <c r="D136" s="12">
        <v>45623</v>
      </c>
      <c r="E136" s="13" t="str">
        <f>+HYPERLINK("http://trademark.i-assist.jp/data/china/image_1913th/80603839.pdf","80603839")</f>
        <v>80603839</v>
      </c>
      <c r="F136" s="11" t="s">
        <v>1571</v>
      </c>
      <c r="G136" s="11" t="s">
        <v>1572</v>
      </c>
      <c r="H136" s="11" t="s">
        <v>1573</v>
      </c>
      <c r="I136" s="12">
        <v>45532</v>
      </c>
    </row>
    <row r="137" spans="1:9" x14ac:dyDescent="0.15">
      <c r="A137" s="9">
        <v>136</v>
      </c>
      <c r="B137" s="10" t="s">
        <v>9</v>
      </c>
      <c r="C137" s="11" t="s">
        <v>10</v>
      </c>
      <c r="D137" s="12">
        <v>45623</v>
      </c>
      <c r="E137" s="13" t="str">
        <f>+HYPERLINK("http://trademark.i-assist.jp/data/china/image_1913th/80808162.pdf","80808162")</f>
        <v>80808162</v>
      </c>
      <c r="F137" s="11" t="s">
        <v>100</v>
      </c>
      <c r="G137" s="11" t="s">
        <v>1574</v>
      </c>
      <c r="H137" s="11" t="s">
        <v>1575</v>
      </c>
      <c r="I137" s="12">
        <v>45543</v>
      </c>
    </row>
    <row r="138" spans="1:9" x14ac:dyDescent="0.15">
      <c r="A138" s="9">
        <v>137</v>
      </c>
      <c r="B138" s="10" t="s">
        <v>9</v>
      </c>
      <c r="C138" s="11" t="s">
        <v>10</v>
      </c>
      <c r="D138" s="12">
        <v>45623</v>
      </c>
      <c r="E138" s="13" t="str">
        <f>+HYPERLINK("http://trademark.i-assist.jp/data/china/image_1913th/80811338.pdf","80811338")</f>
        <v>80811338</v>
      </c>
      <c r="F138" s="11" t="s">
        <v>102</v>
      </c>
      <c r="G138" s="11" t="s">
        <v>101</v>
      </c>
      <c r="H138" s="11" t="s">
        <v>1576</v>
      </c>
      <c r="I138" s="12">
        <v>45544</v>
      </c>
    </row>
    <row r="139" spans="1:9" x14ac:dyDescent="0.15">
      <c r="A139" s="9">
        <v>138</v>
      </c>
      <c r="B139" s="10" t="s">
        <v>9</v>
      </c>
      <c r="C139" s="11" t="s">
        <v>10</v>
      </c>
      <c r="D139" s="12">
        <v>45623</v>
      </c>
      <c r="E139" s="13" t="str">
        <f>+HYPERLINK("http://trademark.i-assist.jp/data/china/image_1913th/80813268.pdf","80813268")</f>
        <v>80813268</v>
      </c>
      <c r="F139" s="11" t="s">
        <v>103</v>
      </c>
      <c r="G139" s="11" t="s">
        <v>1453</v>
      </c>
      <c r="H139" s="11" t="s">
        <v>1454</v>
      </c>
      <c r="I139" s="12">
        <v>45544</v>
      </c>
    </row>
    <row r="140" spans="1:9" x14ac:dyDescent="0.15">
      <c r="A140" s="9">
        <v>139</v>
      </c>
      <c r="B140" s="10" t="s">
        <v>9</v>
      </c>
      <c r="C140" s="11" t="s">
        <v>10</v>
      </c>
      <c r="D140" s="12">
        <v>45623</v>
      </c>
      <c r="E140" s="13" t="str">
        <f>+HYPERLINK("http://trademark.i-assist.jp/data/china/image_1913th/80824646.pdf","80824646")</f>
        <v>80824646</v>
      </c>
      <c r="F140" s="11" t="s">
        <v>1577</v>
      </c>
      <c r="G140" s="11" t="s">
        <v>104</v>
      </c>
      <c r="H140" s="11" t="s">
        <v>1578</v>
      </c>
      <c r="I140" s="12">
        <v>45544</v>
      </c>
    </row>
    <row r="141" spans="1:9" x14ac:dyDescent="0.15">
      <c r="A141" s="9">
        <v>140</v>
      </c>
      <c r="B141" s="10" t="s">
        <v>9</v>
      </c>
      <c r="C141" s="11" t="s">
        <v>10</v>
      </c>
      <c r="D141" s="12">
        <v>45623</v>
      </c>
      <c r="E141" s="13" t="str">
        <f>+HYPERLINK("http://trademark.i-assist.jp/data/china/image_1913th/80825848.pdf","80825848")</f>
        <v>80825848</v>
      </c>
      <c r="F141" s="11" t="s">
        <v>105</v>
      </c>
      <c r="G141" s="11" t="s">
        <v>1579</v>
      </c>
      <c r="H141" s="11" t="s">
        <v>1580</v>
      </c>
      <c r="I141" s="12">
        <v>45544</v>
      </c>
    </row>
    <row r="142" spans="1:9" x14ac:dyDescent="0.15">
      <c r="A142" s="9">
        <v>141</v>
      </c>
      <c r="B142" s="10" t="s">
        <v>9</v>
      </c>
      <c r="C142" s="11" t="s">
        <v>10</v>
      </c>
      <c r="D142" s="12">
        <v>45623</v>
      </c>
      <c r="E142" s="13" t="str">
        <f>+HYPERLINK("http://trademark.i-assist.jp/data/china/image_1913th/79996814.pdf","79996814")</f>
        <v>79996814</v>
      </c>
      <c r="F142" s="11" t="s">
        <v>106</v>
      </c>
      <c r="G142" s="11" t="s">
        <v>1581</v>
      </c>
      <c r="H142" s="11" t="s">
        <v>1582</v>
      </c>
      <c r="I142" s="12">
        <v>45498</v>
      </c>
    </row>
    <row r="143" spans="1:9" x14ac:dyDescent="0.15">
      <c r="A143" s="9">
        <v>142</v>
      </c>
      <c r="B143" s="10" t="s">
        <v>9</v>
      </c>
      <c r="C143" s="11" t="s">
        <v>10</v>
      </c>
      <c r="D143" s="12">
        <v>45623</v>
      </c>
      <c r="E143" s="13" t="str">
        <f>+HYPERLINK("http://trademark.i-assist.jp/data/china/image_1913th/80032629.pdf","80032629")</f>
        <v>80032629</v>
      </c>
      <c r="F143" s="11" t="s">
        <v>1583</v>
      </c>
      <c r="G143" s="11" t="s">
        <v>1584</v>
      </c>
      <c r="H143" s="11" t="s">
        <v>1302</v>
      </c>
      <c r="I143" s="12">
        <v>45499</v>
      </c>
    </row>
    <row r="144" spans="1:9" x14ac:dyDescent="0.15">
      <c r="A144" s="9">
        <v>143</v>
      </c>
      <c r="B144" s="10" t="s">
        <v>9</v>
      </c>
      <c r="C144" s="11" t="s">
        <v>10</v>
      </c>
      <c r="D144" s="12">
        <v>45623</v>
      </c>
      <c r="E144" s="13" t="str">
        <f>+HYPERLINK("http://trademark.i-assist.jp/data/china/image_1913th/80262864.pdf","80262864")</f>
        <v>80262864</v>
      </c>
      <c r="F144" s="11" t="s">
        <v>107</v>
      </c>
      <c r="G144" s="11" t="s">
        <v>1585</v>
      </c>
      <c r="H144" s="11" t="s">
        <v>1586</v>
      </c>
      <c r="I144" s="12">
        <v>45512</v>
      </c>
    </row>
    <row r="145" spans="1:9" x14ac:dyDescent="0.15">
      <c r="A145" s="9">
        <v>144</v>
      </c>
      <c r="B145" s="10" t="s">
        <v>9</v>
      </c>
      <c r="C145" s="11" t="s">
        <v>10</v>
      </c>
      <c r="D145" s="12">
        <v>45623</v>
      </c>
      <c r="E145" s="13" t="str">
        <f>+HYPERLINK("http://trademark.i-assist.jp/data/china/image_1913th/80683330.pdf","80683330")</f>
        <v>80683330</v>
      </c>
      <c r="F145" s="11" t="s">
        <v>108</v>
      </c>
      <c r="G145" s="11" t="s">
        <v>1587</v>
      </c>
      <c r="H145" s="11" t="s">
        <v>1588</v>
      </c>
      <c r="I145" s="12">
        <v>45537</v>
      </c>
    </row>
    <row r="146" spans="1:9" x14ac:dyDescent="0.15">
      <c r="A146" s="9">
        <v>145</v>
      </c>
      <c r="B146" s="10" t="s">
        <v>9</v>
      </c>
      <c r="C146" s="11" t="s">
        <v>10</v>
      </c>
      <c r="D146" s="12">
        <v>45623</v>
      </c>
      <c r="E146" s="13" t="str">
        <f>+HYPERLINK("http://trademark.i-assist.jp/data/china/image_1913th/80687597.pdf","80687597")</f>
        <v>80687597</v>
      </c>
      <c r="F146" s="11" t="s">
        <v>109</v>
      </c>
      <c r="G146" s="11" t="s">
        <v>1589</v>
      </c>
      <c r="H146" s="11" t="s">
        <v>1590</v>
      </c>
      <c r="I146" s="12">
        <v>45537</v>
      </c>
    </row>
    <row r="147" spans="1:9" x14ac:dyDescent="0.15">
      <c r="A147" s="9">
        <v>146</v>
      </c>
      <c r="B147" s="10" t="s">
        <v>9</v>
      </c>
      <c r="C147" s="11" t="s">
        <v>10</v>
      </c>
      <c r="D147" s="12">
        <v>45623</v>
      </c>
      <c r="E147" s="13" t="str">
        <f>+HYPERLINK("http://trademark.i-assist.jp/data/china/image_1913th/80689508.pdf","80689508")</f>
        <v>80689508</v>
      </c>
      <c r="F147" s="11" t="s">
        <v>1591</v>
      </c>
      <c r="G147" s="11" t="s">
        <v>110</v>
      </c>
      <c r="H147" s="11" t="s">
        <v>1592</v>
      </c>
      <c r="I147" s="12">
        <v>45537</v>
      </c>
    </row>
    <row r="148" spans="1:9" x14ac:dyDescent="0.15">
      <c r="A148" s="9">
        <v>147</v>
      </c>
      <c r="B148" s="10" t="s">
        <v>9</v>
      </c>
      <c r="C148" s="11" t="s">
        <v>10</v>
      </c>
      <c r="D148" s="12">
        <v>45623</v>
      </c>
      <c r="E148" s="13" t="str">
        <f>+HYPERLINK("http://trademark.i-assist.jp/data/china/image_1913th/80695014.pdf","80695014")</f>
        <v>80695014</v>
      </c>
      <c r="F148" s="11" t="s">
        <v>111</v>
      </c>
      <c r="G148" s="11" t="s">
        <v>1593</v>
      </c>
      <c r="H148" s="11" t="s">
        <v>1567</v>
      </c>
      <c r="I148" s="12">
        <v>45537</v>
      </c>
    </row>
    <row r="149" spans="1:9" x14ac:dyDescent="0.15">
      <c r="A149" s="9">
        <v>148</v>
      </c>
      <c r="B149" s="10" t="s">
        <v>9</v>
      </c>
      <c r="C149" s="11" t="s">
        <v>10</v>
      </c>
      <c r="D149" s="12">
        <v>45623</v>
      </c>
      <c r="E149" s="13" t="str">
        <f>+HYPERLINK("http://trademark.i-assist.jp/data/china/image_1913th/80649100.pdf","80649100")</f>
        <v>80649100</v>
      </c>
      <c r="F149" s="11" t="s">
        <v>112</v>
      </c>
      <c r="G149" s="11" t="s">
        <v>1594</v>
      </c>
      <c r="H149" s="11" t="s">
        <v>1595</v>
      </c>
      <c r="I149" s="12">
        <v>45534</v>
      </c>
    </row>
    <row r="150" spans="1:9" x14ac:dyDescent="0.15">
      <c r="A150" s="9">
        <v>149</v>
      </c>
      <c r="B150" s="10" t="s">
        <v>9</v>
      </c>
      <c r="C150" s="11" t="s">
        <v>10</v>
      </c>
      <c r="D150" s="12">
        <v>45623</v>
      </c>
      <c r="E150" s="13" t="str">
        <f>+HYPERLINK("http://trademark.i-assist.jp/data/china/image_1913th/80649281.pdf","80649281")</f>
        <v>80649281</v>
      </c>
      <c r="F150" s="11" t="s">
        <v>113</v>
      </c>
      <c r="G150" s="11" t="s">
        <v>1596</v>
      </c>
      <c r="H150" s="11" t="s">
        <v>1597</v>
      </c>
      <c r="I150" s="12">
        <v>45534</v>
      </c>
    </row>
    <row r="151" spans="1:9" x14ac:dyDescent="0.15">
      <c r="A151" s="9">
        <v>150</v>
      </c>
      <c r="B151" s="10" t="s">
        <v>9</v>
      </c>
      <c r="C151" s="11" t="s">
        <v>10</v>
      </c>
      <c r="D151" s="12">
        <v>45623</v>
      </c>
      <c r="E151" s="13" t="str">
        <f>+HYPERLINK("http://trademark.i-assist.jp/data/china/image_1913th/80664100.pdf","80664100")</f>
        <v>80664100</v>
      </c>
      <c r="F151" s="11" t="s">
        <v>114</v>
      </c>
      <c r="G151" s="11" t="s">
        <v>1598</v>
      </c>
      <c r="H151" s="11" t="s">
        <v>1599</v>
      </c>
      <c r="I151" s="12">
        <v>45534</v>
      </c>
    </row>
    <row r="152" spans="1:9" x14ac:dyDescent="0.15">
      <c r="A152" s="9">
        <v>151</v>
      </c>
      <c r="B152" s="10" t="s">
        <v>9</v>
      </c>
      <c r="C152" s="11" t="s">
        <v>10</v>
      </c>
      <c r="D152" s="12">
        <v>45623</v>
      </c>
      <c r="E152" s="13" t="str">
        <f>+HYPERLINK("http://trademark.i-assist.jp/data/china/image_1913th/80664390.pdf","80664390")</f>
        <v>80664390</v>
      </c>
      <c r="F152" s="11" t="s">
        <v>1600</v>
      </c>
      <c r="G152" s="11" t="s">
        <v>1601</v>
      </c>
      <c r="H152" s="11" t="s">
        <v>1602</v>
      </c>
      <c r="I152" s="12">
        <v>45534</v>
      </c>
    </row>
    <row r="153" spans="1:9" x14ac:dyDescent="0.15">
      <c r="A153" s="9">
        <v>152</v>
      </c>
      <c r="B153" s="10" t="s">
        <v>9</v>
      </c>
      <c r="C153" s="11" t="s">
        <v>10</v>
      </c>
      <c r="D153" s="12">
        <v>45623</v>
      </c>
      <c r="E153" s="13" t="str">
        <f>+HYPERLINK("http://trademark.i-assist.jp/data/china/image_1913th/80669843.pdf","80669843")</f>
        <v>80669843</v>
      </c>
      <c r="F153" s="11" t="s">
        <v>1603</v>
      </c>
      <c r="G153" s="11" t="s">
        <v>115</v>
      </c>
      <c r="H153" s="11" t="s">
        <v>1567</v>
      </c>
      <c r="I153" s="12">
        <v>45534</v>
      </c>
    </row>
    <row r="154" spans="1:9" x14ac:dyDescent="0.15">
      <c r="A154" s="9">
        <v>153</v>
      </c>
      <c r="B154" s="10" t="s">
        <v>9</v>
      </c>
      <c r="C154" s="11" t="s">
        <v>10</v>
      </c>
      <c r="D154" s="12">
        <v>45623</v>
      </c>
      <c r="E154" s="13" t="str">
        <f>+HYPERLINK("http://trademark.i-assist.jp/data/china/image_1913th/80673436.pdf","80673436")</f>
        <v>80673436</v>
      </c>
      <c r="F154" s="11" t="s">
        <v>1335</v>
      </c>
      <c r="G154" s="11" t="s">
        <v>1604</v>
      </c>
      <c r="H154" s="11" t="s">
        <v>1605</v>
      </c>
      <c r="I154" s="12">
        <v>45535</v>
      </c>
    </row>
    <row r="155" spans="1:9" x14ac:dyDescent="0.15">
      <c r="A155" s="9">
        <v>154</v>
      </c>
      <c r="B155" s="10" t="s">
        <v>9</v>
      </c>
      <c r="C155" s="11" t="s">
        <v>10</v>
      </c>
      <c r="D155" s="12">
        <v>45623</v>
      </c>
      <c r="E155" s="13" t="str">
        <f>+HYPERLINK("http://trademark.i-assist.jp/data/china/image_1913th/80682545.pdf","80682545")</f>
        <v>80682545</v>
      </c>
      <c r="F155" s="11" t="s">
        <v>1606</v>
      </c>
      <c r="G155" s="11" t="s">
        <v>1397</v>
      </c>
      <c r="H155" s="11" t="s">
        <v>1398</v>
      </c>
      <c r="I155" s="12">
        <v>45537</v>
      </c>
    </row>
    <row r="156" spans="1:9" x14ac:dyDescent="0.15">
      <c r="A156" s="9">
        <v>155</v>
      </c>
      <c r="B156" s="10" t="s">
        <v>9</v>
      </c>
      <c r="C156" s="11" t="s">
        <v>10</v>
      </c>
      <c r="D156" s="12">
        <v>45623</v>
      </c>
      <c r="E156" s="13" t="str">
        <f>+HYPERLINK("http://trademark.i-assist.jp/data/china/image_1913th/80605983.pdf","80605983")</f>
        <v>80605983</v>
      </c>
      <c r="F156" s="11" t="s">
        <v>116</v>
      </c>
      <c r="G156" s="11" t="s">
        <v>1607</v>
      </c>
      <c r="H156" s="11" t="s">
        <v>1430</v>
      </c>
      <c r="I156" s="12">
        <v>45532</v>
      </c>
    </row>
    <row r="157" spans="1:9" x14ac:dyDescent="0.15">
      <c r="A157" s="9">
        <v>156</v>
      </c>
      <c r="B157" s="10" t="s">
        <v>9</v>
      </c>
      <c r="C157" s="11" t="s">
        <v>10</v>
      </c>
      <c r="D157" s="12">
        <v>45623</v>
      </c>
      <c r="E157" s="13" t="str">
        <f>+HYPERLINK("http://trademark.i-assist.jp/data/china/image_1913th/80608066.pdf","80608066")</f>
        <v>80608066</v>
      </c>
      <c r="F157" s="11" t="s">
        <v>1608</v>
      </c>
      <c r="G157" s="11" t="s">
        <v>1609</v>
      </c>
      <c r="H157" s="11" t="s">
        <v>1610</v>
      </c>
      <c r="I157" s="12">
        <v>45532</v>
      </c>
    </row>
    <row r="158" spans="1:9" x14ac:dyDescent="0.15">
      <c r="A158" s="9">
        <v>157</v>
      </c>
      <c r="B158" s="10" t="s">
        <v>9</v>
      </c>
      <c r="C158" s="11" t="s">
        <v>10</v>
      </c>
      <c r="D158" s="12">
        <v>45623</v>
      </c>
      <c r="E158" s="13" t="str">
        <f>+HYPERLINK("http://trademark.i-assist.jp/data/china/image_1913th/80611178.pdf","80611178")</f>
        <v>80611178</v>
      </c>
      <c r="F158" s="11" t="s">
        <v>117</v>
      </c>
      <c r="G158" s="11" t="s">
        <v>1611</v>
      </c>
      <c r="H158" s="11" t="s">
        <v>1612</v>
      </c>
      <c r="I158" s="12">
        <v>45532</v>
      </c>
    </row>
    <row r="159" spans="1:9" x14ac:dyDescent="0.15">
      <c r="A159" s="9">
        <v>158</v>
      </c>
      <c r="B159" s="10" t="s">
        <v>9</v>
      </c>
      <c r="C159" s="11" t="s">
        <v>10</v>
      </c>
      <c r="D159" s="12">
        <v>45623</v>
      </c>
      <c r="E159" s="13" t="str">
        <f>+HYPERLINK("http://trademark.i-assist.jp/data/china/image_1913th/80612887.pdf","80612887")</f>
        <v>80612887</v>
      </c>
      <c r="F159" s="11" t="s">
        <v>1613</v>
      </c>
      <c r="G159" s="11" t="s">
        <v>1566</v>
      </c>
      <c r="H159" s="11" t="s">
        <v>1567</v>
      </c>
      <c r="I159" s="12">
        <v>45532</v>
      </c>
    </row>
    <row r="160" spans="1:9" x14ac:dyDescent="0.15">
      <c r="A160" s="9">
        <v>159</v>
      </c>
      <c r="B160" s="10" t="s">
        <v>9</v>
      </c>
      <c r="C160" s="11" t="s">
        <v>10</v>
      </c>
      <c r="D160" s="12">
        <v>45623</v>
      </c>
      <c r="E160" s="13" t="str">
        <f>+HYPERLINK("http://trademark.i-assist.jp/data/china/image_1913th/80613234.pdf","80613234")</f>
        <v>80613234</v>
      </c>
      <c r="F160" s="11" t="s">
        <v>1614</v>
      </c>
      <c r="G160" s="11" t="s">
        <v>1615</v>
      </c>
      <c r="H160" s="11" t="s">
        <v>1616</v>
      </c>
      <c r="I160" s="12">
        <v>45532</v>
      </c>
    </row>
    <row r="161" spans="1:9" x14ac:dyDescent="0.15">
      <c r="A161" s="9">
        <v>160</v>
      </c>
      <c r="B161" s="10" t="s">
        <v>9</v>
      </c>
      <c r="C161" s="11" t="s">
        <v>10</v>
      </c>
      <c r="D161" s="12">
        <v>45623</v>
      </c>
      <c r="E161" s="13" t="str">
        <f>+HYPERLINK("http://trademark.i-assist.jp/data/china/image_1913th/80622285.pdf","80622285")</f>
        <v>80622285</v>
      </c>
      <c r="F161" s="11" t="s">
        <v>1617</v>
      </c>
      <c r="G161" s="11" t="s">
        <v>118</v>
      </c>
      <c r="H161" s="11" t="s">
        <v>1618</v>
      </c>
      <c r="I161" s="12">
        <v>45532</v>
      </c>
    </row>
    <row r="162" spans="1:9" x14ac:dyDescent="0.15">
      <c r="A162" s="9">
        <v>161</v>
      </c>
      <c r="B162" s="10" t="s">
        <v>9</v>
      </c>
      <c r="C162" s="11" t="s">
        <v>10</v>
      </c>
      <c r="D162" s="12">
        <v>45623</v>
      </c>
      <c r="E162" s="13" t="str">
        <f>+HYPERLINK("http://trademark.i-assist.jp/data/china/image_1913th/80627070.pdf","80627070")</f>
        <v>80627070</v>
      </c>
      <c r="F162" s="11" t="s">
        <v>120</v>
      </c>
      <c r="G162" s="11" t="s">
        <v>119</v>
      </c>
      <c r="H162" s="11" t="s">
        <v>1619</v>
      </c>
      <c r="I162" s="12">
        <v>45533</v>
      </c>
    </row>
    <row r="163" spans="1:9" x14ac:dyDescent="0.15">
      <c r="A163" s="9">
        <v>162</v>
      </c>
      <c r="B163" s="10" t="s">
        <v>9</v>
      </c>
      <c r="C163" s="11" t="s">
        <v>10</v>
      </c>
      <c r="D163" s="12">
        <v>45623</v>
      </c>
      <c r="E163" s="13" t="str">
        <f>+HYPERLINK("http://trademark.i-assist.jp/data/china/image_1913th/80628058.pdf","80628058")</f>
        <v>80628058</v>
      </c>
      <c r="F163" s="11" t="s">
        <v>1620</v>
      </c>
      <c r="G163" s="11" t="s">
        <v>1621</v>
      </c>
      <c r="H163" s="11" t="s">
        <v>1622</v>
      </c>
      <c r="I163" s="12">
        <v>45533</v>
      </c>
    </row>
    <row r="164" spans="1:9" x14ac:dyDescent="0.15">
      <c r="A164" s="9">
        <v>163</v>
      </c>
      <c r="B164" s="10" t="s">
        <v>9</v>
      </c>
      <c r="C164" s="11" t="s">
        <v>10</v>
      </c>
      <c r="D164" s="12">
        <v>45623</v>
      </c>
      <c r="E164" s="13" t="str">
        <f>+HYPERLINK("http://trademark.i-assist.jp/data/china/image_1913th/80639045.pdf","80639045")</f>
        <v>80639045</v>
      </c>
      <c r="F164" s="11" t="s">
        <v>121</v>
      </c>
      <c r="G164" s="11" t="s">
        <v>1623</v>
      </c>
      <c r="H164" s="11" t="s">
        <v>1624</v>
      </c>
      <c r="I164" s="12">
        <v>45533</v>
      </c>
    </row>
    <row r="165" spans="1:9" x14ac:dyDescent="0.15">
      <c r="A165" s="9">
        <v>164</v>
      </c>
      <c r="B165" s="10" t="s">
        <v>9</v>
      </c>
      <c r="C165" s="11" t="s">
        <v>10</v>
      </c>
      <c r="D165" s="12">
        <v>45623</v>
      </c>
      <c r="E165" s="13" t="str">
        <f>+HYPERLINK("http://trademark.i-assist.jp/data/china/image_1913th/80641969.pdf","80641969")</f>
        <v>80641969</v>
      </c>
      <c r="F165" s="11" t="s">
        <v>122</v>
      </c>
      <c r="G165" s="11" t="s">
        <v>1625</v>
      </c>
      <c r="H165" s="11" t="s">
        <v>1626</v>
      </c>
      <c r="I165" s="12">
        <v>45533</v>
      </c>
    </row>
    <row r="166" spans="1:9" x14ac:dyDescent="0.15">
      <c r="A166" s="9">
        <v>165</v>
      </c>
      <c r="B166" s="10" t="s">
        <v>9</v>
      </c>
      <c r="C166" s="11" t="s">
        <v>10</v>
      </c>
      <c r="D166" s="12">
        <v>45623</v>
      </c>
      <c r="E166" s="13" t="str">
        <f>+HYPERLINK("http://trademark.i-assist.jp/data/china/image_1913th/80644999.pdf","80644999")</f>
        <v>80644999</v>
      </c>
      <c r="F166" s="11" t="s">
        <v>124</v>
      </c>
      <c r="G166" s="11" t="s">
        <v>123</v>
      </c>
      <c r="H166" s="11" t="s">
        <v>1627</v>
      </c>
      <c r="I166" s="12">
        <v>45533</v>
      </c>
    </row>
    <row r="167" spans="1:9" x14ac:dyDescent="0.15">
      <c r="A167" s="9">
        <v>166</v>
      </c>
      <c r="B167" s="10" t="s">
        <v>9</v>
      </c>
      <c r="C167" s="11" t="s">
        <v>10</v>
      </c>
      <c r="D167" s="12">
        <v>45623</v>
      </c>
      <c r="E167" s="13" t="str">
        <f>+HYPERLINK("http://trademark.i-assist.jp/data/china/image_1913th/80755868.pdf","80755868")</f>
        <v>80755868</v>
      </c>
      <c r="F167" s="11" t="s">
        <v>125</v>
      </c>
      <c r="G167" s="11" t="s">
        <v>1628</v>
      </c>
      <c r="H167" s="11" t="s">
        <v>1629</v>
      </c>
      <c r="I167" s="12">
        <v>45540</v>
      </c>
    </row>
    <row r="168" spans="1:9" x14ac:dyDescent="0.15">
      <c r="A168" s="9">
        <v>167</v>
      </c>
      <c r="B168" s="10" t="s">
        <v>9</v>
      </c>
      <c r="C168" s="11" t="s">
        <v>10</v>
      </c>
      <c r="D168" s="12">
        <v>45623</v>
      </c>
      <c r="E168" s="13" t="str">
        <f>+HYPERLINK("http://trademark.i-assist.jp/data/china/image_1913th/80760387.pdf","80760387")</f>
        <v>80760387</v>
      </c>
      <c r="F168" s="11" t="s">
        <v>1630</v>
      </c>
      <c r="G168" s="11" t="s">
        <v>126</v>
      </c>
      <c r="H168" s="11" t="s">
        <v>1631</v>
      </c>
      <c r="I168" s="12">
        <v>45540</v>
      </c>
    </row>
    <row r="169" spans="1:9" x14ac:dyDescent="0.15">
      <c r="A169" s="9">
        <v>168</v>
      </c>
      <c r="B169" s="10" t="s">
        <v>9</v>
      </c>
      <c r="C169" s="11" t="s">
        <v>10</v>
      </c>
      <c r="D169" s="12">
        <v>45623</v>
      </c>
      <c r="E169" s="13" t="str">
        <f>+HYPERLINK("http://trademark.i-assist.jp/data/china/image_1913th/80910820.pdf","80910820")</f>
        <v>80910820</v>
      </c>
      <c r="F169" s="11" t="s">
        <v>128</v>
      </c>
      <c r="G169" s="11" t="s">
        <v>127</v>
      </c>
      <c r="H169" s="11" t="s">
        <v>1376</v>
      </c>
      <c r="I169" s="12">
        <v>45548</v>
      </c>
    </row>
    <row r="170" spans="1:9" x14ac:dyDescent="0.15">
      <c r="A170" s="9">
        <v>169</v>
      </c>
      <c r="B170" s="10" t="s">
        <v>9</v>
      </c>
      <c r="C170" s="11" t="s">
        <v>10</v>
      </c>
      <c r="D170" s="12">
        <v>45623</v>
      </c>
      <c r="E170" s="13" t="str">
        <f>+HYPERLINK("http://trademark.i-assist.jp/data/china/image_1913th/80912375.pdf","80912375")</f>
        <v>80912375</v>
      </c>
      <c r="F170" s="11" t="s">
        <v>1632</v>
      </c>
      <c r="G170" s="11" t="s">
        <v>129</v>
      </c>
      <c r="H170" s="11" t="s">
        <v>1376</v>
      </c>
      <c r="I170" s="12">
        <v>45548</v>
      </c>
    </row>
    <row r="171" spans="1:9" x14ac:dyDescent="0.15">
      <c r="A171" s="9">
        <v>170</v>
      </c>
      <c r="B171" s="10" t="s">
        <v>9</v>
      </c>
      <c r="C171" s="11" t="s">
        <v>10</v>
      </c>
      <c r="D171" s="12">
        <v>45623</v>
      </c>
      <c r="E171" s="13" t="str">
        <f>+HYPERLINK("http://trademark.i-assist.jp/data/china/image_1913th/80912476.pdf","80912476")</f>
        <v>80912476</v>
      </c>
      <c r="F171" s="11" t="s">
        <v>1633</v>
      </c>
      <c r="G171" s="11" t="s">
        <v>1634</v>
      </c>
      <c r="H171" s="11" t="s">
        <v>1635</v>
      </c>
      <c r="I171" s="12">
        <v>45548</v>
      </c>
    </row>
    <row r="172" spans="1:9" x14ac:dyDescent="0.15">
      <c r="A172" s="9">
        <v>171</v>
      </c>
      <c r="B172" s="10" t="s">
        <v>9</v>
      </c>
      <c r="C172" s="11" t="s">
        <v>10</v>
      </c>
      <c r="D172" s="12">
        <v>45623</v>
      </c>
      <c r="E172" s="13" t="str">
        <f>+HYPERLINK("http://trademark.i-assist.jp/data/china/image_1913th/80732908.pdf","80732908")</f>
        <v>80732908</v>
      </c>
      <c r="F172" s="11" t="s">
        <v>130</v>
      </c>
      <c r="G172" s="11" t="s">
        <v>1636</v>
      </c>
      <c r="H172" s="11" t="s">
        <v>1637</v>
      </c>
      <c r="I172" s="12">
        <v>45539</v>
      </c>
    </row>
    <row r="173" spans="1:9" x14ac:dyDescent="0.15">
      <c r="A173" s="9">
        <v>172</v>
      </c>
      <c r="B173" s="10" t="s">
        <v>9</v>
      </c>
      <c r="C173" s="11" t="s">
        <v>10</v>
      </c>
      <c r="D173" s="12">
        <v>45623</v>
      </c>
      <c r="E173" s="13" t="str">
        <f>+HYPERLINK("http://trademark.i-assist.jp/data/china/image_1913th/80732992.pdf","80732992")</f>
        <v>80732992</v>
      </c>
      <c r="F173" s="11" t="s">
        <v>1335</v>
      </c>
      <c r="G173" s="11" t="s">
        <v>1638</v>
      </c>
      <c r="H173" s="11" t="s">
        <v>1275</v>
      </c>
      <c r="I173" s="12">
        <v>45539</v>
      </c>
    </row>
    <row r="174" spans="1:9" x14ac:dyDescent="0.15">
      <c r="A174" s="9">
        <v>173</v>
      </c>
      <c r="B174" s="10" t="s">
        <v>9</v>
      </c>
      <c r="C174" s="11" t="s">
        <v>10</v>
      </c>
      <c r="D174" s="12">
        <v>45623</v>
      </c>
      <c r="E174" s="13" t="str">
        <f>+HYPERLINK("http://trademark.i-assist.jp/data/china/image_1913th/80733777.pdf","80733777")</f>
        <v>80733777</v>
      </c>
      <c r="F174" s="11" t="s">
        <v>131</v>
      </c>
      <c r="G174" s="11" t="s">
        <v>1639</v>
      </c>
      <c r="H174" s="11" t="s">
        <v>1497</v>
      </c>
      <c r="I174" s="12">
        <v>45539</v>
      </c>
    </row>
    <row r="175" spans="1:9" x14ac:dyDescent="0.15">
      <c r="A175" s="9">
        <v>174</v>
      </c>
      <c r="B175" s="10" t="s">
        <v>9</v>
      </c>
      <c r="C175" s="11" t="s">
        <v>10</v>
      </c>
      <c r="D175" s="12">
        <v>45623</v>
      </c>
      <c r="E175" s="13" t="str">
        <f>+HYPERLINK("http://trademark.i-assist.jp/data/china/image_1913th/80734462.pdf","80734462")</f>
        <v>80734462</v>
      </c>
      <c r="F175" s="11" t="s">
        <v>133</v>
      </c>
      <c r="G175" s="11" t="s">
        <v>132</v>
      </c>
      <c r="H175" s="11" t="s">
        <v>1640</v>
      </c>
      <c r="I175" s="12">
        <v>45539</v>
      </c>
    </row>
    <row r="176" spans="1:9" x14ac:dyDescent="0.15">
      <c r="A176" s="9">
        <v>175</v>
      </c>
      <c r="B176" s="10" t="s">
        <v>9</v>
      </c>
      <c r="C176" s="11" t="s">
        <v>10</v>
      </c>
      <c r="D176" s="12">
        <v>45623</v>
      </c>
      <c r="E176" s="13" t="str">
        <f>+HYPERLINK("http://trademark.i-assist.jp/data/china/image_1913th/80739033.pdf","80739033")</f>
        <v>80739033</v>
      </c>
      <c r="F176" s="11" t="s">
        <v>134</v>
      </c>
      <c r="G176" s="11" t="s">
        <v>1641</v>
      </c>
      <c r="H176" s="11" t="s">
        <v>1642</v>
      </c>
      <c r="I176" s="12">
        <v>45539</v>
      </c>
    </row>
    <row r="177" spans="1:9" x14ac:dyDescent="0.15">
      <c r="A177" s="9">
        <v>176</v>
      </c>
      <c r="B177" s="10" t="s">
        <v>9</v>
      </c>
      <c r="C177" s="11" t="s">
        <v>10</v>
      </c>
      <c r="D177" s="12">
        <v>45623</v>
      </c>
      <c r="E177" s="13" t="str">
        <f>+HYPERLINK("http://trademark.i-assist.jp/data/china/image_1913th/80744753.pdf","80744753")</f>
        <v>80744753</v>
      </c>
      <c r="F177" s="11" t="s">
        <v>1643</v>
      </c>
      <c r="G177" s="11" t="s">
        <v>1644</v>
      </c>
      <c r="H177" s="11" t="s">
        <v>1645</v>
      </c>
      <c r="I177" s="12">
        <v>45539</v>
      </c>
    </row>
    <row r="178" spans="1:9" x14ac:dyDescent="0.15">
      <c r="A178" s="9">
        <v>177</v>
      </c>
      <c r="B178" s="10" t="s">
        <v>9</v>
      </c>
      <c r="C178" s="11" t="s">
        <v>10</v>
      </c>
      <c r="D178" s="12">
        <v>45623</v>
      </c>
      <c r="E178" s="13" t="str">
        <f>+HYPERLINK("http://trademark.i-assist.jp/data/china/image_1913th/80745490.pdf","80745490")</f>
        <v>80745490</v>
      </c>
      <c r="F178" s="11" t="s">
        <v>135</v>
      </c>
      <c r="G178" s="11" t="s">
        <v>1646</v>
      </c>
      <c r="H178" s="11" t="s">
        <v>1647</v>
      </c>
      <c r="I178" s="12">
        <v>45539</v>
      </c>
    </row>
    <row r="179" spans="1:9" x14ac:dyDescent="0.15">
      <c r="A179" s="9">
        <v>178</v>
      </c>
      <c r="B179" s="10" t="s">
        <v>9</v>
      </c>
      <c r="C179" s="11" t="s">
        <v>10</v>
      </c>
      <c r="D179" s="12">
        <v>45623</v>
      </c>
      <c r="E179" s="13" t="str">
        <f>+HYPERLINK("http://trademark.i-assist.jp/data/china/image_1913th/80827587.pdf","80827587")</f>
        <v>80827587</v>
      </c>
      <c r="F179" s="11" t="s">
        <v>136</v>
      </c>
      <c r="G179" s="11" t="s">
        <v>1648</v>
      </c>
      <c r="H179" s="11" t="s">
        <v>1276</v>
      </c>
      <c r="I179" s="12">
        <v>45544</v>
      </c>
    </row>
    <row r="180" spans="1:9" x14ac:dyDescent="0.15">
      <c r="A180" s="9">
        <v>179</v>
      </c>
      <c r="B180" s="10" t="s">
        <v>9</v>
      </c>
      <c r="C180" s="11" t="s">
        <v>10</v>
      </c>
      <c r="D180" s="12">
        <v>45623</v>
      </c>
      <c r="E180" s="13" t="str">
        <f>+HYPERLINK("http://trademark.i-assist.jp/data/china/image_1913th/80833065.pdf","80833065")</f>
        <v>80833065</v>
      </c>
      <c r="F180" s="11" t="s">
        <v>137</v>
      </c>
      <c r="G180" s="11" t="s">
        <v>1649</v>
      </c>
      <c r="H180" s="11" t="s">
        <v>1650</v>
      </c>
      <c r="I180" s="12">
        <v>45544</v>
      </c>
    </row>
    <row r="181" spans="1:9" x14ac:dyDescent="0.15">
      <c r="A181" s="9">
        <v>180</v>
      </c>
      <c r="B181" s="10" t="s">
        <v>9</v>
      </c>
      <c r="C181" s="11" t="s">
        <v>10</v>
      </c>
      <c r="D181" s="12">
        <v>45623</v>
      </c>
      <c r="E181" s="13" t="str">
        <f>+HYPERLINK("http://trademark.i-assist.jp/data/china/image_1913th/80864294.pdf","80864294")</f>
        <v>80864294</v>
      </c>
      <c r="F181" s="11" t="s">
        <v>138</v>
      </c>
      <c r="G181" s="11" t="s">
        <v>1651</v>
      </c>
      <c r="H181" s="11" t="s">
        <v>1652</v>
      </c>
      <c r="I181" s="12">
        <v>45546</v>
      </c>
    </row>
    <row r="182" spans="1:9" x14ac:dyDescent="0.15">
      <c r="A182" s="9">
        <v>181</v>
      </c>
      <c r="B182" s="10" t="s">
        <v>9</v>
      </c>
      <c r="C182" s="11" t="s">
        <v>10</v>
      </c>
      <c r="D182" s="12">
        <v>45623</v>
      </c>
      <c r="E182" s="13" t="str">
        <f>+HYPERLINK("http://trademark.i-assist.jp/data/china/image_1913th/80876975.pdf","80876975")</f>
        <v>80876975</v>
      </c>
      <c r="F182" s="11" t="s">
        <v>1653</v>
      </c>
      <c r="G182" s="11" t="s">
        <v>1654</v>
      </c>
      <c r="H182" s="11" t="s">
        <v>1655</v>
      </c>
      <c r="I182" s="12">
        <v>45547</v>
      </c>
    </row>
    <row r="183" spans="1:9" x14ac:dyDescent="0.15">
      <c r="A183" s="9">
        <v>182</v>
      </c>
      <c r="B183" s="10" t="s">
        <v>9</v>
      </c>
      <c r="C183" s="11" t="s">
        <v>10</v>
      </c>
      <c r="D183" s="12">
        <v>45623</v>
      </c>
      <c r="E183" s="13" t="str">
        <f>+HYPERLINK("http://trademark.i-assist.jp/data/china/image_1913th/80877065.pdf","80877065")</f>
        <v>80877065</v>
      </c>
      <c r="F183" s="11" t="s">
        <v>139</v>
      </c>
      <c r="G183" s="11" t="s">
        <v>1656</v>
      </c>
      <c r="H183" s="11" t="s">
        <v>1657</v>
      </c>
      <c r="I183" s="12">
        <v>45547</v>
      </c>
    </row>
    <row r="184" spans="1:9" x14ac:dyDescent="0.15">
      <c r="A184" s="9">
        <v>183</v>
      </c>
      <c r="B184" s="10" t="s">
        <v>9</v>
      </c>
      <c r="C184" s="11" t="s">
        <v>10</v>
      </c>
      <c r="D184" s="12">
        <v>45623</v>
      </c>
      <c r="E184" s="13" t="str">
        <f>+HYPERLINK("http://trademark.i-assist.jp/data/china/image_1913th/80878573.pdf","80878573")</f>
        <v>80878573</v>
      </c>
      <c r="F184" s="11" t="s">
        <v>141</v>
      </c>
      <c r="G184" s="11" t="s">
        <v>140</v>
      </c>
      <c r="H184" s="11" t="s">
        <v>1658</v>
      </c>
      <c r="I184" s="12">
        <v>45547</v>
      </c>
    </row>
    <row r="185" spans="1:9" x14ac:dyDescent="0.15">
      <c r="A185" s="9">
        <v>184</v>
      </c>
      <c r="B185" s="10" t="s">
        <v>9</v>
      </c>
      <c r="C185" s="11" t="s">
        <v>10</v>
      </c>
      <c r="D185" s="12">
        <v>45623</v>
      </c>
      <c r="E185" s="13" t="str">
        <f>+HYPERLINK("http://trademark.i-assist.jp/data/china/image_1913th/80707815.pdf","80707815")</f>
        <v>80707815</v>
      </c>
      <c r="F185" s="11" t="s">
        <v>142</v>
      </c>
      <c r="G185" s="11" t="s">
        <v>1659</v>
      </c>
      <c r="H185" s="11" t="s">
        <v>1660</v>
      </c>
      <c r="I185" s="12">
        <v>45538</v>
      </c>
    </row>
    <row r="186" spans="1:9" x14ac:dyDescent="0.15">
      <c r="A186" s="9">
        <v>185</v>
      </c>
      <c r="B186" s="10" t="s">
        <v>9</v>
      </c>
      <c r="C186" s="11" t="s">
        <v>10</v>
      </c>
      <c r="D186" s="12">
        <v>45623</v>
      </c>
      <c r="E186" s="13" t="str">
        <f>+HYPERLINK("http://trademark.i-assist.jp/data/china/image_1913th/80711100.pdf","80711100")</f>
        <v>80711100</v>
      </c>
      <c r="F186" s="11" t="s">
        <v>143</v>
      </c>
      <c r="G186" s="11" t="s">
        <v>1661</v>
      </c>
      <c r="H186" s="11" t="s">
        <v>1662</v>
      </c>
      <c r="I186" s="12">
        <v>45538</v>
      </c>
    </row>
    <row r="187" spans="1:9" x14ac:dyDescent="0.15">
      <c r="A187" s="9">
        <v>186</v>
      </c>
      <c r="B187" s="10" t="s">
        <v>9</v>
      </c>
      <c r="C187" s="11" t="s">
        <v>10</v>
      </c>
      <c r="D187" s="12">
        <v>45623</v>
      </c>
      <c r="E187" s="13" t="str">
        <f>+HYPERLINK("http://trademark.i-assist.jp/data/china/image_1913th/80714085.pdf","80714085")</f>
        <v>80714085</v>
      </c>
      <c r="F187" s="11" t="s">
        <v>144</v>
      </c>
      <c r="G187" s="11" t="s">
        <v>1663</v>
      </c>
      <c r="H187" s="11" t="s">
        <v>1664</v>
      </c>
      <c r="I187" s="12">
        <v>45538</v>
      </c>
    </row>
    <row r="188" spans="1:9" x14ac:dyDescent="0.15">
      <c r="A188" s="9">
        <v>187</v>
      </c>
      <c r="B188" s="10" t="s">
        <v>9</v>
      </c>
      <c r="C188" s="11" t="s">
        <v>10</v>
      </c>
      <c r="D188" s="12">
        <v>45623</v>
      </c>
      <c r="E188" s="13" t="str">
        <f>+HYPERLINK("http://trademark.i-assist.jp/data/china/image_1913th/80717215.pdf","80717215")</f>
        <v>80717215</v>
      </c>
      <c r="F188" s="11" t="s">
        <v>1665</v>
      </c>
      <c r="G188" s="11" t="s">
        <v>145</v>
      </c>
      <c r="H188" s="11" t="s">
        <v>1666</v>
      </c>
      <c r="I188" s="12">
        <v>45538</v>
      </c>
    </row>
    <row r="189" spans="1:9" x14ac:dyDescent="0.15">
      <c r="A189" s="9">
        <v>188</v>
      </c>
      <c r="B189" s="10" t="s">
        <v>9</v>
      </c>
      <c r="C189" s="11" t="s">
        <v>10</v>
      </c>
      <c r="D189" s="12">
        <v>45623</v>
      </c>
      <c r="E189" s="13" t="str">
        <f>+HYPERLINK("http://trademark.i-assist.jp/data/china/image_1913th/80722266.pdf","80722266")</f>
        <v>80722266</v>
      </c>
      <c r="F189" s="11" t="s">
        <v>1335</v>
      </c>
      <c r="G189" s="11" t="s">
        <v>1667</v>
      </c>
      <c r="H189" s="11" t="s">
        <v>1668</v>
      </c>
      <c r="I189" s="12">
        <v>45538</v>
      </c>
    </row>
    <row r="190" spans="1:9" x14ac:dyDescent="0.15">
      <c r="A190" s="9">
        <v>189</v>
      </c>
      <c r="B190" s="10" t="s">
        <v>9</v>
      </c>
      <c r="C190" s="11" t="s">
        <v>10</v>
      </c>
      <c r="D190" s="12">
        <v>45623</v>
      </c>
      <c r="E190" s="13" t="str">
        <f>+HYPERLINK("http://trademark.i-assist.jp/data/china/image_1913th/80722491.pdf","80722491")</f>
        <v>80722491</v>
      </c>
      <c r="F190" s="11" t="s">
        <v>146</v>
      </c>
      <c r="G190" s="11" t="s">
        <v>1669</v>
      </c>
      <c r="H190" s="11" t="s">
        <v>1670</v>
      </c>
      <c r="I190" s="12">
        <v>45538</v>
      </c>
    </row>
    <row r="191" spans="1:9" x14ac:dyDescent="0.15">
      <c r="A191" s="9">
        <v>190</v>
      </c>
      <c r="B191" s="10" t="s">
        <v>9</v>
      </c>
      <c r="C191" s="11" t="s">
        <v>10</v>
      </c>
      <c r="D191" s="12">
        <v>45623</v>
      </c>
      <c r="E191" s="13" t="str">
        <f>+HYPERLINK("http://trademark.i-assist.jp/data/china/image_1913th/80726818.pdf","80726818")</f>
        <v>80726818</v>
      </c>
      <c r="F191" s="11" t="s">
        <v>147</v>
      </c>
      <c r="G191" s="11" t="s">
        <v>1671</v>
      </c>
      <c r="H191" s="11" t="s">
        <v>1423</v>
      </c>
      <c r="I191" s="12">
        <v>45538</v>
      </c>
    </row>
    <row r="192" spans="1:9" x14ac:dyDescent="0.15">
      <c r="A192" s="9">
        <v>191</v>
      </c>
      <c r="B192" s="10" t="s">
        <v>9</v>
      </c>
      <c r="C192" s="11" t="s">
        <v>10</v>
      </c>
      <c r="D192" s="12">
        <v>45623</v>
      </c>
      <c r="E192" s="13" t="str">
        <f>+HYPERLINK("http://trademark.i-assist.jp/data/china/image_1913th/79090783.pdf","79090783")</f>
        <v>79090783</v>
      </c>
      <c r="F192" s="11" t="s">
        <v>1335</v>
      </c>
      <c r="G192" s="11" t="s">
        <v>1672</v>
      </c>
      <c r="H192" s="11" t="s">
        <v>1673</v>
      </c>
      <c r="I192" s="12">
        <v>45450</v>
      </c>
    </row>
    <row r="193" spans="1:9" x14ac:dyDescent="0.15">
      <c r="A193" s="9">
        <v>192</v>
      </c>
      <c r="B193" s="10" t="s">
        <v>9</v>
      </c>
      <c r="C193" s="11" t="s">
        <v>10</v>
      </c>
      <c r="D193" s="12">
        <v>45623</v>
      </c>
      <c r="E193" s="13" t="str">
        <f>+HYPERLINK("http://trademark.i-assist.jp/data/china/image_1913th/79096976.pdf","79096976")</f>
        <v>79096976</v>
      </c>
      <c r="F193" s="11" t="s">
        <v>1674</v>
      </c>
      <c r="G193" s="11" t="s">
        <v>1675</v>
      </c>
      <c r="H193" s="11" t="s">
        <v>1277</v>
      </c>
      <c r="I193" s="12">
        <v>45450</v>
      </c>
    </row>
    <row r="194" spans="1:9" x14ac:dyDescent="0.15">
      <c r="A194" s="9">
        <v>193</v>
      </c>
      <c r="B194" s="10" t="s">
        <v>9</v>
      </c>
      <c r="C194" s="11" t="s">
        <v>10</v>
      </c>
      <c r="D194" s="12">
        <v>45623</v>
      </c>
      <c r="E194" s="13" t="str">
        <f>+HYPERLINK("http://trademark.i-assist.jp/data/china/image_1913th/76417743.pdf","76417743")</f>
        <v>76417743</v>
      </c>
      <c r="F194" s="11" t="s">
        <v>148</v>
      </c>
      <c r="G194" s="11" t="s">
        <v>1676</v>
      </c>
      <c r="H194" s="11" t="s">
        <v>1677</v>
      </c>
      <c r="I194" s="12">
        <v>45307</v>
      </c>
    </row>
    <row r="195" spans="1:9" x14ac:dyDescent="0.15">
      <c r="A195" s="9">
        <v>194</v>
      </c>
      <c r="B195" s="10" t="s">
        <v>9</v>
      </c>
      <c r="C195" s="11" t="s">
        <v>10</v>
      </c>
      <c r="D195" s="12">
        <v>45623</v>
      </c>
      <c r="E195" s="13" t="str">
        <f>+HYPERLINK("http://trademark.i-assist.jp/data/china/image_1913th/78968575.pdf","78968575")</f>
        <v>78968575</v>
      </c>
      <c r="F195" s="11" t="s">
        <v>149</v>
      </c>
      <c r="G195" s="11" t="s">
        <v>1678</v>
      </c>
      <c r="H195" s="11" t="s">
        <v>1679</v>
      </c>
      <c r="I195" s="12">
        <v>45443</v>
      </c>
    </row>
    <row r="196" spans="1:9" x14ac:dyDescent="0.15">
      <c r="A196" s="9">
        <v>195</v>
      </c>
      <c r="B196" s="10" t="s">
        <v>9</v>
      </c>
      <c r="C196" s="11" t="s">
        <v>10</v>
      </c>
      <c r="D196" s="12">
        <v>45623</v>
      </c>
      <c r="E196" s="13" t="str">
        <f>+HYPERLINK("http://trademark.i-assist.jp/data/china/image_1913th/68222715.pdf","68222715")</f>
        <v>68222715</v>
      </c>
      <c r="F196" s="11" t="s">
        <v>150</v>
      </c>
      <c r="G196" s="11" t="s">
        <v>1297</v>
      </c>
      <c r="H196" s="11" t="s">
        <v>1298</v>
      </c>
      <c r="I196" s="12">
        <v>44873</v>
      </c>
    </row>
    <row r="197" spans="1:9" x14ac:dyDescent="0.15">
      <c r="A197" s="9">
        <v>196</v>
      </c>
      <c r="B197" s="10" t="s">
        <v>9</v>
      </c>
      <c r="C197" s="11" t="s">
        <v>10</v>
      </c>
      <c r="D197" s="12">
        <v>45623</v>
      </c>
      <c r="E197" s="13" t="str">
        <f>+HYPERLINK("http://trademark.i-assist.jp/data/china/image_1913th/71019843.pdf","71019843")</f>
        <v>71019843</v>
      </c>
      <c r="F197" s="11" t="s">
        <v>151</v>
      </c>
      <c r="G197" s="11" t="s">
        <v>1680</v>
      </c>
      <c r="H197" s="11" t="s">
        <v>1681</v>
      </c>
      <c r="I197" s="12">
        <v>45035</v>
      </c>
    </row>
    <row r="198" spans="1:9" x14ac:dyDescent="0.15">
      <c r="A198" s="9">
        <v>197</v>
      </c>
      <c r="B198" s="10" t="s">
        <v>9</v>
      </c>
      <c r="C198" s="11" t="s">
        <v>10</v>
      </c>
      <c r="D198" s="12">
        <v>45623</v>
      </c>
      <c r="E198" s="13" t="str">
        <f>+HYPERLINK("http://trademark.i-assist.jp/data/china/image_1913th/74463884.pdf","74463884")</f>
        <v>74463884</v>
      </c>
      <c r="F198" s="11" t="s">
        <v>152</v>
      </c>
      <c r="G198" s="11" t="s">
        <v>1682</v>
      </c>
      <c r="H198" s="11" t="s">
        <v>1683</v>
      </c>
      <c r="I198" s="12">
        <v>45208</v>
      </c>
    </row>
    <row r="199" spans="1:9" x14ac:dyDescent="0.15">
      <c r="A199" s="9">
        <v>198</v>
      </c>
      <c r="B199" s="10" t="s">
        <v>9</v>
      </c>
      <c r="C199" s="11" t="s">
        <v>10</v>
      </c>
      <c r="D199" s="12">
        <v>45623</v>
      </c>
      <c r="E199" s="13" t="str">
        <f>+HYPERLINK("http://trademark.i-assist.jp/data/china/image_1913th/75218073.pdf","75218073")</f>
        <v>75218073</v>
      </c>
      <c r="F199" s="11" t="s">
        <v>1684</v>
      </c>
      <c r="G199" s="11" t="s">
        <v>153</v>
      </c>
      <c r="H199" s="11" t="s">
        <v>1685</v>
      </c>
      <c r="I199" s="12">
        <v>45246</v>
      </c>
    </row>
    <row r="200" spans="1:9" x14ac:dyDescent="0.15">
      <c r="A200" s="9">
        <v>199</v>
      </c>
      <c r="B200" s="10" t="s">
        <v>9</v>
      </c>
      <c r="C200" s="11" t="s">
        <v>10</v>
      </c>
      <c r="D200" s="12">
        <v>45623</v>
      </c>
      <c r="E200" s="13" t="str">
        <f>+HYPERLINK("http://trademark.i-assist.jp/data/china/image_1913th/75476506.pdf","75476506")</f>
        <v>75476506</v>
      </c>
      <c r="F200" s="11" t="s">
        <v>1686</v>
      </c>
      <c r="G200" s="11" t="s">
        <v>1687</v>
      </c>
      <c r="H200" s="11" t="s">
        <v>1688</v>
      </c>
      <c r="I200" s="12">
        <v>45259</v>
      </c>
    </row>
    <row r="201" spans="1:9" x14ac:dyDescent="0.15">
      <c r="A201" s="9">
        <v>200</v>
      </c>
      <c r="B201" s="10" t="s">
        <v>9</v>
      </c>
      <c r="C201" s="11" t="s">
        <v>10</v>
      </c>
      <c r="D201" s="12">
        <v>45623</v>
      </c>
      <c r="E201" s="13" t="str">
        <f>+HYPERLINK("http://trademark.i-assist.jp/data/china/image_1913th/80570314.pdf","80570314")</f>
        <v>80570314</v>
      </c>
      <c r="F201" s="11" t="s">
        <v>1689</v>
      </c>
      <c r="G201" s="11" t="s">
        <v>154</v>
      </c>
      <c r="H201" s="11" t="s">
        <v>1690</v>
      </c>
      <c r="I201" s="12">
        <v>45530</v>
      </c>
    </row>
    <row r="202" spans="1:9" x14ac:dyDescent="0.15">
      <c r="A202" s="9">
        <v>201</v>
      </c>
      <c r="B202" s="10" t="s">
        <v>9</v>
      </c>
      <c r="C202" s="11" t="s">
        <v>10</v>
      </c>
      <c r="D202" s="12">
        <v>45623</v>
      </c>
      <c r="E202" s="13" t="str">
        <f>+HYPERLINK("http://trademark.i-assist.jp/data/china/image_1913th/80575069.pdf","80575069")</f>
        <v>80575069</v>
      </c>
      <c r="F202" s="11" t="s">
        <v>155</v>
      </c>
      <c r="G202" s="11" t="s">
        <v>1691</v>
      </c>
      <c r="H202" s="11" t="s">
        <v>1692</v>
      </c>
      <c r="I202" s="12">
        <v>45530</v>
      </c>
    </row>
    <row r="203" spans="1:9" x14ac:dyDescent="0.15">
      <c r="A203" s="9">
        <v>202</v>
      </c>
      <c r="B203" s="10" t="s">
        <v>9</v>
      </c>
      <c r="C203" s="11" t="s">
        <v>10</v>
      </c>
      <c r="D203" s="12">
        <v>45623</v>
      </c>
      <c r="E203" s="13" t="str">
        <f>+HYPERLINK("http://trademark.i-assist.jp/data/china/image_1913th/80578793.pdf","80578793")</f>
        <v>80578793</v>
      </c>
      <c r="F203" s="11" t="s">
        <v>156</v>
      </c>
      <c r="G203" s="11" t="s">
        <v>1693</v>
      </c>
      <c r="H203" s="11" t="s">
        <v>1694</v>
      </c>
      <c r="I203" s="12">
        <v>45531</v>
      </c>
    </row>
    <row r="204" spans="1:9" x14ac:dyDescent="0.15">
      <c r="A204" s="9">
        <v>203</v>
      </c>
      <c r="B204" s="10" t="s">
        <v>9</v>
      </c>
      <c r="C204" s="11" t="s">
        <v>10</v>
      </c>
      <c r="D204" s="12">
        <v>45623</v>
      </c>
      <c r="E204" s="13" t="str">
        <f>+HYPERLINK("http://trademark.i-assist.jp/data/china/image_1913th/80603415.pdf","80603415")</f>
        <v>80603415</v>
      </c>
      <c r="F204" s="11" t="s">
        <v>157</v>
      </c>
      <c r="G204" s="11" t="s">
        <v>1695</v>
      </c>
      <c r="H204" s="11" t="s">
        <v>1696</v>
      </c>
      <c r="I204" s="12">
        <v>45532</v>
      </c>
    </row>
    <row r="205" spans="1:9" x14ac:dyDescent="0.15">
      <c r="A205" s="9">
        <v>204</v>
      </c>
      <c r="B205" s="10" t="s">
        <v>9</v>
      </c>
      <c r="C205" s="11" t="s">
        <v>10</v>
      </c>
      <c r="D205" s="12">
        <v>45623</v>
      </c>
      <c r="E205" s="13" t="str">
        <f>+HYPERLINK("http://trademark.i-assist.jp/data/china/image_1913th/80016250.pdf","80016250")</f>
        <v>80016250</v>
      </c>
      <c r="F205" s="11" t="s">
        <v>158</v>
      </c>
      <c r="G205" s="11" t="s">
        <v>1697</v>
      </c>
      <c r="H205" s="11" t="s">
        <v>1698</v>
      </c>
      <c r="I205" s="12">
        <v>45499</v>
      </c>
    </row>
    <row r="206" spans="1:9" x14ac:dyDescent="0.15">
      <c r="A206" s="9">
        <v>205</v>
      </c>
      <c r="B206" s="10" t="s">
        <v>9</v>
      </c>
      <c r="C206" s="11" t="s">
        <v>10</v>
      </c>
      <c r="D206" s="12">
        <v>45623</v>
      </c>
      <c r="E206" s="13" t="str">
        <f>+HYPERLINK("http://trademark.i-assist.jp/data/china/image_1913th/80111193.pdf","80111193")</f>
        <v>80111193</v>
      </c>
      <c r="F206" s="11" t="s">
        <v>1699</v>
      </c>
      <c r="G206" s="11" t="s">
        <v>1338</v>
      </c>
      <c r="H206" s="11" t="s">
        <v>1700</v>
      </c>
      <c r="I206" s="12">
        <v>45504</v>
      </c>
    </row>
    <row r="207" spans="1:9" x14ac:dyDescent="0.15">
      <c r="A207" s="9">
        <v>206</v>
      </c>
      <c r="B207" s="10" t="s">
        <v>9</v>
      </c>
      <c r="C207" s="11" t="s">
        <v>10</v>
      </c>
      <c r="D207" s="12">
        <v>45623</v>
      </c>
      <c r="E207" s="13" t="str">
        <f>+HYPERLINK("http://trademark.i-assist.jp/data/china/image_1913th/80121506.pdf","80121506")</f>
        <v>80121506</v>
      </c>
      <c r="F207" s="11" t="s">
        <v>159</v>
      </c>
      <c r="G207" s="11" t="s">
        <v>1701</v>
      </c>
      <c r="H207" s="11" t="s">
        <v>1702</v>
      </c>
      <c r="I207" s="12">
        <v>45505</v>
      </c>
    </row>
    <row r="208" spans="1:9" x14ac:dyDescent="0.15">
      <c r="A208" s="9">
        <v>207</v>
      </c>
      <c r="B208" s="10" t="s">
        <v>9</v>
      </c>
      <c r="C208" s="11" t="s">
        <v>10</v>
      </c>
      <c r="D208" s="12">
        <v>45623</v>
      </c>
      <c r="E208" s="13" t="str">
        <f>+HYPERLINK("http://trademark.i-assist.jp/data/china/image_1913th/80157400.pdf","80157400")</f>
        <v>80157400</v>
      </c>
      <c r="F208" s="11" t="s">
        <v>160</v>
      </c>
      <c r="G208" s="11" t="s">
        <v>1703</v>
      </c>
      <c r="H208" s="11" t="s">
        <v>1704</v>
      </c>
      <c r="I208" s="12">
        <v>45506</v>
      </c>
    </row>
    <row r="209" spans="1:9" x14ac:dyDescent="0.15">
      <c r="A209" s="9">
        <v>208</v>
      </c>
      <c r="B209" s="10" t="s">
        <v>9</v>
      </c>
      <c r="C209" s="11" t="s">
        <v>10</v>
      </c>
      <c r="D209" s="12">
        <v>45623</v>
      </c>
      <c r="E209" s="13" t="str">
        <f>+HYPERLINK("http://trademark.i-assist.jp/data/china/image_1913th/80223167.pdf","80223167")</f>
        <v>80223167</v>
      </c>
      <c r="F209" s="11" t="s">
        <v>1705</v>
      </c>
      <c r="G209" s="11" t="s">
        <v>1706</v>
      </c>
      <c r="H209" s="11" t="s">
        <v>1707</v>
      </c>
      <c r="I209" s="12">
        <v>45511</v>
      </c>
    </row>
    <row r="210" spans="1:9" x14ac:dyDescent="0.15">
      <c r="A210" s="9">
        <v>209</v>
      </c>
      <c r="B210" s="10" t="s">
        <v>9</v>
      </c>
      <c r="C210" s="11" t="s">
        <v>10</v>
      </c>
      <c r="D210" s="12">
        <v>45623</v>
      </c>
      <c r="E210" s="13" t="str">
        <f>+HYPERLINK("http://trademark.i-assist.jp/data/china/image_1913th/80238807.pdf","80238807")</f>
        <v>80238807</v>
      </c>
      <c r="F210" s="11" t="s">
        <v>1708</v>
      </c>
      <c r="G210" s="11" t="s">
        <v>1709</v>
      </c>
      <c r="H210" s="11" t="s">
        <v>1710</v>
      </c>
      <c r="I210" s="12">
        <v>45511</v>
      </c>
    </row>
    <row r="211" spans="1:9" x14ac:dyDescent="0.15">
      <c r="A211" s="9">
        <v>210</v>
      </c>
      <c r="B211" s="10" t="s">
        <v>9</v>
      </c>
      <c r="C211" s="11" t="s">
        <v>10</v>
      </c>
      <c r="D211" s="12">
        <v>45623</v>
      </c>
      <c r="E211" s="13" t="str">
        <f>+HYPERLINK("http://trademark.i-assist.jp/data/china/image_1913th/80292546.pdf","80292546")</f>
        <v>80292546</v>
      </c>
      <c r="F211" s="11" t="s">
        <v>1711</v>
      </c>
      <c r="G211" s="11" t="s">
        <v>1712</v>
      </c>
      <c r="H211" s="11" t="s">
        <v>1713</v>
      </c>
      <c r="I211" s="12">
        <v>45514</v>
      </c>
    </row>
    <row r="212" spans="1:9" x14ac:dyDescent="0.15">
      <c r="A212" s="9">
        <v>211</v>
      </c>
      <c r="B212" s="10" t="s">
        <v>9</v>
      </c>
      <c r="C212" s="11" t="s">
        <v>10</v>
      </c>
      <c r="D212" s="12">
        <v>45623</v>
      </c>
      <c r="E212" s="13" t="str">
        <f>+HYPERLINK("http://trademark.i-assist.jp/data/china/image_1913th/80314707.pdf","80314707")</f>
        <v>80314707</v>
      </c>
      <c r="F212" s="11" t="s">
        <v>1714</v>
      </c>
      <c r="G212" s="11" t="s">
        <v>1715</v>
      </c>
      <c r="H212" s="11" t="s">
        <v>1716</v>
      </c>
      <c r="I212" s="12">
        <v>45516</v>
      </c>
    </row>
    <row r="213" spans="1:9" x14ac:dyDescent="0.15">
      <c r="A213" s="9">
        <v>212</v>
      </c>
      <c r="B213" s="10" t="s">
        <v>9</v>
      </c>
      <c r="C213" s="11" t="s">
        <v>10</v>
      </c>
      <c r="D213" s="12">
        <v>45623</v>
      </c>
      <c r="E213" s="13" t="str">
        <f>+HYPERLINK("http://trademark.i-assist.jp/data/china/image_1913th/80325352.pdf","80325352")</f>
        <v>80325352</v>
      </c>
      <c r="F213" s="11" t="s">
        <v>161</v>
      </c>
      <c r="G213" s="11" t="s">
        <v>1717</v>
      </c>
      <c r="H213" s="11" t="s">
        <v>1718</v>
      </c>
      <c r="I213" s="12">
        <v>45517</v>
      </c>
    </row>
    <row r="214" spans="1:9" x14ac:dyDescent="0.15">
      <c r="A214" s="9">
        <v>213</v>
      </c>
      <c r="B214" s="10" t="s">
        <v>9</v>
      </c>
      <c r="C214" s="11" t="s">
        <v>10</v>
      </c>
      <c r="D214" s="12">
        <v>45623</v>
      </c>
      <c r="E214" s="13" t="str">
        <f>+HYPERLINK("http://trademark.i-assist.jp/data/china/image_1913th/80325258.pdf","80325258")</f>
        <v>80325258</v>
      </c>
      <c r="F214" s="11" t="s">
        <v>162</v>
      </c>
      <c r="G214" s="11" t="s">
        <v>1719</v>
      </c>
      <c r="H214" s="11" t="s">
        <v>1720</v>
      </c>
      <c r="I214" s="12">
        <v>45517</v>
      </c>
    </row>
    <row r="215" spans="1:9" x14ac:dyDescent="0.15">
      <c r="A215" s="9">
        <v>214</v>
      </c>
      <c r="B215" s="10" t="s">
        <v>9</v>
      </c>
      <c r="C215" s="11" t="s">
        <v>10</v>
      </c>
      <c r="D215" s="12">
        <v>45623</v>
      </c>
      <c r="E215" s="13" t="str">
        <f>+HYPERLINK("http://trademark.i-assist.jp/data/china/image_1913th/80623756.pdf","80623756")</f>
        <v>80623756</v>
      </c>
      <c r="F215" s="11" t="s">
        <v>164</v>
      </c>
      <c r="G215" s="11" t="s">
        <v>163</v>
      </c>
      <c r="H215" s="11" t="s">
        <v>1721</v>
      </c>
      <c r="I215" s="12">
        <v>45532</v>
      </c>
    </row>
    <row r="216" spans="1:9" x14ac:dyDescent="0.15">
      <c r="A216" s="9">
        <v>215</v>
      </c>
      <c r="B216" s="10" t="s">
        <v>9</v>
      </c>
      <c r="C216" s="11" t="s">
        <v>10</v>
      </c>
      <c r="D216" s="12">
        <v>45623</v>
      </c>
      <c r="E216" s="13" t="str">
        <f>+HYPERLINK("http://trademark.i-assist.jp/data/china/image_1913th/80625187.pdf","80625187")</f>
        <v>80625187</v>
      </c>
      <c r="F216" s="11" t="s">
        <v>165</v>
      </c>
      <c r="G216" s="11" t="s">
        <v>1722</v>
      </c>
      <c r="H216" s="11" t="s">
        <v>1376</v>
      </c>
      <c r="I216" s="12">
        <v>45532</v>
      </c>
    </row>
    <row r="217" spans="1:9" x14ac:dyDescent="0.15">
      <c r="A217" s="9">
        <v>216</v>
      </c>
      <c r="B217" s="10" t="s">
        <v>9</v>
      </c>
      <c r="C217" s="11" t="s">
        <v>10</v>
      </c>
      <c r="D217" s="12">
        <v>45623</v>
      </c>
      <c r="E217" s="13" t="str">
        <f>+HYPERLINK("http://trademark.i-assist.jp/data/china/image_1913th/80627465.pdf","80627465")</f>
        <v>80627465</v>
      </c>
      <c r="F217" s="11" t="s">
        <v>1723</v>
      </c>
      <c r="G217" s="11" t="s">
        <v>1724</v>
      </c>
      <c r="H217" s="11" t="s">
        <v>1725</v>
      </c>
      <c r="I217" s="12">
        <v>45533</v>
      </c>
    </row>
    <row r="218" spans="1:9" x14ac:dyDescent="0.15">
      <c r="A218" s="9">
        <v>217</v>
      </c>
      <c r="B218" s="10" t="s">
        <v>9</v>
      </c>
      <c r="C218" s="11" t="s">
        <v>10</v>
      </c>
      <c r="D218" s="12">
        <v>45623</v>
      </c>
      <c r="E218" s="13" t="str">
        <f>+HYPERLINK("http://trademark.i-assist.jp/data/china/image_1913th/80634506.pdf","80634506")</f>
        <v>80634506</v>
      </c>
      <c r="F218" s="11" t="s">
        <v>167</v>
      </c>
      <c r="G218" s="11" t="s">
        <v>166</v>
      </c>
      <c r="H218" s="11" t="s">
        <v>1726</v>
      </c>
      <c r="I218" s="12">
        <v>45533</v>
      </c>
    </row>
    <row r="219" spans="1:9" x14ac:dyDescent="0.15">
      <c r="A219" s="9">
        <v>218</v>
      </c>
      <c r="B219" s="10" t="s">
        <v>9</v>
      </c>
      <c r="C219" s="11" t="s">
        <v>10</v>
      </c>
      <c r="D219" s="12">
        <v>45623</v>
      </c>
      <c r="E219" s="13" t="str">
        <f>+HYPERLINK("http://trademark.i-assist.jp/data/china/image_1913th/80639664.pdf","80639664")</f>
        <v>80639664</v>
      </c>
      <c r="F219" s="11" t="s">
        <v>1727</v>
      </c>
      <c r="G219" s="11" t="s">
        <v>168</v>
      </c>
      <c r="H219" s="11" t="s">
        <v>1728</v>
      </c>
      <c r="I219" s="12">
        <v>45533</v>
      </c>
    </row>
    <row r="220" spans="1:9" x14ac:dyDescent="0.15">
      <c r="A220" s="9">
        <v>219</v>
      </c>
      <c r="B220" s="10" t="s">
        <v>9</v>
      </c>
      <c r="C220" s="11" t="s">
        <v>10</v>
      </c>
      <c r="D220" s="12">
        <v>45623</v>
      </c>
      <c r="E220" s="13" t="str">
        <f>+HYPERLINK("http://trademark.i-assist.jp/data/china/image_1913th/80641535.pdf","80641535")</f>
        <v>80641535</v>
      </c>
      <c r="F220" s="11" t="s">
        <v>1729</v>
      </c>
      <c r="G220" s="11" t="s">
        <v>1730</v>
      </c>
      <c r="H220" s="11" t="s">
        <v>1731</v>
      </c>
      <c r="I220" s="12">
        <v>45533</v>
      </c>
    </row>
    <row r="221" spans="1:9" x14ac:dyDescent="0.15">
      <c r="A221" s="9">
        <v>220</v>
      </c>
      <c r="B221" s="10" t="s">
        <v>9</v>
      </c>
      <c r="C221" s="11" t="s">
        <v>10</v>
      </c>
      <c r="D221" s="12">
        <v>45623</v>
      </c>
      <c r="E221" s="13" t="str">
        <f>+HYPERLINK("http://trademark.i-assist.jp/data/china/image_1913th/80660617.pdf","80660617")</f>
        <v>80660617</v>
      </c>
      <c r="F221" s="11" t="s">
        <v>1732</v>
      </c>
      <c r="G221" s="11" t="s">
        <v>1733</v>
      </c>
      <c r="H221" s="11" t="s">
        <v>1376</v>
      </c>
      <c r="I221" s="12">
        <v>45534</v>
      </c>
    </row>
    <row r="222" spans="1:9" x14ac:dyDescent="0.15">
      <c r="A222" s="9">
        <v>221</v>
      </c>
      <c r="B222" s="10" t="s">
        <v>9</v>
      </c>
      <c r="C222" s="11" t="s">
        <v>10</v>
      </c>
      <c r="D222" s="12">
        <v>45623</v>
      </c>
      <c r="E222" s="13" t="str">
        <f>+HYPERLINK("http://trademark.i-assist.jp/data/china/image_1913th/80667735.pdf","80667735")</f>
        <v>80667735</v>
      </c>
      <c r="F222" s="11" t="s">
        <v>1734</v>
      </c>
      <c r="G222" s="11" t="s">
        <v>1598</v>
      </c>
      <c r="H222" s="11" t="s">
        <v>1599</v>
      </c>
      <c r="I222" s="12">
        <v>45534</v>
      </c>
    </row>
    <row r="223" spans="1:9" x14ac:dyDescent="0.15">
      <c r="A223" s="9">
        <v>222</v>
      </c>
      <c r="B223" s="10" t="s">
        <v>9</v>
      </c>
      <c r="C223" s="11" t="s">
        <v>10</v>
      </c>
      <c r="D223" s="12">
        <v>45623</v>
      </c>
      <c r="E223" s="13" t="str">
        <f>+HYPERLINK("http://trademark.i-assist.jp/data/china/image_1913th/80674812.pdf","80674812")</f>
        <v>80674812</v>
      </c>
      <c r="F223" s="11" t="s">
        <v>1735</v>
      </c>
      <c r="G223" s="11" t="s">
        <v>1736</v>
      </c>
      <c r="H223" s="11" t="s">
        <v>1737</v>
      </c>
      <c r="I223" s="12">
        <v>45535</v>
      </c>
    </row>
    <row r="224" spans="1:9" x14ac:dyDescent="0.15">
      <c r="A224" s="9">
        <v>223</v>
      </c>
      <c r="B224" s="10" t="s">
        <v>9</v>
      </c>
      <c r="C224" s="11" t="s">
        <v>10</v>
      </c>
      <c r="D224" s="12">
        <v>45623</v>
      </c>
      <c r="E224" s="13" t="str">
        <f>+HYPERLINK("http://trademark.i-assist.jp/data/china/image_1913th/80675993.pdf","80675993")</f>
        <v>80675993</v>
      </c>
      <c r="F224" s="11" t="s">
        <v>1738</v>
      </c>
      <c r="G224" s="11" t="s">
        <v>1739</v>
      </c>
      <c r="H224" s="11" t="s">
        <v>1740</v>
      </c>
      <c r="I224" s="12">
        <v>45535</v>
      </c>
    </row>
    <row r="225" spans="1:9" x14ac:dyDescent="0.15">
      <c r="A225" s="9">
        <v>224</v>
      </c>
      <c r="B225" s="10" t="s">
        <v>9</v>
      </c>
      <c r="C225" s="11" t="s">
        <v>10</v>
      </c>
      <c r="D225" s="12">
        <v>45623</v>
      </c>
      <c r="E225" s="13" t="str">
        <f>+HYPERLINK("http://trademark.i-assist.jp/data/china/image_1913th/80676527.pdf","80676527")</f>
        <v>80676527</v>
      </c>
      <c r="F225" s="11" t="s">
        <v>1741</v>
      </c>
      <c r="G225" s="11" t="s">
        <v>169</v>
      </c>
      <c r="H225" s="11" t="s">
        <v>1742</v>
      </c>
      <c r="I225" s="12">
        <v>45535</v>
      </c>
    </row>
    <row r="226" spans="1:9" x14ac:dyDescent="0.15">
      <c r="A226" s="9">
        <v>225</v>
      </c>
      <c r="B226" s="10" t="s">
        <v>9</v>
      </c>
      <c r="C226" s="11" t="s">
        <v>10</v>
      </c>
      <c r="D226" s="12">
        <v>45623</v>
      </c>
      <c r="E226" s="13" t="str">
        <f>+HYPERLINK("http://trademark.i-assist.jp/data/china/image_1913th/80679739.pdf","80679739")</f>
        <v>80679739</v>
      </c>
      <c r="F226" s="11" t="s">
        <v>1743</v>
      </c>
      <c r="G226" s="11" t="s">
        <v>1744</v>
      </c>
      <c r="H226" s="11" t="s">
        <v>1745</v>
      </c>
      <c r="I226" s="12">
        <v>45535</v>
      </c>
    </row>
    <row r="227" spans="1:9" x14ac:dyDescent="0.15">
      <c r="A227" s="9">
        <v>226</v>
      </c>
      <c r="B227" s="10" t="s">
        <v>9</v>
      </c>
      <c r="C227" s="11" t="s">
        <v>10</v>
      </c>
      <c r="D227" s="12">
        <v>45623</v>
      </c>
      <c r="E227" s="13" t="str">
        <f>+HYPERLINK("http://trademark.i-assist.jp/data/china/image_1913th/80680270.pdf","80680270")</f>
        <v>80680270</v>
      </c>
      <c r="F227" s="11" t="s">
        <v>1335</v>
      </c>
      <c r="G227" s="11" t="s">
        <v>1746</v>
      </c>
      <c r="H227" s="11" t="s">
        <v>1747</v>
      </c>
      <c r="I227" s="12">
        <v>45536</v>
      </c>
    </row>
    <row r="228" spans="1:9" x14ac:dyDescent="0.15">
      <c r="A228" s="9">
        <v>227</v>
      </c>
      <c r="B228" s="10" t="s">
        <v>9</v>
      </c>
      <c r="C228" s="11" t="s">
        <v>10</v>
      </c>
      <c r="D228" s="12">
        <v>45623</v>
      </c>
      <c r="E228" s="13" t="str">
        <f>+HYPERLINK("http://trademark.i-assist.jp/data/china/image_1913th/80760041.pdf","80760041")</f>
        <v>80760041</v>
      </c>
      <c r="F228" s="11" t="s">
        <v>170</v>
      </c>
      <c r="G228" s="11" t="s">
        <v>1748</v>
      </c>
      <c r="H228" s="11" t="s">
        <v>1749</v>
      </c>
      <c r="I228" s="12">
        <v>45540</v>
      </c>
    </row>
    <row r="229" spans="1:9" x14ac:dyDescent="0.15">
      <c r="A229" s="9">
        <v>228</v>
      </c>
      <c r="B229" s="10" t="s">
        <v>9</v>
      </c>
      <c r="C229" s="11" t="s">
        <v>10</v>
      </c>
      <c r="D229" s="12">
        <v>45623</v>
      </c>
      <c r="E229" s="13" t="str">
        <f>+HYPERLINK("http://trademark.i-assist.jp/data/china/image_1913th/80761035.pdf","80761035")</f>
        <v>80761035</v>
      </c>
      <c r="F229" s="11" t="s">
        <v>171</v>
      </c>
      <c r="G229" s="11" t="s">
        <v>1750</v>
      </c>
      <c r="H229" s="11" t="s">
        <v>1751</v>
      </c>
      <c r="I229" s="12">
        <v>45540</v>
      </c>
    </row>
    <row r="230" spans="1:9" x14ac:dyDescent="0.15">
      <c r="A230" s="9">
        <v>229</v>
      </c>
      <c r="B230" s="10" t="s">
        <v>9</v>
      </c>
      <c r="C230" s="11" t="s">
        <v>10</v>
      </c>
      <c r="D230" s="12">
        <v>45623</v>
      </c>
      <c r="E230" s="13" t="str">
        <f>+HYPERLINK("http://trademark.i-assist.jp/data/china/image_1913th/80761701.pdf","80761701")</f>
        <v>80761701</v>
      </c>
      <c r="F230" s="11" t="s">
        <v>1752</v>
      </c>
      <c r="G230" s="11" t="s">
        <v>172</v>
      </c>
      <c r="H230" s="11" t="s">
        <v>1753</v>
      </c>
      <c r="I230" s="12">
        <v>45540</v>
      </c>
    </row>
    <row r="231" spans="1:9" x14ac:dyDescent="0.15">
      <c r="A231" s="9">
        <v>230</v>
      </c>
      <c r="B231" s="10" t="s">
        <v>9</v>
      </c>
      <c r="C231" s="11" t="s">
        <v>10</v>
      </c>
      <c r="D231" s="12">
        <v>45623</v>
      </c>
      <c r="E231" s="13" t="str">
        <f>+HYPERLINK("http://trademark.i-assist.jp/data/china/image_1913th/80763865.pdf","80763865")</f>
        <v>80763865</v>
      </c>
      <c r="F231" s="11" t="s">
        <v>173</v>
      </c>
      <c r="G231" s="11" t="s">
        <v>1754</v>
      </c>
      <c r="H231" s="11" t="s">
        <v>1755</v>
      </c>
      <c r="I231" s="12">
        <v>45540</v>
      </c>
    </row>
    <row r="232" spans="1:9" x14ac:dyDescent="0.15">
      <c r="A232" s="9">
        <v>231</v>
      </c>
      <c r="B232" s="10" t="s">
        <v>9</v>
      </c>
      <c r="C232" s="11" t="s">
        <v>10</v>
      </c>
      <c r="D232" s="12">
        <v>45623</v>
      </c>
      <c r="E232" s="13" t="str">
        <f>+HYPERLINK("http://trademark.i-assist.jp/data/china/image_1913th/80767611.pdf","80767611")</f>
        <v>80767611</v>
      </c>
      <c r="F232" s="11" t="s">
        <v>175</v>
      </c>
      <c r="G232" s="11" t="s">
        <v>174</v>
      </c>
      <c r="H232" s="11" t="s">
        <v>1756</v>
      </c>
      <c r="I232" s="12">
        <v>45540</v>
      </c>
    </row>
    <row r="233" spans="1:9" x14ac:dyDescent="0.15">
      <c r="A233" s="9">
        <v>232</v>
      </c>
      <c r="B233" s="10" t="s">
        <v>9</v>
      </c>
      <c r="C233" s="11" t="s">
        <v>10</v>
      </c>
      <c r="D233" s="12">
        <v>45623</v>
      </c>
      <c r="E233" s="13" t="str">
        <f>+HYPERLINK("http://trademark.i-assist.jp/data/china/image_1913th/80778515.pdf","80778515")</f>
        <v>80778515</v>
      </c>
      <c r="F233" s="11" t="s">
        <v>1458</v>
      </c>
      <c r="G233" s="11" t="s">
        <v>1459</v>
      </c>
      <c r="H233" s="11" t="s">
        <v>1460</v>
      </c>
      <c r="I233" s="12">
        <v>45541</v>
      </c>
    </row>
    <row r="234" spans="1:9" x14ac:dyDescent="0.15">
      <c r="A234" s="9">
        <v>233</v>
      </c>
      <c r="B234" s="10" t="s">
        <v>9</v>
      </c>
      <c r="C234" s="11" t="s">
        <v>10</v>
      </c>
      <c r="D234" s="12">
        <v>45623</v>
      </c>
      <c r="E234" s="13" t="str">
        <f>+HYPERLINK("http://trademark.i-assist.jp/data/china/image_1913th/80783484.pdf","80783484")</f>
        <v>80783484</v>
      </c>
      <c r="F234" s="11" t="s">
        <v>1757</v>
      </c>
      <c r="G234" s="11" t="s">
        <v>1758</v>
      </c>
      <c r="H234" s="11" t="s">
        <v>1759</v>
      </c>
      <c r="I234" s="12">
        <v>45541</v>
      </c>
    </row>
    <row r="235" spans="1:9" x14ac:dyDescent="0.15">
      <c r="A235" s="9">
        <v>234</v>
      </c>
      <c r="B235" s="10" t="s">
        <v>9</v>
      </c>
      <c r="C235" s="11" t="s">
        <v>10</v>
      </c>
      <c r="D235" s="12">
        <v>45623</v>
      </c>
      <c r="E235" s="13" t="str">
        <f>+HYPERLINK("http://trademark.i-assist.jp/data/china/image_1913th/80706310.pdf","80706310")</f>
        <v>80706310</v>
      </c>
      <c r="F235" s="11" t="s">
        <v>176</v>
      </c>
      <c r="G235" s="11" t="s">
        <v>1760</v>
      </c>
      <c r="H235" s="11" t="s">
        <v>1761</v>
      </c>
      <c r="I235" s="12">
        <v>45538</v>
      </c>
    </row>
    <row r="236" spans="1:9" x14ac:dyDescent="0.15">
      <c r="A236" s="9">
        <v>235</v>
      </c>
      <c r="B236" s="10" t="s">
        <v>9</v>
      </c>
      <c r="C236" s="11" t="s">
        <v>10</v>
      </c>
      <c r="D236" s="12">
        <v>45623</v>
      </c>
      <c r="E236" s="13" t="str">
        <f>+HYPERLINK("http://trademark.i-assist.jp/data/china/image_1913th/80707011.pdf","80707011")</f>
        <v>80707011</v>
      </c>
      <c r="F236" s="11" t="s">
        <v>1335</v>
      </c>
      <c r="G236" s="11" t="s">
        <v>1762</v>
      </c>
      <c r="H236" s="11" t="s">
        <v>1763</v>
      </c>
      <c r="I236" s="12">
        <v>45538</v>
      </c>
    </row>
    <row r="237" spans="1:9" x14ac:dyDescent="0.15">
      <c r="A237" s="9">
        <v>236</v>
      </c>
      <c r="B237" s="10" t="s">
        <v>9</v>
      </c>
      <c r="C237" s="11" t="s">
        <v>10</v>
      </c>
      <c r="D237" s="12">
        <v>45623</v>
      </c>
      <c r="E237" s="13" t="str">
        <f>+HYPERLINK("http://trademark.i-assist.jp/data/china/image_1913th/80707642.pdf","80707642")</f>
        <v>80707642</v>
      </c>
      <c r="F237" s="11" t="s">
        <v>1764</v>
      </c>
      <c r="G237" s="11" t="s">
        <v>1338</v>
      </c>
      <c r="H237" s="11" t="s">
        <v>1339</v>
      </c>
      <c r="I237" s="12">
        <v>45538</v>
      </c>
    </row>
    <row r="238" spans="1:9" x14ac:dyDescent="0.15">
      <c r="A238" s="9">
        <v>237</v>
      </c>
      <c r="B238" s="10" t="s">
        <v>9</v>
      </c>
      <c r="C238" s="11" t="s">
        <v>10</v>
      </c>
      <c r="D238" s="12">
        <v>45623</v>
      </c>
      <c r="E238" s="13" t="str">
        <f>+HYPERLINK("http://trademark.i-assist.jp/data/china/image_1913th/80708962.pdf","80708962")</f>
        <v>80708962</v>
      </c>
      <c r="F238" s="11" t="s">
        <v>1765</v>
      </c>
      <c r="G238" s="11" t="s">
        <v>1766</v>
      </c>
      <c r="H238" s="11" t="s">
        <v>1592</v>
      </c>
      <c r="I238" s="12">
        <v>45538</v>
      </c>
    </row>
    <row r="239" spans="1:9" x14ac:dyDescent="0.15">
      <c r="A239" s="9">
        <v>238</v>
      </c>
      <c r="B239" s="10" t="s">
        <v>9</v>
      </c>
      <c r="C239" s="11" t="s">
        <v>10</v>
      </c>
      <c r="D239" s="12">
        <v>45623</v>
      </c>
      <c r="E239" s="13" t="str">
        <f>+HYPERLINK("http://trademark.i-assist.jp/data/china/image_1913th/80709182.pdf","80709182")</f>
        <v>80709182</v>
      </c>
      <c r="F239" s="11" t="s">
        <v>177</v>
      </c>
      <c r="G239" s="11" t="s">
        <v>1767</v>
      </c>
      <c r="H239" s="11" t="s">
        <v>1768</v>
      </c>
      <c r="I239" s="12">
        <v>45538</v>
      </c>
    </row>
    <row r="240" spans="1:9" x14ac:dyDescent="0.15">
      <c r="A240" s="9">
        <v>239</v>
      </c>
      <c r="B240" s="10" t="s">
        <v>9</v>
      </c>
      <c r="C240" s="11" t="s">
        <v>10</v>
      </c>
      <c r="D240" s="12">
        <v>45623</v>
      </c>
      <c r="E240" s="13" t="str">
        <f>+HYPERLINK("http://trademark.i-assist.jp/data/china/image_1913th/80711240.pdf","80711240")</f>
        <v>80711240</v>
      </c>
      <c r="F240" s="11" t="s">
        <v>178</v>
      </c>
      <c r="G240" s="11" t="s">
        <v>1769</v>
      </c>
      <c r="H240" s="11" t="s">
        <v>1770</v>
      </c>
      <c r="I240" s="12">
        <v>45538</v>
      </c>
    </row>
    <row r="241" spans="1:9" x14ac:dyDescent="0.15">
      <c r="A241" s="9">
        <v>240</v>
      </c>
      <c r="B241" s="10" t="s">
        <v>9</v>
      </c>
      <c r="C241" s="11" t="s">
        <v>10</v>
      </c>
      <c r="D241" s="12">
        <v>45623</v>
      </c>
      <c r="E241" s="13" t="str">
        <f>+HYPERLINK("http://trademark.i-assist.jp/data/china/image_1913th/80712455.pdf","80712455")</f>
        <v>80712455</v>
      </c>
      <c r="F241" s="11" t="s">
        <v>1771</v>
      </c>
      <c r="G241" s="11" t="s">
        <v>1772</v>
      </c>
      <c r="H241" s="11" t="s">
        <v>1773</v>
      </c>
      <c r="I241" s="12">
        <v>45538</v>
      </c>
    </row>
    <row r="242" spans="1:9" x14ac:dyDescent="0.15">
      <c r="A242" s="9">
        <v>241</v>
      </c>
      <c r="B242" s="10" t="s">
        <v>9</v>
      </c>
      <c r="C242" s="11" t="s">
        <v>10</v>
      </c>
      <c r="D242" s="12">
        <v>45623</v>
      </c>
      <c r="E242" s="13" t="str">
        <f>+HYPERLINK("http://trademark.i-assist.jp/data/china/image_1913th/80713306.pdf","80713306")</f>
        <v>80713306</v>
      </c>
      <c r="F242" s="11" t="s">
        <v>179</v>
      </c>
      <c r="G242" s="11" t="s">
        <v>1774</v>
      </c>
      <c r="H242" s="11" t="s">
        <v>1775</v>
      </c>
      <c r="I242" s="12">
        <v>45538</v>
      </c>
    </row>
    <row r="243" spans="1:9" x14ac:dyDescent="0.15">
      <c r="A243" s="9">
        <v>242</v>
      </c>
      <c r="B243" s="10" t="s">
        <v>9</v>
      </c>
      <c r="C243" s="11" t="s">
        <v>10</v>
      </c>
      <c r="D243" s="12">
        <v>45623</v>
      </c>
      <c r="E243" s="13" t="str">
        <f>+HYPERLINK("http://trademark.i-assist.jp/data/china/image_1913th/80721751.pdf","80721751")</f>
        <v>80721751</v>
      </c>
      <c r="F243" s="11" t="s">
        <v>1776</v>
      </c>
      <c r="G243" s="11" t="s">
        <v>42</v>
      </c>
      <c r="H243" s="11" t="s">
        <v>1423</v>
      </c>
      <c r="I243" s="12">
        <v>45538</v>
      </c>
    </row>
    <row r="244" spans="1:9" x14ac:dyDescent="0.15">
      <c r="A244" s="9">
        <v>243</v>
      </c>
      <c r="B244" s="10" t="s">
        <v>9</v>
      </c>
      <c r="C244" s="11" t="s">
        <v>10</v>
      </c>
      <c r="D244" s="12">
        <v>45623</v>
      </c>
      <c r="E244" s="13" t="str">
        <f>+HYPERLINK("http://trademark.i-assist.jp/data/china/image_1913th/80724544.pdf","80724544")</f>
        <v>80724544</v>
      </c>
      <c r="F244" s="11" t="s">
        <v>180</v>
      </c>
      <c r="G244" s="11" t="s">
        <v>1777</v>
      </c>
      <c r="H244" s="11" t="s">
        <v>1778</v>
      </c>
      <c r="I244" s="12">
        <v>45538</v>
      </c>
    </row>
    <row r="245" spans="1:9" x14ac:dyDescent="0.15">
      <c r="A245" s="9">
        <v>244</v>
      </c>
      <c r="B245" s="10" t="s">
        <v>9</v>
      </c>
      <c r="C245" s="11" t="s">
        <v>10</v>
      </c>
      <c r="D245" s="12">
        <v>45623</v>
      </c>
      <c r="E245" s="13" t="str">
        <f>+HYPERLINK("http://trademark.i-assist.jp/data/china/image_1913th/80725097.pdf","80725097")</f>
        <v>80725097</v>
      </c>
      <c r="F245" s="11" t="s">
        <v>1779</v>
      </c>
      <c r="G245" s="11" t="s">
        <v>1780</v>
      </c>
      <c r="H245" s="11" t="s">
        <v>1781</v>
      </c>
      <c r="I245" s="12">
        <v>45538</v>
      </c>
    </row>
    <row r="246" spans="1:9" x14ac:dyDescent="0.15">
      <c r="A246" s="9">
        <v>245</v>
      </c>
      <c r="B246" s="10" t="s">
        <v>9</v>
      </c>
      <c r="C246" s="11" t="s">
        <v>10</v>
      </c>
      <c r="D246" s="12">
        <v>45623</v>
      </c>
      <c r="E246" s="13" t="str">
        <f>+HYPERLINK("http://trademark.i-assist.jp/data/china/image_1913th/80725831.pdf","80725831")</f>
        <v>80725831</v>
      </c>
      <c r="F246" s="11" t="s">
        <v>1335</v>
      </c>
      <c r="G246" s="11" t="s">
        <v>181</v>
      </c>
      <c r="H246" s="11" t="s">
        <v>1782</v>
      </c>
      <c r="I246" s="12">
        <v>45538</v>
      </c>
    </row>
    <row r="247" spans="1:9" x14ac:dyDescent="0.15">
      <c r="A247" s="9">
        <v>246</v>
      </c>
      <c r="B247" s="10" t="s">
        <v>9</v>
      </c>
      <c r="C247" s="11" t="s">
        <v>10</v>
      </c>
      <c r="D247" s="12">
        <v>45623</v>
      </c>
      <c r="E247" s="13" t="str">
        <f>+HYPERLINK("http://trademark.i-assist.jp/data/china/image_1913th/80731312.pdf","80731312")</f>
        <v>80731312</v>
      </c>
      <c r="F247" s="11" t="s">
        <v>1783</v>
      </c>
      <c r="G247" s="11" t="s">
        <v>1784</v>
      </c>
      <c r="H247" s="11" t="s">
        <v>1785</v>
      </c>
      <c r="I247" s="12">
        <v>45539</v>
      </c>
    </row>
    <row r="248" spans="1:9" x14ac:dyDescent="0.15">
      <c r="A248" s="9">
        <v>247</v>
      </c>
      <c r="B248" s="10" t="s">
        <v>9</v>
      </c>
      <c r="C248" s="11" t="s">
        <v>10</v>
      </c>
      <c r="D248" s="12">
        <v>45623</v>
      </c>
      <c r="E248" s="13" t="str">
        <f>+HYPERLINK("http://trademark.i-assist.jp/data/china/image_1913th/80731663.pdf","80731663")</f>
        <v>80731663</v>
      </c>
      <c r="F248" s="11" t="s">
        <v>182</v>
      </c>
      <c r="G248" s="11" t="s">
        <v>1786</v>
      </c>
      <c r="H248" s="11" t="s">
        <v>1787</v>
      </c>
      <c r="I248" s="12">
        <v>45539</v>
      </c>
    </row>
    <row r="249" spans="1:9" x14ac:dyDescent="0.15">
      <c r="A249" s="9">
        <v>248</v>
      </c>
      <c r="B249" s="10" t="s">
        <v>9</v>
      </c>
      <c r="C249" s="11" t="s">
        <v>10</v>
      </c>
      <c r="D249" s="12">
        <v>45623</v>
      </c>
      <c r="E249" s="13" t="str">
        <f>+HYPERLINK("http://trademark.i-assist.jp/data/china/image_1913th/80732405.pdf","80732405")</f>
        <v>80732405</v>
      </c>
      <c r="F249" s="11" t="s">
        <v>1788</v>
      </c>
      <c r="G249" s="11" t="s">
        <v>1789</v>
      </c>
      <c r="H249" s="11" t="s">
        <v>1790</v>
      </c>
      <c r="I249" s="12">
        <v>45539</v>
      </c>
    </row>
    <row r="250" spans="1:9" x14ac:dyDescent="0.15">
      <c r="A250" s="9">
        <v>249</v>
      </c>
      <c r="B250" s="10" t="s">
        <v>9</v>
      </c>
      <c r="C250" s="11" t="s">
        <v>10</v>
      </c>
      <c r="D250" s="12">
        <v>45623</v>
      </c>
      <c r="E250" s="13" t="str">
        <f>+HYPERLINK("http://trademark.i-assist.jp/data/china/image_1913th/80733733.pdf","80733733")</f>
        <v>80733733</v>
      </c>
      <c r="F250" s="11" t="s">
        <v>183</v>
      </c>
      <c r="G250" s="11" t="s">
        <v>1791</v>
      </c>
      <c r="H250" s="11" t="s">
        <v>1792</v>
      </c>
      <c r="I250" s="12">
        <v>45539</v>
      </c>
    </row>
    <row r="251" spans="1:9" x14ac:dyDescent="0.15">
      <c r="A251" s="9">
        <v>250</v>
      </c>
      <c r="B251" s="10" t="s">
        <v>9</v>
      </c>
      <c r="C251" s="11" t="s">
        <v>10</v>
      </c>
      <c r="D251" s="12">
        <v>45623</v>
      </c>
      <c r="E251" s="13" t="str">
        <f>+HYPERLINK("http://trademark.i-assist.jp/data/china/image_1913th/80738917.pdf","80738917")</f>
        <v>80738917</v>
      </c>
      <c r="F251" s="11" t="s">
        <v>1793</v>
      </c>
      <c r="G251" s="11" t="s">
        <v>1794</v>
      </c>
      <c r="H251" s="11" t="s">
        <v>1795</v>
      </c>
      <c r="I251" s="12">
        <v>45539</v>
      </c>
    </row>
    <row r="252" spans="1:9" x14ac:dyDescent="0.15">
      <c r="A252" s="9">
        <v>251</v>
      </c>
      <c r="B252" s="10" t="s">
        <v>9</v>
      </c>
      <c r="C252" s="11" t="s">
        <v>10</v>
      </c>
      <c r="D252" s="12">
        <v>45623</v>
      </c>
      <c r="E252" s="13" t="str">
        <f>+HYPERLINK("http://trademark.i-assist.jp/data/china/image_1913th/80742829.pdf","80742829")</f>
        <v>80742829</v>
      </c>
      <c r="F252" s="11" t="s">
        <v>1796</v>
      </c>
      <c r="G252" s="11" t="s">
        <v>184</v>
      </c>
      <c r="H252" s="11" t="s">
        <v>1382</v>
      </c>
      <c r="I252" s="12">
        <v>45539</v>
      </c>
    </row>
    <row r="253" spans="1:9" x14ac:dyDescent="0.15">
      <c r="A253" s="9">
        <v>252</v>
      </c>
      <c r="B253" s="10" t="s">
        <v>9</v>
      </c>
      <c r="C253" s="11" t="s">
        <v>10</v>
      </c>
      <c r="D253" s="12">
        <v>45623</v>
      </c>
      <c r="E253" s="13" t="str">
        <f>+HYPERLINK("http://trademark.i-assist.jp/data/china/image_1913th/80744900.pdf","80744900")</f>
        <v>80744900</v>
      </c>
      <c r="F253" s="11" t="s">
        <v>1797</v>
      </c>
      <c r="G253" s="11" t="s">
        <v>1798</v>
      </c>
      <c r="H253" s="11" t="s">
        <v>1799</v>
      </c>
      <c r="I253" s="12">
        <v>45539</v>
      </c>
    </row>
    <row r="254" spans="1:9" x14ac:dyDescent="0.15">
      <c r="A254" s="9">
        <v>253</v>
      </c>
      <c r="B254" s="10" t="s">
        <v>9</v>
      </c>
      <c r="C254" s="11" t="s">
        <v>10</v>
      </c>
      <c r="D254" s="12">
        <v>45623</v>
      </c>
      <c r="E254" s="13" t="str">
        <f>+HYPERLINK("http://trademark.i-assist.jp/data/china/image_1913th/80745371.pdf","80745371")</f>
        <v>80745371</v>
      </c>
      <c r="F254" s="11" t="s">
        <v>186</v>
      </c>
      <c r="G254" s="11" t="s">
        <v>185</v>
      </c>
      <c r="H254" s="11" t="s">
        <v>1800</v>
      </c>
      <c r="I254" s="12">
        <v>45539</v>
      </c>
    </row>
    <row r="255" spans="1:9" x14ac:dyDescent="0.15">
      <c r="A255" s="9">
        <v>254</v>
      </c>
      <c r="B255" s="10" t="s">
        <v>9</v>
      </c>
      <c r="C255" s="11" t="s">
        <v>10</v>
      </c>
      <c r="D255" s="12">
        <v>45623</v>
      </c>
      <c r="E255" s="13" t="str">
        <f>+HYPERLINK("http://trademark.i-assist.jp/data/china/image_1913th/80754890.pdf","80754890")</f>
        <v>80754890</v>
      </c>
      <c r="F255" s="11" t="s">
        <v>188</v>
      </c>
      <c r="G255" s="11" t="s">
        <v>187</v>
      </c>
      <c r="H255" s="11" t="s">
        <v>1801</v>
      </c>
      <c r="I255" s="12">
        <v>45540</v>
      </c>
    </row>
    <row r="256" spans="1:9" x14ac:dyDescent="0.15">
      <c r="A256" s="9">
        <v>255</v>
      </c>
      <c r="B256" s="10" t="s">
        <v>9</v>
      </c>
      <c r="C256" s="11" t="s">
        <v>10</v>
      </c>
      <c r="D256" s="12">
        <v>45623</v>
      </c>
      <c r="E256" s="13" t="str">
        <f>+HYPERLINK("http://trademark.i-assist.jp/data/china/image_1913th/80683772.pdf","80683772")</f>
        <v>80683772</v>
      </c>
      <c r="F256" s="11" t="s">
        <v>1802</v>
      </c>
      <c r="G256" s="11" t="s">
        <v>1803</v>
      </c>
      <c r="H256" s="11" t="s">
        <v>1804</v>
      </c>
      <c r="I256" s="12">
        <v>45537</v>
      </c>
    </row>
    <row r="257" spans="1:9" x14ac:dyDescent="0.15">
      <c r="A257" s="9">
        <v>256</v>
      </c>
      <c r="B257" s="10" t="s">
        <v>9</v>
      </c>
      <c r="C257" s="11" t="s">
        <v>10</v>
      </c>
      <c r="D257" s="12">
        <v>45623</v>
      </c>
      <c r="E257" s="13" t="str">
        <f>+HYPERLINK("http://trademark.i-assist.jp/data/china/image_1913th/80684636.pdf","80684636")</f>
        <v>80684636</v>
      </c>
      <c r="F257" s="11" t="s">
        <v>1805</v>
      </c>
      <c r="G257" s="11" t="s">
        <v>1806</v>
      </c>
      <c r="H257" s="11" t="s">
        <v>1807</v>
      </c>
      <c r="I257" s="12">
        <v>45537</v>
      </c>
    </row>
    <row r="258" spans="1:9" x14ac:dyDescent="0.15">
      <c r="A258" s="9">
        <v>257</v>
      </c>
      <c r="B258" s="10" t="s">
        <v>9</v>
      </c>
      <c r="C258" s="11" t="s">
        <v>10</v>
      </c>
      <c r="D258" s="12">
        <v>45623</v>
      </c>
      <c r="E258" s="13" t="str">
        <f>+HYPERLINK("http://trademark.i-assist.jp/data/china/image_1913th/80686062.pdf","80686062")</f>
        <v>80686062</v>
      </c>
      <c r="F258" s="11" t="s">
        <v>189</v>
      </c>
      <c r="G258" s="11" t="s">
        <v>1808</v>
      </c>
      <c r="H258" s="11" t="s">
        <v>1809</v>
      </c>
      <c r="I258" s="12">
        <v>45537</v>
      </c>
    </row>
    <row r="259" spans="1:9" x14ac:dyDescent="0.15">
      <c r="A259" s="9">
        <v>258</v>
      </c>
      <c r="B259" s="10" t="s">
        <v>9</v>
      </c>
      <c r="C259" s="11" t="s">
        <v>10</v>
      </c>
      <c r="D259" s="12">
        <v>45623</v>
      </c>
      <c r="E259" s="13" t="str">
        <f>+HYPERLINK("http://trademark.i-assist.jp/data/china/image_1913th/80686335.pdf","80686335")</f>
        <v>80686335</v>
      </c>
      <c r="F259" s="11" t="s">
        <v>190</v>
      </c>
      <c r="G259" s="11" t="s">
        <v>1810</v>
      </c>
      <c r="H259" s="11" t="s">
        <v>1278</v>
      </c>
      <c r="I259" s="12">
        <v>45537</v>
      </c>
    </row>
    <row r="260" spans="1:9" x14ac:dyDescent="0.15">
      <c r="A260" s="9">
        <v>259</v>
      </c>
      <c r="B260" s="10" t="s">
        <v>9</v>
      </c>
      <c r="C260" s="11" t="s">
        <v>10</v>
      </c>
      <c r="D260" s="12">
        <v>45623</v>
      </c>
      <c r="E260" s="13" t="str">
        <f>+HYPERLINK("http://trademark.i-assist.jp/data/china/image_1913th/80687872.pdf","80687872")</f>
        <v>80687872</v>
      </c>
      <c r="F260" s="11" t="s">
        <v>1811</v>
      </c>
      <c r="G260" s="11" t="s">
        <v>191</v>
      </c>
      <c r="H260" s="11" t="s">
        <v>1812</v>
      </c>
      <c r="I260" s="12">
        <v>45537</v>
      </c>
    </row>
    <row r="261" spans="1:9" x14ac:dyDescent="0.15">
      <c r="A261" s="9">
        <v>260</v>
      </c>
      <c r="B261" s="10" t="s">
        <v>9</v>
      </c>
      <c r="C261" s="11" t="s">
        <v>10</v>
      </c>
      <c r="D261" s="12">
        <v>45623</v>
      </c>
      <c r="E261" s="13" t="str">
        <f>+HYPERLINK("http://trademark.i-assist.jp/data/china/image_1913th/80688193.pdf","80688193")</f>
        <v>80688193</v>
      </c>
      <c r="F261" s="11" t="s">
        <v>1813</v>
      </c>
      <c r="G261" s="11" t="s">
        <v>1814</v>
      </c>
      <c r="H261" s="11" t="s">
        <v>1815</v>
      </c>
      <c r="I261" s="12">
        <v>45537</v>
      </c>
    </row>
    <row r="262" spans="1:9" x14ac:dyDescent="0.15">
      <c r="A262" s="9">
        <v>261</v>
      </c>
      <c r="B262" s="10" t="s">
        <v>9</v>
      </c>
      <c r="C262" s="11" t="s">
        <v>10</v>
      </c>
      <c r="D262" s="12">
        <v>45623</v>
      </c>
      <c r="E262" s="13" t="str">
        <f>+HYPERLINK("http://trademark.i-assist.jp/data/china/image_1913th/80689714.pdf","80689714")</f>
        <v>80689714</v>
      </c>
      <c r="F262" s="11" t="s">
        <v>192</v>
      </c>
      <c r="G262" s="11" t="s">
        <v>1816</v>
      </c>
      <c r="H262" s="11" t="s">
        <v>1817</v>
      </c>
      <c r="I262" s="12">
        <v>45537</v>
      </c>
    </row>
    <row r="263" spans="1:9" x14ac:dyDescent="0.15">
      <c r="A263" s="9">
        <v>262</v>
      </c>
      <c r="B263" s="10" t="s">
        <v>9</v>
      </c>
      <c r="C263" s="11" t="s">
        <v>10</v>
      </c>
      <c r="D263" s="12">
        <v>45623</v>
      </c>
      <c r="E263" s="13" t="str">
        <f>+HYPERLINK("http://trademark.i-assist.jp/data/china/image_1913th/80690042.pdf","80690042")</f>
        <v>80690042</v>
      </c>
      <c r="F263" s="11" t="s">
        <v>193</v>
      </c>
      <c r="G263" s="11" t="s">
        <v>1818</v>
      </c>
      <c r="H263" s="11" t="s">
        <v>1819</v>
      </c>
      <c r="I263" s="12">
        <v>45537</v>
      </c>
    </row>
    <row r="264" spans="1:9" x14ac:dyDescent="0.15">
      <c r="A264" s="9">
        <v>263</v>
      </c>
      <c r="B264" s="10" t="s">
        <v>9</v>
      </c>
      <c r="C264" s="11" t="s">
        <v>10</v>
      </c>
      <c r="D264" s="12">
        <v>45623</v>
      </c>
      <c r="E264" s="13" t="str">
        <f>+HYPERLINK("http://trademark.i-assist.jp/data/china/image_1913th/80694118.pdf","80694118")</f>
        <v>80694118</v>
      </c>
      <c r="F264" s="11" t="s">
        <v>1820</v>
      </c>
      <c r="G264" s="11" t="s">
        <v>1821</v>
      </c>
      <c r="H264" s="11" t="s">
        <v>1822</v>
      </c>
      <c r="I264" s="12">
        <v>45537</v>
      </c>
    </row>
    <row r="265" spans="1:9" x14ac:dyDescent="0.15">
      <c r="A265" s="9">
        <v>264</v>
      </c>
      <c r="B265" s="10" t="s">
        <v>9</v>
      </c>
      <c r="C265" s="11" t="s">
        <v>10</v>
      </c>
      <c r="D265" s="12">
        <v>45623</v>
      </c>
      <c r="E265" s="13" t="str">
        <f>+HYPERLINK("http://trademark.i-assist.jp/data/china/image_1913th/80699755.pdf","80699755")</f>
        <v>80699755</v>
      </c>
      <c r="F265" s="11" t="s">
        <v>194</v>
      </c>
      <c r="G265" s="11" t="s">
        <v>1400</v>
      </c>
      <c r="H265" s="11" t="s">
        <v>1401</v>
      </c>
      <c r="I265" s="12">
        <v>45537</v>
      </c>
    </row>
    <row r="266" spans="1:9" x14ac:dyDescent="0.15">
      <c r="A266" s="9">
        <v>265</v>
      </c>
      <c r="B266" s="10" t="s">
        <v>9</v>
      </c>
      <c r="C266" s="11" t="s">
        <v>10</v>
      </c>
      <c r="D266" s="12">
        <v>45623</v>
      </c>
      <c r="E266" s="13" t="str">
        <f>+HYPERLINK("http://trademark.i-assist.jp/data/china/image_1913th/80703568.pdf","80703568")</f>
        <v>80703568</v>
      </c>
      <c r="F266" s="11" t="s">
        <v>1823</v>
      </c>
      <c r="G266" s="11" t="s">
        <v>1593</v>
      </c>
      <c r="H266" s="11" t="s">
        <v>1567</v>
      </c>
      <c r="I266" s="12">
        <v>45537</v>
      </c>
    </row>
    <row r="267" spans="1:9" x14ac:dyDescent="0.15">
      <c r="A267" s="9">
        <v>266</v>
      </c>
      <c r="B267" s="10" t="s">
        <v>9</v>
      </c>
      <c r="C267" s="11" t="s">
        <v>10</v>
      </c>
      <c r="D267" s="12">
        <v>45623</v>
      </c>
      <c r="E267" s="13" t="str">
        <f>+HYPERLINK("http://trademark.i-assist.jp/data/china/image_1913th/80461299.pdf","80461299")</f>
        <v>80461299</v>
      </c>
      <c r="F267" s="11" t="s">
        <v>195</v>
      </c>
      <c r="G267" s="11" t="s">
        <v>1824</v>
      </c>
      <c r="H267" s="11" t="s">
        <v>1825</v>
      </c>
      <c r="I267" s="12">
        <v>45524</v>
      </c>
    </row>
    <row r="268" spans="1:9" x14ac:dyDescent="0.15">
      <c r="A268" s="9">
        <v>267</v>
      </c>
      <c r="B268" s="10" t="s">
        <v>9</v>
      </c>
      <c r="C268" s="11" t="s">
        <v>10</v>
      </c>
      <c r="D268" s="12">
        <v>45623</v>
      </c>
      <c r="E268" s="13" t="str">
        <f>+HYPERLINK("http://trademark.i-assist.jp/data/china/image_1913th/80477809.pdf","80477809")</f>
        <v>80477809</v>
      </c>
      <c r="F268" s="11" t="s">
        <v>1826</v>
      </c>
      <c r="G268" s="11" t="s">
        <v>1827</v>
      </c>
      <c r="H268" s="11" t="s">
        <v>1828</v>
      </c>
      <c r="I268" s="12">
        <v>45525</v>
      </c>
    </row>
    <row r="269" spans="1:9" x14ac:dyDescent="0.15">
      <c r="A269" s="9">
        <v>268</v>
      </c>
      <c r="B269" s="10" t="s">
        <v>9</v>
      </c>
      <c r="C269" s="11" t="s">
        <v>10</v>
      </c>
      <c r="D269" s="12">
        <v>45623</v>
      </c>
      <c r="E269" s="13" t="str">
        <f>+HYPERLINK("http://trademark.i-assist.jp/data/china/image_1913th/80506916.pdf","80506916")</f>
        <v>80506916</v>
      </c>
      <c r="F269" s="11" t="s">
        <v>1829</v>
      </c>
      <c r="G269" s="11" t="s">
        <v>1830</v>
      </c>
      <c r="H269" s="11" t="s">
        <v>1831</v>
      </c>
      <c r="I269" s="12">
        <v>45526</v>
      </c>
    </row>
    <row r="270" spans="1:9" x14ac:dyDescent="0.15">
      <c r="A270" s="9">
        <v>269</v>
      </c>
      <c r="B270" s="10" t="s">
        <v>9</v>
      </c>
      <c r="C270" s="11" t="s">
        <v>10</v>
      </c>
      <c r="D270" s="12">
        <v>45623</v>
      </c>
      <c r="E270" s="13" t="str">
        <f>+HYPERLINK("http://trademark.i-assist.jp/data/china/image_1913th/80546101.pdf","80546101")</f>
        <v>80546101</v>
      </c>
      <c r="F270" s="11" t="s">
        <v>1832</v>
      </c>
      <c r="G270" s="11" t="s">
        <v>1833</v>
      </c>
      <c r="H270" s="11" t="s">
        <v>1834</v>
      </c>
      <c r="I270" s="12">
        <v>45528</v>
      </c>
    </row>
    <row r="271" spans="1:9" x14ac:dyDescent="0.15">
      <c r="A271" s="9">
        <v>270</v>
      </c>
      <c r="B271" s="10" t="s">
        <v>9</v>
      </c>
      <c r="C271" s="11" t="s">
        <v>10</v>
      </c>
      <c r="D271" s="12">
        <v>45623</v>
      </c>
      <c r="E271" s="13" t="str">
        <f>+HYPERLINK("http://trademark.i-assist.jp/data/china/image_1913th/80797135.pdf","80797135")</f>
        <v>80797135</v>
      </c>
      <c r="F271" s="11" t="s">
        <v>1835</v>
      </c>
      <c r="G271" s="11" t="s">
        <v>1836</v>
      </c>
      <c r="H271" s="11" t="s">
        <v>1837</v>
      </c>
      <c r="I271" s="12">
        <v>45541</v>
      </c>
    </row>
    <row r="272" spans="1:9" x14ac:dyDescent="0.15">
      <c r="A272" s="9">
        <v>271</v>
      </c>
      <c r="B272" s="10" t="s">
        <v>9</v>
      </c>
      <c r="C272" s="11" t="s">
        <v>10</v>
      </c>
      <c r="D272" s="12">
        <v>45623</v>
      </c>
      <c r="E272" s="13" t="str">
        <f>+HYPERLINK("http://trademark.i-assist.jp/data/china/image_1913th/80801043.pdf","80801043")</f>
        <v>80801043</v>
      </c>
      <c r="F272" s="11" t="s">
        <v>1838</v>
      </c>
      <c r="G272" s="11" t="s">
        <v>1839</v>
      </c>
      <c r="H272" s="11" t="s">
        <v>1840</v>
      </c>
      <c r="I272" s="12">
        <v>45541</v>
      </c>
    </row>
    <row r="273" spans="1:9" x14ac:dyDescent="0.15">
      <c r="A273" s="9">
        <v>272</v>
      </c>
      <c r="B273" s="10" t="s">
        <v>9</v>
      </c>
      <c r="C273" s="11" t="s">
        <v>10</v>
      </c>
      <c r="D273" s="12">
        <v>45623</v>
      </c>
      <c r="E273" s="13" t="str">
        <f>+HYPERLINK("http://trademark.i-assist.jp/data/china/image_1913th/80816632.pdf","80816632")</f>
        <v>80816632</v>
      </c>
      <c r="F273" s="11" t="s">
        <v>196</v>
      </c>
      <c r="G273" s="11" t="s">
        <v>1841</v>
      </c>
      <c r="H273" s="11" t="s">
        <v>1588</v>
      </c>
      <c r="I273" s="12">
        <v>45544</v>
      </c>
    </row>
    <row r="274" spans="1:9" x14ac:dyDescent="0.15">
      <c r="A274" s="9">
        <v>273</v>
      </c>
      <c r="B274" s="10" t="s">
        <v>9</v>
      </c>
      <c r="C274" s="11" t="s">
        <v>10</v>
      </c>
      <c r="D274" s="12">
        <v>45623</v>
      </c>
      <c r="E274" s="13" t="str">
        <f>+HYPERLINK("http://trademark.i-assist.jp/data/china/image_1913th/80817158.pdf","80817158")</f>
        <v>80817158</v>
      </c>
      <c r="F274" s="11" t="s">
        <v>197</v>
      </c>
      <c r="G274" s="11" t="s">
        <v>1842</v>
      </c>
      <c r="H274" s="11" t="s">
        <v>1843</v>
      </c>
      <c r="I274" s="12">
        <v>45544</v>
      </c>
    </row>
    <row r="275" spans="1:9" x14ac:dyDescent="0.15">
      <c r="A275" s="9">
        <v>274</v>
      </c>
      <c r="B275" s="10" t="s">
        <v>9</v>
      </c>
      <c r="C275" s="11" t="s">
        <v>10</v>
      </c>
      <c r="D275" s="12">
        <v>45623</v>
      </c>
      <c r="E275" s="13" t="str">
        <f>+HYPERLINK("http://trademark.i-assist.jp/data/china/image_1913th/80821889.pdf","80821889")</f>
        <v>80821889</v>
      </c>
      <c r="F275" s="11" t="s">
        <v>1844</v>
      </c>
      <c r="G275" s="11" t="s">
        <v>198</v>
      </c>
      <c r="H275" s="11" t="s">
        <v>1666</v>
      </c>
      <c r="I275" s="12">
        <v>45544</v>
      </c>
    </row>
    <row r="276" spans="1:9" x14ac:dyDescent="0.15">
      <c r="A276" s="9">
        <v>275</v>
      </c>
      <c r="B276" s="10" t="s">
        <v>9</v>
      </c>
      <c r="C276" s="11" t="s">
        <v>10</v>
      </c>
      <c r="D276" s="12">
        <v>45623</v>
      </c>
      <c r="E276" s="13" t="str">
        <f>+HYPERLINK("http://trademark.i-assist.jp/data/china/image_1913th/80824273.pdf","80824273")</f>
        <v>80824273</v>
      </c>
      <c r="F276" s="11" t="s">
        <v>1845</v>
      </c>
      <c r="G276" s="11" t="s">
        <v>1846</v>
      </c>
      <c r="H276" s="11" t="s">
        <v>1430</v>
      </c>
      <c r="I276" s="12">
        <v>45544</v>
      </c>
    </row>
    <row r="277" spans="1:9" x14ac:dyDescent="0.15">
      <c r="A277" s="9">
        <v>276</v>
      </c>
      <c r="B277" s="10" t="s">
        <v>9</v>
      </c>
      <c r="C277" s="11" t="s">
        <v>10</v>
      </c>
      <c r="D277" s="12">
        <v>45623</v>
      </c>
      <c r="E277" s="13" t="str">
        <f>+HYPERLINK("http://trademark.i-assist.jp/data/china/image_1913th/80901737.pdf","80901737")</f>
        <v>80901737</v>
      </c>
      <c r="F277" s="11" t="s">
        <v>199</v>
      </c>
      <c r="G277" s="11" t="s">
        <v>1847</v>
      </c>
      <c r="H277" s="11" t="s">
        <v>1848</v>
      </c>
      <c r="I277" s="12">
        <v>45548</v>
      </c>
    </row>
    <row r="278" spans="1:9" x14ac:dyDescent="0.15">
      <c r="A278" s="9">
        <v>277</v>
      </c>
      <c r="B278" s="10" t="s">
        <v>9</v>
      </c>
      <c r="C278" s="11" t="s">
        <v>10</v>
      </c>
      <c r="D278" s="12">
        <v>45623</v>
      </c>
      <c r="E278" s="13" t="str">
        <f>+HYPERLINK("http://trademark.i-assist.jp/data/china/image_1913th/80923874.pdf","80923874")</f>
        <v>80923874</v>
      </c>
      <c r="F278" s="11" t="s">
        <v>1849</v>
      </c>
      <c r="G278" s="11" t="s">
        <v>1850</v>
      </c>
      <c r="H278" s="11" t="s">
        <v>1302</v>
      </c>
      <c r="I278" s="12">
        <v>45548</v>
      </c>
    </row>
    <row r="279" spans="1:9" x14ac:dyDescent="0.15">
      <c r="A279" s="9">
        <v>278</v>
      </c>
      <c r="B279" s="10" t="s">
        <v>9</v>
      </c>
      <c r="C279" s="11" t="s">
        <v>10</v>
      </c>
      <c r="D279" s="12">
        <v>45623</v>
      </c>
      <c r="E279" s="13" t="str">
        <f>+HYPERLINK("http://trademark.i-assist.jp/data/china/image_1913th/80949763.pdf","80949763")</f>
        <v>80949763</v>
      </c>
      <c r="F279" s="11" t="s">
        <v>201</v>
      </c>
      <c r="G279" s="11" t="s">
        <v>200</v>
      </c>
      <c r="H279" s="11" t="s">
        <v>1851</v>
      </c>
      <c r="I279" s="12">
        <v>45549</v>
      </c>
    </row>
    <row r="280" spans="1:9" x14ac:dyDescent="0.15">
      <c r="A280" s="9">
        <v>279</v>
      </c>
      <c r="B280" s="10" t="s">
        <v>9</v>
      </c>
      <c r="C280" s="11" t="s">
        <v>10</v>
      </c>
      <c r="D280" s="12">
        <v>45623</v>
      </c>
      <c r="E280" s="13" t="str">
        <f>+HYPERLINK("http://trademark.i-assist.jp/data/china/image_1913th/80359454.pdf","80359454")</f>
        <v>80359454</v>
      </c>
      <c r="F280" s="11" t="s">
        <v>1335</v>
      </c>
      <c r="G280" s="11" t="s">
        <v>1852</v>
      </c>
      <c r="H280" s="11" t="s">
        <v>1853</v>
      </c>
      <c r="I280" s="12">
        <v>45518</v>
      </c>
    </row>
    <row r="281" spans="1:9" x14ac:dyDescent="0.15">
      <c r="A281" s="9">
        <v>280</v>
      </c>
      <c r="B281" s="10" t="s">
        <v>9</v>
      </c>
      <c r="C281" s="11" t="s">
        <v>10</v>
      </c>
      <c r="D281" s="12">
        <v>45623</v>
      </c>
      <c r="E281" s="13" t="str">
        <f>+HYPERLINK("http://trademark.i-assist.jp/data/china/image_1913th/80379118.pdf","80379118")</f>
        <v>80379118</v>
      </c>
      <c r="F281" s="11" t="s">
        <v>1854</v>
      </c>
      <c r="G281" s="11" t="s">
        <v>1855</v>
      </c>
      <c r="H281" s="11" t="s">
        <v>1856</v>
      </c>
      <c r="I281" s="12">
        <v>45519</v>
      </c>
    </row>
    <row r="282" spans="1:9" x14ac:dyDescent="0.15">
      <c r="A282" s="9">
        <v>281</v>
      </c>
      <c r="B282" s="10" t="s">
        <v>9</v>
      </c>
      <c r="C282" s="11" t="s">
        <v>10</v>
      </c>
      <c r="D282" s="12">
        <v>45623</v>
      </c>
      <c r="E282" s="13" t="str">
        <f>+HYPERLINK("http://trademark.i-assist.jp/data/china/image_1913th/80393100.pdf","80393100")</f>
        <v>80393100</v>
      </c>
      <c r="F282" s="11" t="s">
        <v>203</v>
      </c>
      <c r="G282" s="11" t="s">
        <v>202</v>
      </c>
      <c r="H282" s="11" t="s">
        <v>1857</v>
      </c>
      <c r="I282" s="12">
        <v>45519</v>
      </c>
    </row>
    <row r="283" spans="1:9" x14ac:dyDescent="0.15">
      <c r="A283" s="9">
        <v>282</v>
      </c>
      <c r="B283" s="10" t="s">
        <v>9</v>
      </c>
      <c r="C283" s="11" t="s">
        <v>10</v>
      </c>
      <c r="D283" s="12">
        <v>45623</v>
      </c>
      <c r="E283" s="13" t="str">
        <f>+HYPERLINK("http://trademark.i-assist.jp/data/china/image_1913th/80410441.pdf","80410441")</f>
        <v>80410441</v>
      </c>
      <c r="F283" s="11" t="s">
        <v>1858</v>
      </c>
      <c r="G283" s="11" t="s">
        <v>1859</v>
      </c>
      <c r="H283" s="11" t="s">
        <v>1423</v>
      </c>
      <c r="I283" s="12">
        <v>45520</v>
      </c>
    </row>
    <row r="284" spans="1:9" x14ac:dyDescent="0.15">
      <c r="A284" s="9">
        <v>283</v>
      </c>
      <c r="B284" s="10" t="s">
        <v>9</v>
      </c>
      <c r="C284" s="11" t="s">
        <v>10</v>
      </c>
      <c r="D284" s="12">
        <v>45623</v>
      </c>
      <c r="E284" s="13" t="str">
        <f>+HYPERLINK("http://trademark.i-assist.jp/data/china/image_1913th/80418729.pdf","80418729")</f>
        <v>80418729</v>
      </c>
      <c r="F284" s="11" t="s">
        <v>204</v>
      </c>
      <c r="G284" s="11" t="s">
        <v>1860</v>
      </c>
      <c r="H284" s="11" t="s">
        <v>1861</v>
      </c>
      <c r="I284" s="12">
        <v>45521</v>
      </c>
    </row>
    <row r="285" spans="1:9" x14ac:dyDescent="0.15">
      <c r="A285" s="9">
        <v>284</v>
      </c>
      <c r="B285" s="10" t="s">
        <v>9</v>
      </c>
      <c r="C285" s="11" t="s">
        <v>10</v>
      </c>
      <c r="D285" s="12">
        <v>45623</v>
      </c>
      <c r="E285" s="13" t="str">
        <f>+HYPERLINK("http://trademark.i-assist.jp/data/china/image_1913th/80424718.pdf","80424718")</f>
        <v>80424718</v>
      </c>
      <c r="F285" s="11" t="s">
        <v>206</v>
      </c>
      <c r="G285" s="11" t="s">
        <v>205</v>
      </c>
      <c r="H285" s="11" t="s">
        <v>1862</v>
      </c>
      <c r="I285" s="12">
        <v>45522</v>
      </c>
    </row>
    <row r="286" spans="1:9" x14ac:dyDescent="0.15">
      <c r="A286" s="9">
        <v>285</v>
      </c>
      <c r="B286" s="10" t="s">
        <v>9</v>
      </c>
      <c r="C286" s="11" t="s">
        <v>10</v>
      </c>
      <c r="D286" s="12">
        <v>45623</v>
      </c>
      <c r="E286" s="13" t="str">
        <f>+HYPERLINK("http://trademark.i-assist.jp/data/china/image_1913th/80440324.pdf","80440324")</f>
        <v>80440324</v>
      </c>
      <c r="F286" s="11" t="s">
        <v>1863</v>
      </c>
      <c r="G286" s="11" t="s">
        <v>1864</v>
      </c>
      <c r="H286" s="11" t="s">
        <v>1865</v>
      </c>
      <c r="I286" s="12">
        <v>45523</v>
      </c>
    </row>
    <row r="287" spans="1:9" x14ac:dyDescent="0.15">
      <c r="A287" s="9">
        <v>286</v>
      </c>
      <c r="B287" s="10" t="s">
        <v>9</v>
      </c>
      <c r="C287" s="11" t="s">
        <v>10</v>
      </c>
      <c r="D287" s="12">
        <v>45623</v>
      </c>
      <c r="E287" s="13" t="str">
        <f>+HYPERLINK("http://trademark.i-assist.jp/data/china/image_1913th/80446166.pdf","80446166")</f>
        <v>80446166</v>
      </c>
      <c r="F287" s="11" t="s">
        <v>1866</v>
      </c>
      <c r="G287" s="11" t="s">
        <v>1867</v>
      </c>
      <c r="H287" s="11" t="s">
        <v>1868</v>
      </c>
      <c r="I287" s="12">
        <v>45523</v>
      </c>
    </row>
    <row r="288" spans="1:9" x14ac:dyDescent="0.15">
      <c r="A288" s="9">
        <v>287</v>
      </c>
      <c r="B288" s="10" t="s">
        <v>9</v>
      </c>
      <c r="C288" s="11" t="s">
        <v>10</v>
      </c>
      <c r="D288" s="12">
        <v>45623</v>
      </c>
      <c r="E288" s="13" t="str">
        <f>+HYPERLINK("http://trademark.i-assist.jp/data/china/image_1913th/80454609.pdf","80454609")</f>
        <v>80454609</v>
      </c>
      <c r="F288" s="11" t="s">
        <v>207</v>
      </c>
      <c r="G288" s="11" t="s">
        <v>1869</v>
      </c>
      <c r="H288" s="11" t="s">
        <v>1870</v>
      </c>
      <c r="I288" s="12">
        <v>45524</v>
      </c>
    </row>
    <row r="289" spans="1:9" x14ac:dyDescent="0.15">
      <c r="A289" s="9">
        <v>288</v>
      </c>
      <c r="B289" s="10" t="s">
        <v>9</v>
      </c>
      <c r="C289" s="11" t="s">
        <v>10</v>
      </c>
      <c r="D289" s="12">
        <v>45623</v>
      </c>
      <c r="E289" s="13" t="str">
        <f>+HYPERLINK("http://trademark.i-assist.jp/data/china/image_1913th/80828305.pdf","80828305")</f>
        <v>80828305</v>
      </c>
      <c r="F289" s="11" t="s">
        <v>208</v>
      </c>
      <c r="G289" s="11" t="s">
        <v>1871</v>
      </c>
      <c r="H289" s="11" t="s">
        <v>1872</v>
      </c>
      <c r="I289" s="12">
        <v>45544</v>
      </c>
    </row>
    <row r="290" spans="1:9" x14ac:dyDescent="0.15">
      <c r="A290" s="9">
        <v>289</v>
      </c>
      <c r="B290" s="10" t="s">
        <v>9</v>
      </c>
      <c r="C290" s="11" t="s">
        <v>10</v>
      </c>
      <c r="D290" s="12">
        <v>45623</v>
      </c>
      <c r="E290" s="13" t="str">
        <f>+HYPERLINK("http://trademark.i-assist.jp/data/china/image_1913th/80836881.pdf","80836881")</f>
        <v>80836881</v>
      </c>
      <c r="F290" s="11" t="s">
        <v>1873</v>
      </c>
      <c r="G290" s="11" t="s">
        <v>1874</v>
      </c>
      <c r="H290" s="11" t="s">
        <v>1302</v>
      </c>
      <c r="I290" s="12">
        <v>45545</v>
      </c>
    </row>
    <row r="291" spans="1:9" x14ac:dyDescent="0.15">
      <c r="A291" s="9">
        <v>290</v>
      </c>
      <c r="B291" s="10" t="s">
        <v>9</v>
      </c>
      <c r="C291" s="11" t="s">
        <v>10</v>
      </c>
      <c r="D291" s="12">
        <v>45623</v>
      </c>
      <c r="E291" s="13" t="str">
        <f>+HYPERLINK("http://trademark.i-assist.jp/data/china/image_1913th/80851159.pdf","80851159")</f>
        <v>80851159</v>
      </c>
      <c r="F291" s="11" t="s">
        <v>1875</v>
      </c>
      <c r="G291" s="11" t="s">
        <v>1876</v>
      </c>
      <c r="H291" s="11" t="s">
        <v>1877</v>
      </c>
      <c r="I291" s="12">
        <v>45545</v>
      </c>
    </row>
    <row r="292" spans="1:9" x14ac:dyDescent="0.15">
      <c r="A292" s="9">
        <v>291</v>
      </c>
      <c r="B292" s="10" t="s">
        <v>9</v>
      </c>
      <c r="C292" s="11" t="s">
        <v>10</v>
      </c>
      <c r="D292" s="12">
        <v>45623</v>
      </c>
      <c r="E292" s="13" t="str">
        <f>+HYPERLINK("http://trademark.i-assist.jp/data/china/image_1913th/80853614.pdf","80853614")</f>
        <v>80853614</v>
      </c>
      <c r="F292" s="11" t="s">
        <v>209</v>
      </c>
      <c r="G292" s="11" t="s">
        <v>1878</v>
      </c>
      <c r="H292" s="11" t="s">
        <v>1879</v>
      </c>
      <c r="I292" s="12">
        <v>45545</v>
      </c>
    </row>
    <row r="293" spans="1:9" x14ac:dyDescent="0.15">
      <c r="A293" s="9">
        <v>292</v>
      </c>
      <c r="B293" s="10" t="s">
        <v>9</v>
      </c>
      <c r="C293" s="11" t="s">
        <v>10</v>
      </c>
      <c r="D293" s="12">
        <v>45623</v>
      </c>
      <c r="E293" s="13" t="str">
        <f>+HYPERLINK("http://trademark.i-assist.jp/data/china/image_1913th/80901548.pdf","80901548")</f>
        <v>80901548</v>
      </c>
      <c r="F293" s="11" t="s">
        <v>1880</v>
      </c>
      <c r="G293" s="11" t="s">
        <v>1881</v>
      </c>
      <c r="H293" s="11" t="s">
        <v>1882</v>
      </c>
      <c r="I293" s="12">
        <v>45548</v>
      </c>
    </row>
    <row r="294" spans="1:9" x14ac:dyDescent="0.15">
      <c r="A294" s="9">
        <v>293</v>
      </c>
      <c r="B294" s="10" t="s">
        <v>9</v>
      </c>
      <c r="C294" s="11" t="s">
        <v>10</v>
      </c>
      <c r="D294" s="12">
        <v>45623</v>
      </c>
      <c r="E294" s="13" t="str">
        <f>+HYPERLINK("http://trademark.i-assist.jp/data/china/image_1913th/80904695.pdf","80904695")</f>
        <v>80904695</v>
      </c>
      <c r="F294" s="11" t="s">
        <v>211</v>
      </c>
      <c r="G294" s="11" t="s">
        <v>210</v>
      </c>
      <c r="H294" s="11" t="s">
        <v>1883</v>
      </c>
      <c r="I294" s="12">
        <v>45548</v>
      </c>
    </row>
    <row r="295" spans="1:9" x14ac:dyDescent="0.15">
      <c r="A295" s="9">
        <v>294</v>
      </c>
      <c r="B295" s="10" t="s">
        <v>9</v>
      </c>
      <c r="C295" s="11" t="s">
        <v>10</v>
      </c>
      <c r="D295" s="12">
        <v>45623</v>
      </c>
      <c r="E295" s="13" t="str">
        <f>+HYPERLINK("http://trademark.i-assist.jp/data/china/image_1913th/80652869.pdf","80652869")</f>
        <v>80652869</v>
      </c>
      <c r="F295" s="11" t="s">
        <v>212</v>
      </c>
      <c r="G295" s="11" t="s">
        <v>1884</v>
      </c>
      <c r="H295" s="11" t="s">
        <v>1885</v>
      </c>
      <c r="I295" s="12">
        <v>45534</v>
      </c>
    </row>
    <row r="296" spans="1:9" x14ac:dyDescent="0.15">
      <c r="A296" s="9">
        <v>295</v>
      </c>
      <c r="B296" s="10" t="s">
        <v>9</v>
      </c>
      <c r="C296" s="11" t="s">
        <v>10</v>
      </c>
      <c r="D296" s="12">
        <v>45623</v>
      </c>
      <c r="E296" s="13" t="str">
        <f>+HYPERLINK("http://trademark.i-assist.jp/data/china/image_1913th/80655679.pdf","80655679")</f>
        <v>80655679</v>
      </c>
      <c r="F296" s="11" t="s">
        <v>1886</v>
      </c>
      <c r="G296" s="11" t="s">
        <v>1887</v>
      </c>
      <c r="H296" s="11" t="s">
        <v>1888</v>
      </c>
      <c r="I296" s="12">
        <v>45534</v>
      </c>
    </row>
    <row r="297" spans="1:9" x14ac:dyDescent="0.15">
      <c r="A297" s="9">
        <v>296</v>
      </c>
      <c r="B297" s="10" t="s">
        <v>9</v>
      </c>
      <c r="C297" s="11" t="s">
        <v>10</v>
      </c>
      <c r="D297" s="12">
        <v>45623</v>
      </c>
      <c r="E297" s="13" t="str">
        <f>+HYPERLINK("http://trademark.i-assist.jp/data/china/image_1913th/80667947.pdf","80667947")</f>
        <v>80667947</v>
      </c>
      <c r="F297" s="11" t="s">
        <v>1889</v>
      </c>
      <c r="G297" s="11" t="s">
        <v>1890</v>
      </c>
      <c r="H297" s="11" t="s">
        <v>1891</v>
      </c>
      <c r="I297" s="12">
        <v>45534</v>
      </c>
    </row>
    <row r="298" spans="1:9" x14ac:dyDescent="0.15">
      <c r="A298" s="9">
        <v>297</v>
      </c>
      <c r="B298" s="10" t="s">
        <v>9</v>
      </c>
      <c r="C298" s="11" t="s">
        <v>10</v>
      </c>
      <c r="D298" s="12">
        <v>45623</v>
      </c>
      <c r="E298" s="13" t="str">
        <f>+HYPERLINK("http://trademark.i-assist.jp/data/china/image_1913th/80668094.pdf","80668094")</f>
        <v>80668094</v>
      </c>
      <c r="F298" s="11" t="s">
        <v>1892</v>
      </c>
      <c r="G298" s="11" t="s">
        <v>1887</v>
      </c>
      <c r="H298" s="11" t="s">
        <v>1888</v>
      </c>
      <c r="I298" s="12">
        <v>45534</v>
      </c>
    </row>
    <row r="299" spans="1:9" x14ac:dyDescent="0.15">
      <c r="A299" s="9">
        <v>298</v>
      </c>
      <c r="B299" s="10" t="s">
        <v>9</v>
      </c>
      <c r="C299" s="11" t="s">
        <v>10</v>
      </c>
      <c r="D299" s="12">
        <v>45623</v>
      </c>
      <c r="E299" s="13" t="str">
        <f>+HYPERLINK("http://trademark.i-assist.jp/data/china/image_1913th/80668395.pdf","80668395")</f>
        <v>80668395</v>
      </c>
      <c r="F299" s="11" t="s">
        <v>213</v>
      </c>
      <c r="G299" s="11" t="s">
        <v>1893</v>
      </c>
      <c r="H299" s="11" t="s">
        <v>1302</v>
      </c>
      <c r="I299" s="12">
        <v>45534</v>
      </c>
    </row>
    <row r="300" spans="1:9" x14ac:dyDescent="0.15">
      <c r="A300" s="9">
        <v>299</v>
      </c>
      <c r="B300" s="10" t="s">
        <v>9</v>
      </c>
      <c r="C300" s="11" t="s">
        <v>10</v>
      </c>
      <c r="D300" s="12">
        <v>45623</v>
      </c>
      <c r="E300" s="13" t="str">
        <f>+HYPERLINK("http://trademark.i-assist.jp/data/china/image_1913th/80672283.pdf","80672283")</f>
        <v>80672283</v>
      </c>
      <c r="F300" s="11" t="s">
        <v>1894</v>
      </c>
      <c r="G300" s="11" t="s">
        <v>214</v>
      </c>
      <c r="H300" s="11" t="s">
        <v>1895</v>
      </c>
      <c r="I300" s="12">
        <v>45534</v>
      </c>
    </row>
    <row r="301" spans="1:9" x14ac:dyDescent="0.15">
      <c r="A301" s="9">
        <v>300</v>
      </c>
      <c r="B301" s="10" t="s">
        <v>9</v>
      </c>
      <c r="C301" s="11" t="s">
        <v>10</v>
      </c>
      <c r="D301" s="12">
        <v>45623</v>
      </c>
      <c r="E301" s="13" t="str">
        <f>+HYPERLINK("http://trademark.i-assist.jp/data/china/image_1913th/80673664.pdf","80673664")</f>
        <v>80673664</v>
      </c>
      <c r="F301" s="11" t="s">
        <v>215</v>
      </c>
      <c r="G301" s="11" t="s">
        <v>1896</v>
      </c>
      <c r="H301" s="11" t="s">
        <v>1897</v>
      </c>
      <c r="I301" s="12">
        <v>45535</v>
      </c>
    </row>
    <row r="302" spans="1:9" x14ac:dyDescent="0.15">
      <c r="A302" s="9">
        <v>301</v>
      </c>
      <c r="B302" s="10" t="s">
        <v>9</v>
      </c>
      <c r="C302" s="11" t="s">
        <v>10</v>
      </c>
      <c r="D302" s="12">
        <v>45623</v>
      </c>
      <c r="E302" s="13" t="str">
        <f>+HYPERLINK("http://trademark.i-assist.jp/data/china/image_1913th/80678182.pdf","80678182")</f>
        <v>80678182</v>
      </c>
      <c r="F302" s="11" t="s">
        <v>216</v>
      </c>
      <c r="G302" s="11" t="s">
        <v>1898</v>
      </c>
      <c r="H302" s="11" t="s">
        <v>1899</v>
      </c>
      <c r="I302" s="12">
        <v>45535</v>
      </c>
    </row>
    <row r="303" spans="1:9" x14ac:dyDescent="0.15">
      <c r="A303" s="9">
        <v>302</v>
      </c>
      <c r="B303" s="10" t="s">
        <v>9</v>
      </c>
      <c r="C303" s="11" t="s">
        <v>10</v>
      </c>
      <c r="D303" s="12">
        <v>45623</v>
      </c>
      <c r="E303" s="13" t="str">
        <f>+HYPERLINK("http://trademark.i-assist.jp/data/china/image_1913th/80680845.pdf","80680845")</f>
        <v>80680845</v>
      </c>
      <c r="F303" s="11" t="s">
        <v>1900</v>
      </c>
      <c r="G303" s="11" t="s">
        <v>1901</v>
      </c>
      <c r="H303" s="11" t="s">
        <v>1902</v>
      </c>
      <c r="I303" s="12">
        <v>45536</v>
      </c>
    </row>
    <row r="304" spans="1:9" x14ac:dyDescent="0.15">
      <c r="A304" s="9">
        <v>303</v>
      </c>
      <c r="B304" s="10" t="s">
        <v>9</v>
      </c>
      <c r="C304" s="11" t="s">
        <v>10</v>
      </c>
      <c r="D304" s="12">
        <v>45623</v>
      </c>
      <c r="E304" s="13" t="str">
        <f>+HYPERLINK("http://trademark.i-assist.jp/data/china/image_1913th/80734692.pdf","80734692")</f>
        <v>80734692</v>
      </c>
      <c r="F304" s="11" t="s">
        <v>1903</v>
      </c>
      <c r="G304" s="11" t="s">
        <v>217</v>
      </c>
      <c r="H304" s="11" t="s">
        <v>1904</v>
      </c>
      <c r="I304" s="12">
        <v>45539</v>
      </c>
    </row>
    <row r="305" spans="1:9" x14ac:dyDescent="0.15">
      <c r="A305" s="9">
        <v>304</v>
      </c>
      <c r="B305" s="10" t="s">
        <v>9</v>
      </c>
      <c r="C305" s="11" t="s">
        <v>10</v>
      </c>
      <c r="D305" s="12">
        <v>45623</v>
      </c>
      <c r="E305" s="13" t="str">
        <f>+HYPERLINK("http://trademark.i-assist.jp/data/china/image_1913th/80734811.pdf","80734811")</f>
        <v>80734811</v>
      </c>
      <c r="F305" s="11" t="s">
        <v>1905</v>
      </c>
      <c r="G305" s="11" t="s">
        <v>218</v>
      </c>
      <c r="H305" s="11" t="s">
        <v>1906</v>
      </c>
      <c r="I305" s="12">
        <v>45539</v>
      </c>
    </row>
    <row r="306" spans="1:9" x14ac:dyDescent="0.15">
      <c r="A306" s="9">
        <v>305</v>
      </c>
      <c r="B306" s="10" t="s">
        <v>9</v>
      </c>
      <c r="C306" s="11" t="s">
        <v>10</v>
      </c>
      <c r="D306" s="12">
        <v>45623</v>
      </c>
      <c r="E306" s="13" t="str">
        <f>+HYPERLINK("http://trademark.i-assist.jp/data/china/image_1913th/80743638.pdf","80743638")</f>
        <v>80743638</v>
      </c>
      <c r="F306" s="11" t="s">
        <v>1907</v>
      </c>
      <c r="G306" s="11" t="s">
        <v>1908</v>
      </c>
      <c r="H306" s="11" t="s">
        <v>1909</v>
      </c>
      <c r="I306" s="12">
        <v>45539</v>
      </c>
    </row>
    <row r="307" spans="1:9" x14ac:dyDescent="0.15">
      <c r="A307" s="9">
        <v>306</v>
      </c>
      <c r="B307" s="10" t="s">
        <v>9</v>
      </c>
      <c r="C307" s="11" t="s">
        <v>10</v>
      </c>
      <c r="D307" s="12">
        <v>45623</v>
      </c>
      <c r="E307" s="13" t="str">
        <f>+HYPERLINK("http://trademark.i-assist.jp/data/china/image_1913th/80744168.pdf","80744168")</f>
        <v>80744168</v>
      </c>
      <c r="F307" s="11" t="s">
        <v>220</v>
      </c>
      <c r="G307" s="11" t="s">
        <v>219</v>
      </c>
      <c r="H307" s="11" t="s">
        <v>1302</v>
      </c>
      <c r="I307" s="12">
        <v>45539</v>
      </c>
    </row>
    <row r="308" spans="1:9" x14ac:dyDescent="0.15">
      <c r="A308" s="9">
        <v>307</v>
      </c>
      <c r="B308" s="10" t="s">
        <v>9</v>
      </c>
      <c r="C308" s="11" t="s">
        <v>10</v>
      </c>
      <c r="D308" s="12">
        <v>45623</v>
      </c>
      <c r="E308" s="13" t="str">
        <f>+HYPERLINK("http://trademark.i-assist.jp/data/china/image_1913th/80745493.pdf","80745493")</f>
        <v>80745493</v>
      </c>
      <c r="F308" s="11" t="s">
        <v>1910</v>
      </c>
      <c r="G308" s="11" t="s">
        <v>184</v>
      </c>
      <c r="H308" s="11" t="s">
        <v>1382</v>
      </c>
      <c r="I308" s="12">
        <v>45539</v>
      </c>
    </row>
    <row r="309" spans="1:9" x14ac:dyDescent="0.15">
      <c r="A309" s="9">
        <v>308</v>
      </c>
      <c r="B309" s="10" t="s">
        <v>9</v>
      </c>
      <c r="C309" s="11" t="s">
        <v>10</v>
      </c>
      <c r="D309" s="12">
        <v>45623</v>
      </c>
      <c r="E309" s="13" t="str">
        <f>+HYPERLINK("http://trademark.i-assist.jp/data/china/image_1913th/80752513.pdf","80752513")</f>
        <v>80752513</v>
      </c>
      <c r="F309" s="11" t="s">
        <v>221</v>
      </c>
      <c r="G309" s="11" t="s">
        <v>1911</v>
      </c>
      <c r="H309" s="11" t="s">
        <v>1912</v>
      </c>
      <c r="I309" s="12">
        <v>45539</v>
      </c>
    </row>
    <row r="310" spans="1:9" x14ac:dyDescent="0.15">
      <c r="A310" s="9">
        <v>309</v>
      </c>
      <c r="B310" s="10" t="s">
        <v>9</v>
      </c>
      <c r="C310" s="11" t="s">
        <v>10</v>
      </c>
      <c r="D310" s="12">
        <v>45623</v>
      </c>
      <c r="E310" s="13" t="str">
        <f>+HYPERLINK("http://trademark.i-assist.jp/data/china/image_1913th/80827259.pdf","80827259")</f>
        <v>80827259</v>
      </c>
      <c r="F310" s="11" t="s">
        <v>1913</v>
      </c>
      <c r="G310" s="11" t="s">
        <v>222</v>
      </c>
      <c r="H310" s="11" t="s">
        <v>1914</v>
      </c>
      <c r="I310" s="12">
        <v>45544</v>
      </c>
    </row>
    <row r="311" spans="1:9" x14ac:dyDescent="0.15">
      <c r="A311" s="9">
        <v>310</v>
      </c>
      <c r="B311" s="10" t="s">
        <v>9</v>
      </c>
      <c r="C311" s="11" t="s">
        <v>10</v>
      </c>
      <c r="D311" s="12">
        <v>45623</v>
      </c>
      <c r="E311" s="13" t="str">
        <f>+HYPERLINK("http://trademark.i-assist.jp/data/china/image_1913th/80827316.pdf","80827316")</f>
        <v>80827316</v>
      </c>
      <c r="F311" s="11" t="s">
        <v>1915</v>
      </c>
      <c r="G311" s="11" t="s">
        <v>223</v>
      </c>
      <c r="H311" s="11" t="s">
        <v>1916</v>
      </c>
      <c r="I311" s="12">
        <v>45544</v>
      </c>
    </row>
    <row r="312" spans="1:9" x14ac:dyDescent="0.15">
      <c r="A312" s="9">
        <v>311</v>
      </c>
      <c r="B312" s="10" t="s">
        <v>9</v>
      </c>
      <c r="C312" s="11" t="s">
        <v>10</v>
      </c>
      <c r="D312" s="12">
        <v>45623</v>
      </c>
      <c r="E312" s="13" t="str">
        <f>+HYPERLINK("http://trademark.i-assist.jp/data/china/image_1913th/80831702.pdf","80831702")</f>
        <v>80831702</v>
      </c>
      <c r="F312" s="11" t="s">
        <v>1917</v>
      </c>
      <c r="G312" s="11" t="s">
        <v>168</v>
      </c>
      <c r="H312" s="11" t="s">
        <v>1728</v>
      </c>
      <c r="I312" s="12">
        <v>45544</v>
      </c>
    </row>
    <row r="313" spans="1:9" x14ac:dyDescent="0.15">
      <c r="A313" s="9">
        <v>312</v>
      </c>
      <c r="B313" s="10" t="s">
        <v>9</v>
      </c>
      <c r="C313" s="11" t="s">
        <v>10</v>
      </c>
      <c r="D313" s="12">
        <v>45623</v>
      </c>
      <c r="E313" s="13" t="str">
        <f>+HYPERLINK("http://trademark.i-assist.jp/data/china/image_1913th/80832094.pdf","80832094")</f>
        <v>80832094</v>
      </c>
      <c r="F313" s="11" t="s">
        <v>1918</v>
      </c>
      <c r="G313" s="11" t="s">
        <v>1919</v>
      </c>
      <c r="H313" s="11" t="s">
        <v>1920</v>
      </c>
      <c r="I313" s="12">
        <v>45544</v>
      </c>
    </row>
    <row r="314" spans="1:9" x14ac:dyDescent="0.15">
      <c r="A314" s="9">
        <v>313</v>
      </c>
      <c r="B314" s="10" t="s">
        <v>9</v>
      </c>
      <c r="C314" s="11" t="s">
        <v>10</v>
      </c>
      <c r="D314" s="12">
        <v>45623</v>
      </c>
      <c r="E314" s="13" t="str">
        <f>+HYPERLINK("http://trademark.i-assist.jp/data/china/image_1913th/80854131.pdf","80854131")</f>
        <v>80854131</v>
      </c>
      <c r="F314" s="11" t="s">
        <v>1921</v>
      </c>
      <c r="G314" s="11" t="s">
        <v>1922</v>
      </c>
      <c r="H314" s="11" t="s">
        <v>1302</v>
      </c>
      <c r="I314" s="12">
        <v>45545</v>
      </c>
    </row>
    <row r="315" spans="1:9" x14ac:dyDescent="0.15">
      <c r="A315" s="9">
        <v>314</v>
      </c>
      <c r="B315" s="10" t="s">
        <v>9</v>
      </c>
      <c r="C315" s="11" t="s">
        <v>10</v>
      </c>
      <c r="D315" s="12">
        <v>45623</v>
      </c>
      <c r="E315" s="13" t="str">
        <f>+HYPERLINK("http://trademark.i-assist.jp/data/china/image_1913th/80860476.pdf","80860476")</f>
        <v>80860476</v>
      </c>
      <c r="F315" s="11" t="s">
        <v>225</v>
      </c>
      <c r="G315" s="11" t="s">
        <v>224</v>
      </c>
      <c r="H315" s="11" t="s">
        <v>1923</v>
      </c>
      <c r="I315" s="12">
        <v>45546</v>
      </c>
    </row>
    <row r="316" spans="1:9" x14ac:dyDescent="0.15">
      <c r="A316" s="9">
        <v>315</v>
      </c>
      <c r="B316" s="10" t="s">
        <v>9</v>
      </c>
      <c r="C316" s="11" t="s">
        <v>10</v>
      </c>
      <c r="D316" s="12">
        <v>45623</v>
      </c>
      <c r="E316" s="13" t="str">
        <f>+HYPERLINK("http://trademark.i-assist.jp/data/china/image_1913th/80896169.pdf","80896169")</f>
        <v>80896169</v>
      </c>
      <c r="F316" s="11" t="s">
        <v>1335</v>
      </c>
      <c r="G316" s="11" t="s">
        <v>1924</v>
      </c>
      <c r="H316" s="11" t="s">
        <v>1925</v>
      </c>
      <c r="I316" s="12">
        <v>45547</v>
      </c>
    </row>
    <row r="317" spans="1:9" x14ac:dyDescent="0.15">
      <c r="A317" s="9">
        <v>316</v>
      </c>
      <c r="B317" s="10" t="s">
        <v>9</v>
      </c>
      <c r="C317" s="11" t="s">
        <v>10</v>
      </c>
      <c r="D317" s="12">
        <v>45623</v>
      </c>
      <c r="E317" s="13" t="str">
        <f>+HYPERLINK("http://trademark.i-assist.jp/data/china/image_1913th/80705067.pdf","80705067")</f>
        <v>80705067</v>
      </c>
      <c r="F317" s="11" t="s">
        <v>1926</v>
      </c>
      <c r="G317" s="11" t="s">
        <v>1927</v>
      </c>
      <c r="H317" s="11" t="s">
        <v>1928</v>
      </c>
      <c r="I317" s="12">
        <v>45537</v>
      </c>
    </row>
    <row r="318" spans="1:9" x14ac:dyDescent="0.15">
      <c r="A318" s="9">
        <v>317</v>
      </c>
      <c r="B318" s="10" t="s">
        <v>9</v>
      </c>
      <c r="C318" s="11" t="s">
        <v>10</v>
      </c>
      <c r="D318" s="12">
        <v>45623</v>
      </c>
      <c r="E318" s="13" t="str">
        <f>+HYPERLINK("http://trademark.i-assist.jp/data/china/image_1913th/80706185.pdf","80706185")</f>
        <v>80706185</v>
      </c>
      <c r="F318" s="11" t="s">
        <v>1929</v>
      </c>
      <c r="G318" s="11" t="s">
        <v>35</v>
      </c>
      <c r="H318" s="11" t="s">
        <v>1368</v>
      </c>
      <c r="I318" s="12">
        <v>45537</v>
      </c>
    </row>
    <row r="319" spans="1:9" x14ac:dyDescent="0.15">
      <c r="A319" s="9">
        <v>318</v>
      </c>
      <c r="B319" s="10" t="s">
        <v>9</v>
      </c>
      <c r="C319" s="11" t="s">
        <v>10</v>
      </c>
      <c r="D319" s="12">
        <v>45623</v>
      </c>
      <c r="E319" s="13" t="str">
        <f>+HYPERLINK("http://trademark.i-assist.jp/data/china/image_1913th/80706437.pdf","80706437")</f>
        <v>80706437</v>
      </c>
      <c r="F319" s="11" t="s">
        <v>1930</v>
      </c>
      <c r="G319" s="11" t="s">
        <v>1931</v>
      </c>
      <c r="H319" s="11" t="s">
        <v>1423</v>
      </c>
      <c r="I319" s="12">
        <v>45538</v>
      </c>
    </row>
    <row r="320" spans="1:9" x14ac:dyDescent="0.15">
      <c r="A320" s="9">
        <v>319</v>
      </c>
      <c r="B320" s="10" t="s">
        <v>9</v>
      </c>
      <c r="C320" s="11" t="s">
        <v>10</v>
      </c>
      <c r="D320" s="12">
        <v>45623</v>
      </c>
      <c r="E320" s="13" t="str">
        <f>+HYPERLINK("http://trademark.i-assist.jp/data/china/image_1913th/80706895.pdf","80706895")</f>
        <v>80706895</v>
      </c>
      <c r="F320" s="11" t="s">
        <v>1335</v>
      </c>
      <c r="G320" s="11" t="s">
        <v>1932</v>
      </c>
      <c r="H320" s="11" t="s">
        <v>1933</v>
      </c>
      <c r="I320" s="12">
        <v>45538</v>
      </c>
    </row>
    <row r="321" spans="1:9" x14ac:dyDescent="0.15">
      <c r="A321" s="9">
        <v>320</v>
      </c>
      <c r="B321" s="10" t="s">
        <v>9</v>
      </c>
      <c r="C321" s="11" t="s">
        <v>10</v>
      </c>
      <c r="D321" s="12">
        <v>45623</v>
      </c>
      <c r="E321" s="13" t="str">
        <f>+HYPERLINK("http://trademark.i-assist.jp/data/china/image_1913th/80710642.pdf","80710642")</f>
        <v>80710642</v>
      </c>
      <c r="F321" s="11" t="s">
        <v>227</v>
      </c>
      <c r="G321" s="11" t="s">
        <v>226</v>
      </c>
      <c r="H321" s="11" t="s">
        <v>1934</v>
      </c>
      <c r="I321" s="12">
        <v>45538</v>
      </c>
    </row>
    <row r="322" spans="1:9" x14ac:dyDescent="0.15">
      <c r="A322" s="9">
        <v>321</v>
      </c>
      <c r="B322" s="10" t="s">
        <v>9</v>
      </c>
      <c r="C322" s="11" t="s">
        <v>10</v>
      </c>
      <c r="D322" s="12">
        <v>45623</v>
      </c>
      <c r="E322" s="13" t="str">
        <f>+HYPERLINK("http://trademark.i-assist.jp/data/china/image_1913th/80712496.pdf","80712496")</f>
        <v>80712496</v>
      </c>
      <c r="F322" s="11" t="s">
        <v>1935</v>
      </c>
      <c r="G322" s="11" t="s">
        <v>1936</v>
      </c>
      <c r="H322" s="11" t="s">
        <v>1937</v>
      </c>
      <c r="I322" s="12">
        <v>45538</v>
      </c>
    </row>
    <row r="323" spans="1:9" x14ac:dyDescent="0.15">
      <c r="A323" s="9">
        <v>322</v>
      </c>
      <c r="B323" s="10" t="s">
        <v>9</v>
      </c>
      <c r="C323" s="11" t="s">
        <v>10</v>
      </c>
      <c r="D323" s="12">
        <v>45623</v>
      </c>
      <c r="E323" s="13" t="str">
        <f>+HYPERLINK("http://trademark.i-assist.jp/data/china/image_1913th/80712627.pdf","80712627")</f>
        <v>80712627</v>
      </c>
      <c r="F323" s="11" t="s">
        <v>1938</v>
      </c>
      <c r="G323" s="11" t="s">
        <v>1939</v>
      </c>
      <c r="H323" s="11" t="s">
        <v>1940</v>
      </c>
      <c r="I323" s="12">
        <v>45538</v>
      </c>
    </row>
    <row r="324" spans="1:9" x14ac:dyDescent="0.15">
      <c r="A324" s="9">
        <v>323</v>
      </c>
      <c r="B324" s="10" t="s">
        <v>9</v>
      </c>
      <c r="C324" s="11" t="s">
        <v>10</v>
      </c>
      <c r="D324" s="12">
        <v>45623</v>
      </c>
      <c r="E324" s="13" t="str">
        <f>+HYPERLINK("http://trademark.i-assist.jp/data/china/image_1913th/80716875.pdf","80716875")</f>
        <v>80716875</v>
      </c>
      <c r="F324" s="11" t="s">
        <v>228</v>
      </c>
      <c r="G324" s="11" t="s">
        <v>1941</v>
      </c>
      <c r="H324" s="11" t="s">
        <v>1768</v>
      </c>
      <c r="I324" s="12">
        <v>45538</v>
      </c>
    </row>
    <row r="325" spans="1:9" x14ac:dyDescent="0.15">
      <c r="A325" s="9">
        <v>324</v>
      </c>
      <c r="B325" s="10" t="s">
        <v>9</v>
      </c>
      <c r="C325" s="11" t="s">
        <v>10</v>
      </c>
      <c r="D325" s="12">
        <v>45623</v>
      </c>
      <c r="E325" s="13" t="str">
        <f>+HYPERLINK("http://trademark.i-assist.jp/data/china/image_1913th/80722824.pdf","80722824")</f>
        <v>80722824</v>
      </c>
      <c r="F325" s="11" t="s">
        <v>229</v>
      </c>
      <c r="G325" s="11" t="s">
        <v>1942</v>
      </c>
      <c r="H325" s="11" t="s">
        <v>1423</v>
      </c>
      <c r="I325" s="12">
        <v>45538</v>
      </c>
    </row>
    <row r="326" spans="1:9" x14ac:dyDescent="0.15">
      <c r="A326" s="9">
        <v>325</v>
      </c>
      <c r="B326" s="10" t="s">
        <v>9</v>
      </c>
      <c r="C326" s="11" t="s">
        <v>10</v>
      </c>
      <c r="D326" s="12">
        <v>45623</v>
      </c>
      <c r="E326" s="13" t="str">
        <f>+HYPERLINK("http://trademark.i-assist.jp/data/china/image_1913th/80727546.pdf","80727546")</f>
        <v>80727546</v>
      </c>
      <c r="F326" s="11" t="s">
        <v>1943</v>
      </c>
      <c r="G326" s="11" t="s">
        <v>1931</v>
      </c>
      <c r="H326" s="11" t="s">
        <v>1423</v>
      </c>
      <c r="I326" s="12">
        <v>45538</v>
      </c>
    </row>
    <row r="327" spans="1:9" x14ac:dyDescent="0.15">
      <c r="A327" s="9">
        <v>326</v>
      </c>
      <c r="B327" s="10" t="s">
        <v>9</v>
      </c>
      <c r="C327" s="11" t="s">
        <v>10</v>
      </c>
      <c r="D327" s="12">
        <v>45623</v>
      </c>
      <c r="E327" s="13" t="str">
        <f>+HYPERLINK("http://trademark.i-assist.jp/data/china/image_1913th/80727712.pdf","80727712")</f>
        <v>80727712</v>
      </c>
      <c r="F327" s="11" t="s">
        <v>230</v>
      </c>
      <c r="G327" s="11" t="s">
        <v>1944</v>
      </c>
      <c r="H327" s="11" t="s">
        <v>1945</v>
      </c>
      <c r="I327" s="12">
        <v>45538</v>
      </c>
    </row>
    <row r="328" spans="1:9" x14ac:dyDescent="0.15">
      <c r="A328" s="9">
        <v>327</v>
      </c>
      <c r="B328" s="10" t="s">
        <v>9</v>
      </c>
      <c r="C328" s="11" t="s">
        <v>10</v>
      </c>
      <c r="D328" s="12">
        <v>45623</v>
      </c>
      <c r="E328" s="13" t="str">
        <f>+HYPERLINK("http://trademark.i-assist.jp/data/china/image_1913th/80685867.pdf","80685867")</f>
        <v>80685867</v>
      </c>
      <c r="F328" s="11" t="s">
        <v>1946</v>
      </c>
      <c r="G328" s="11" t="s">
        <v>1947</v>
      </c>
      <c r="H328" s="11" t="s">
        <v>1948</v>
      </c>
      <c r="I328" s="12">
        <v>45537</v>
      </c>
    </row>
    <row r="329" spans="1:9" x14ac:dyDescent="0.15">
      <c r="A329" s="9">
        <v>328</v>
      </c>
      <c r="B329" s="10" t="s">
        <v>9</v>
      </c>
      <c r="C329" s="11" t="s">
        <v>10</v>
      </c>
      <c r="D329" s="12">
        <v>45623</v>
      </c>
      <c r="E329" s="13" t="str">
        <f>+HYPERLINK("http://trademark.i-assist.jp/data/china/image_1913th/80686377.pdf","80686377")</f>
        <v>80686377</v>
      </c>
      <c r="F329" s="11" t="s">
        <v>1949</v>
      </c>
      <c r="G329" s="11" t="s">
        <v>1950</v>
      </c>
      <c r="H329" s="11" t="s">
        <v>1951</v>
      </c>
      <c r="I329" s="12">
        <v>45537</v>
      </c>
    </row>
    <row r="330" spans="1:9" x14ac:dyDescent="0.15">
      <c r="A330" s="9">
        <v>329</v>
      </c>
      <c r="B330" s="10" t="s">
        <v>9</v>
      </c>
      <c r="C330" s="11" t="s">
        <v>10</v>
      </c>
      <c r="D330" s="12">
        <v>45623</v>
      </c>
      <c r="E330" s="13" t="str">
        <f>+HYPERLINK("http://trademark.i-assist.jp/data/china/image_1913th/80687104.pdf","80687104")</f>
        <v>80687104</v>
      </c>
      <c r="F330" s="11" t="s">
        <v>1952</v>
      </c>
      <c r="G330" s="11" t="s">
        <v>1953</v>
      </c>
      <c r="H330" s="11" t="s">
        <v>1954</v>
      </c>
      <c r="I330" s="12">
        <v>45537</v>
      </c>
    </row>
    <row r="331" spans="1:9" x14ac:dyDescent="0.15">
      <c r="A331" s="9">
        <v>330</v>
      </c>
      <c r="B331" s="10" t="s">
        <v>9</v>
      </c>
      <c r="C331" s="11" t="s">
        <v>10</v>
      </c>
      <c r="D331" s="12">
        <v>45623</v>
      </c>
      <c r="E331" s="13" t="str">
        <f>+HYPERLINK("http://trademark.i-assist.jp/data/china/image_1913th/80690586.pdf","80690586")</f>
        <v>80690586</v>
      </c>
      <c r="F331" s="11" t="s">
        <v>1955</v>
      </c>
      <c r="G331" s="11" t="s">
        <v>1956</v>
      </c>
      <c r="H331" s="11" t="s">
        <v>1957</v>
      </c>
      <c r="I331" s="12">
        <v>45537</v>
      </c>
    </row>
    <row r="332" spans="1:9" x14ac:dyDescent="0.15">
      <c r="A332" s="9">
        <v>331</v>
      </c>
      <c r="B332" s="10" t="s">
        <v>9</v>
      </c>
      <c r="C332" s="11" t="s">
        <v>10</v>
      </c>
      <c r="D332" s="12">
        <v>45623</v>
      </c>
      <c r="E332" s="13" t="str">
        <f>+HYPERLINK("http://trademark.i-assist.jp/data/china/image_1913th/80690995.pdf","80690995")</f>
        <v>80690995</v>
      </c>
      <c r="F332" s="11" t="s">
        <v>231</v>
      </c>
      <c r="G332" s="11" t="s">
        <v>1958</v>
      </c>
      <c r="H332" s="11" t="s">
        <v>1959</v>
      </c>
      <c r="I332" s="12">
        <v>45537</v>
      </c>
    </row>
    <row r="333" spans="1:9" x14ac:dyDescent="0.15">
      <c r="A333" s="9">
        <v>332</v>
      </c>
      <c r="B333" s="10" t="s">
        <v>9</v>
      </c>
      <c r="C333" s="11" t="s">
        <v>10</v>
      </c>
      <c r="D333" s="12">
        <v>45623</v>
      </c>
      <c r="E333" s="13" t="str">
        <f>+HYPERLINK("http://trademark.i-assist.jp/data/china/image_1913th/80695205.pdf","80695205")</f>
        <v>80695205</v>
      </c>
      <c r="F333" s="11" t="s">
        <v>1960</v>
      </c>
      <c r="G333" s="11" t="s">
        <v>232</v>
      </c>
      <c r="H333" s="11" t="s">
        <v>1961</v>
      </c>
      <c r="I333" s="12">
        <v>45537</v>
      </c>
    </row>
    <row r="334" spans="1:9" x14ac:dyDescent="0.15">
      <c r="A334" s="9">
        <v>333</v>
      </c>
      <c r="B334" s="10" t="s">
        <v>9</v>
      </c>
      <c r="C334" s="11" t="s">
        <v>10</v>
      </c>
      <c r="D334" s="12">
        <v>45623</v>
      </c>
      <c r="E334" s="13" t="str">
        <f>+HYPERLINK("http://trademark.i-assist.jp/data/china/image_1913th/80695311.pdf","80695311")</f>
        <v>80695311</v>
      </c>
      <c r="F334" s="11" t="s">
        <v>233</v>
      </c>
      <c r="G334" s="11" t="s">
        <v>1962</v>
      </c>
      <c r="H334" s="11" t="s">
        <v>1963</v>
      </c>
      <c r="I334" s="12">
        <v>45537</v>
      </c>
    </row>
    <row r="335" spans="1:9" x14ac:dyDescent="0.15">
      <c r="A335" s="9">
        <v>334</v>
      </c>
      <c r="B335" s="10" t="s">
        <v>9</v>
      </c>
      <c r="C335" s="11" t="s">
        <v>10</v>
      </c>
      <c r="D335" s="12">
        <v>45623</v>
      </c>
      <c r="E335" s="13" t="str">
        <f>+HYPERLINK("http://trademark.i-assist.jp/data/china/image_1913th/80696047.pdf","80696047")</f>
        <v>80696047</v>
      </c>
      <c r="F335" s="11" t="s">
        <v>1964</v>
      </c>
      <c r="G335" s="11" t="s">
        <v>1965</v>
      </c>
      <c r="H335" s="11" t="s">
        <v>1963</v>
      </c>
      <c r="I335" s="12">
        <v>45537</v>
      </c>
    </row>
    <row r="336" spans="1:9" x14ac:dyDescent="0.15">
      <c r="A336" s="9">
        <v>335</v>
      </c>
      <c r="B336" s="10" t="s">
        <v>9</v>
      </c>
      <c r="C336" s="11" t="s">
        <v>10</v>
      </c>
      <c r="D336" s="12">
        <v>45623</v>
      </c>
      <c r="E336" s="13" t="str">
        <f>+HYPERLINK("http://trademark.i-assist.jp/data/china/image_1913th/80698596.pdf","80698596")</f>
        <v>80698596</v>
      </c>
      <c r="F336" s="11" t="s">
        <v>1966</v>
      </c>
      <c r="G336" s="11" t="s">
        <v>1967</v>
      </c>
      <c r="H336" s="11" t="s">
        <v>1968</v>
      </c>
      <c r="I336" s="12">
        <v>45537</v>
      </c>
    </row>
    <row r="337" spans="1:9" x14ac:dyDescent="0.15">
      <c r="A337" s="9">
        <v>336</v>
      </c>
      <c r="B337" s="10" t="s">
        <v>9</v>
      </c>
      <c r="C337" s="11" t="s">
        <v>10</v>
      </c>
      <c r="D337" s="12">
        <v>45623</v>
      </c>
      <c r="E337" s="13" t="str">
        <f>+HYPERLINK("http://trademark.i-assist.jp/data/china/image_1913th/80701002.pdf","80701002")</f>
        <v>80701002</v>
      </c>
      <c r="F337" s="11" t="s">
        <v>234</v>
      </c>
      <c r="G337" s="11" t="s">
        <v>1969</v>
      </c>
      <c r="H337" s="11" t="s">
        <v>1302</v>
      </c>
      <c r="I337" s="12">
        <v>45537</v>
      </c>
    </row>
    <row r="338" spans="1:9" x14ac:dyDescent="0.15">
      <c r="A338" s="9">
        <v>337</v>
      </c>
      <c r="B338" s="10" t="s">
        <v>9</v>
      </c>
      <c r="C338" s="11" t="s">
        <v>10</v>
      </c>
      <c r="D338" s="12">
        <v>45623</v>
      </c>
      <c r="E338" s="13" t="str">
        <f>+HYPERLINK("http://trademark.i-assist.jp/data/china/image_1913th/80702097.pdf","80702097")</f>
        <v>80702097</v>
      </c>
      <c r="F338" s="11" t="s">
        <v>1970</v>
      </c>
      <c r="G338" s="11" t="s">
        <v>1971</v>
      </c>
      <c r="H338" s="11" t="s">
        <v>1972</v>
      </c>
      <c r="I338" s="12">
        <v>45537</v>
      </c>
    </row>
    <row r="339" spans="1:9" x14ac:dyDescent="0.15">
      <c r="A339" s="9">
        <v>338</v>
      </c>
      <c r="B339" s="10" t="s">
        <v>9</v>
      </c>
      <c r="C339" s="11" t="s">
        <v>10</v>
      </c>
      <c r="D339" s="12">
        <v>45623</v>
      </c>
      <c r="E339" s="13" t="str">
        <f>+HYPERLINK("http://trademark.i-assist.jp/data/china/image_1913th/80758028.pdf","80758028")</f>
        <v>80758028</v>
      </c>
      <c r="F339" s="11" t="s">
        <v>236</v>
      </c>
      <c r="G339" s="11" t="s">
        <v>235</v>
      </c>
      <c r="H339" s="11" t="s">
        <v>1973</v>
      </c>
      <c r="I339" s="12">
        <v>45540</v>
      </c>
    </row>
    <row r="340" spans="1:9" x14ac:dyDescent="0.15">
      <c r="A340" s="9">
        <v>339</v>
      </c>
      <c r="B340" s="10" t="s">
        <v>9</v>
      </c>
      <c r="C340" s="11" t="s">
        <v>10</v>
      </c>
      <c r="D340" s="12">
        <v>45623</v>
      </c>
      <c r="E340" s="13" t="str">
        <f>+HYPERLINK("http://trademark.i-assist.jp/data/china/image_1913th/80758861.pdf","80758861")</f>
        <v>80758861</v>
      </c>
      <c r="F340" s="11" t="s">
        <v>1974</v>
      </c>
      <c r="G340" s="11" t="s">
        <v>1975</v>
      </c>
      <c r="H340" s="11" t="s">
        <v>1976</v>
      </c>
      <c r="I340" s="12">
        <v>45540</v>
      </c>
    </row>
    <row r="341" spans="1:9" x14ac:dyDescent="0.15">
      <c r="A341" s="9">
        <v>340</v>
      </c>
      <c r="B341" s="10" t="s">
        <v>9</v>
      </c>
      <c r="C341" s="11" t="s">
        <v>10</v>
      </c>
      <c r="D341" s="12">
        <v>45623</v>
      </c>
      <c r="E341" s="13" t="str">
        <f>+HYPERLINK("http://trademark.i-assist.jp/data/china/image_1913th/80766014.pdf","80766014")</f>
        <v>80766014</v>
      </c>
      <c r="F341" s="11" t="s">
        <v>237</v>
      </c>
      <c r="G341" s="11" t="s">
        <v>1977</v>
      </c>
      <c r="H341" s="11" t="s">
        <v>1978</v>
      </c>
      <c r="I341" s="12">
        <v>45540</v>
      </c>
    </row>
    <row r="342" spans="1:9" x14ac:dyDescent="0.15">
      <c r="A342" s="9">
        <v>341</v>
      </c>
      <c r="B342" s="10" t="s">
        <v>9</v>
      </c>
      <c r="C342" s="11" t="s">
        <v>10</v>
      </c>
      <c r="D342" s="12">
        <v>45623</v>
      </c>
      <c r="E342" s="13" t="str">
        <f>+HYPERLINK("http://trademark.i-assist.jp/data/china/image_1913th/80766726.pdf","80766726")</f>
        <v>80766726</v>
      </c>
      <c r="F342" s="11" t="s">
        <v>238</v>
      </c>
      <c r="G342" s="11" t="s">
        <v>1979</v>
      </c>
      <c r="H342" s="11" t="s">
        <v>1980</v>
      </c>
      <c r="I342" s="12">
        <v>45540</v>
      </c>
    </row>
    <row r="343" spans="1:9" x14ac:dyDescent="0.15">
      <c r="A343" s="9">
        <v>342</v>
      </c>
      <c r="B343" s="10" t="s">
        <v>9</v>
      </c>
      <c r="C343" s="11" t="s">
        <v>10</v>
      </c>
      <c r="D343" s="12">
        <v>45623</v>
      </c>
      <c r="E343" s="13" t="str">
        <f>+HYPERLINK("http://trademark.i-assist.jp/data/china/image_1913th/80772223.pdf","80772223")</f>
        <v>80772223</v>
      </c>
      <c r="F343" s="11" t="s">
        <v>1981</v>
      </c>
      <c r="G343" s="11" t="s">
        <v>1982</v>
      </c>
      <c r="H343" s="11" t="s">
        <v>1983</v>
      </c>
      <c r="I343" s="12">
        <v>45540</v>
      </c>
    </row>
    <row r="344" spans="1:9" x14ac:dyDescent="0.15">
      <c r="A344" s="9">
        <v>343</v>
      </c>
      <c r="B344" s="10" t="s">
        <v>9</v>
      </c>
      <c r="C344" s="11" t="s">
        <v>10</v>
      </c>
      <c r="D344" s="12">
        <v>45623</v>
      </c>
      <c r="E344" s="13" t="str">
        <f>+HYPERLINK("http://trademark.i-assist.jp/data/china/image_1913th/80772653.pdf","80772653")</f>
        <v>80772653</v>
      </c>
      <c r="F344" s="11" t="s">
        <v>239</v>
      </c>
      <c r="G344" s="11" t="s">
        <v>1984</v>
      </c>
      <c r="H344" s="11" t="s">
        <v>1401</v>
      </c>
      <c r="I344" s="12">
        <v>45540</v>
      </c>
    </row>
    <row r="345" spans="1:9" x14ac:dyDescent="0.15">
      <c r="A345" s="9">
        <v>344</v>
      </c>
      <c r="B345" s="10" t="s">
        <v>9</v>
      </c>
      <c r="C345" s="11" t="s">
        <v>10</v>
      </c>
      <c r="D345" s="12">
        <v>45623</v>
      </c>
      <c r="E345" s="13" t="str">
        <f>+HYPERLINK("http://trademark.i-assist.jp/data/china/image_1913th/80773051.pdf","80773051")</f>
        <v>80773051</v>
      </c>
      <c r="F345" s="11" t="s">
        <v>1985</v>
      </c>
      <c r="G345" s="11" t="s">
        <v>69</v>
      </c>
      <c r="H345" s="11" t="s">
        <v>1489</v>
      </c>
      <c r="I345" s="12">
        <v>45540</v>
      </c>
    </row>
    <row r="346" spans="1:9" x14ac:dyDescent="0.15">
      <c r="A346" s="9">
        <v>345</v>
      </c>
      <c r="B346" s="10" t="s">
        <v>9</v>
      </c>
      <c r="C346" s="11" t="s">
        <v>10</v>
      </c>
      <c r="D346" s="12">
        <v>45623</v>
      </c>
      <c r="E346" s="13" t="str">
        <f>+HYPERLINK("http://trademark.i-assist.jp/data/china/image_1913th/80774064.pdf","80774064")</f>
        <v>80774064</v>
      </c>
      <c r="F346" s="11" t="s">
        <v>240</v>
      </c>
      <c r="G346" s="11" t="s">
        <v>1986</v>
      </c>
      <c r="H346" s="11" t="s">
        <v>1567</v>
      </c>
      <c r="I346" s="12">
        <v>45540</v>
      </c>
    </row>
    <row r="347" spans="1:9" x14ac:dyDescent="0.15">
      <c r="A347" s="9">
        <v>346</v>
      </c>
      <c r="B347" s="10" t="s">
        <v>9</v>
      </c>
      <c r="C347" s="11" t="s">
        <v>10</v>
      </c>
      <c r="D347" s="12">
        <v>45623</v>
      </c>
      <c r="E347" s="13" t="str">
        <f>+HYPERLINK("http://trademark.i-assist.jp/data/china/image_1913th/80776766.pdf","80776766")</f>
        <v>80776766</v>
      </c>
      <c r="F347" s="11" t="s">
        <v>1987</v>
      </c>
      <c r="G347" s="11" t="s">
        <v>1988</v>
      </c>
      <c r="H347" s="11" t="s">
        <v>1989</v>
      </c>
      <c r="I347" s="12">
        <v>45540</v>
      </c>
    </row>
    <row r="348" spans="1:9" x14ac:dyDescent="0.15">
      <c r="A348" s="9">
        <v>347</v>
      </c>
      <c r="B348" s="10" t="s">
        <v>9</v>
      </c>
      <c r="C348" s="11" t="s">
        <v>10</v>
      </c>
      <c r="D348" s="12">
        <v>45623</v>
      </c>
      <c r="E348" s="13" t="str">
        <f>+HYPERLINK("http://trademark.i-assist.jp/data/china/image_1913th/80786339.pdf","80786339")</f>
        <v>80786339</v>
      </c>
      <c r="F348" s="11" t="s">
        <v>241</v>
      </c>
      <c r="G348" s="11" t="s">
        <v>1400</v>
      </c>
      <c r="H348" s="11" t="s">
        <v>1401</v>
      </c>
      <c r="I348" s="12">
        <v>45541</v>
      </c>
    </row>
    <row r="349" spans="1:9" x14ac:dyDescent="0.15">
      <c r="A349" s="9">
        <v>348</v>
      </c>
      <c r="B349" s="10" t="s">
        <v>9</v>
      </c>
      <c r="C349" s="11" t="s">
        <v>10</v>
      </c>
      <c r="D349" s="12">
        <v>45623</v>
      </c>
      <c r="E349" s="13" t="str">
        <f>+HYPERLINK("http://trademark.i-assist.jp/data/china/image_1913th/80605434.pdf","80605434")</f>
        <v>80605434</v>
      </c>
      <c r="F349" s="11" t="s">
        <v>243</v>
      </c>
      <c r="G349" s="11" t="s">
        <v>242</v>
      </c>
      <c r="H349" s="11" t="s">
        <v>1990</v>
      </c>
      <c r="I349" s="12">
        <v>45532</v>
      </c>
    </row>
    <row r="350" spans="1:9" x14ac:dyDescent="0.15">
      <c r="A350" s="9">
        <v>349</v>
      </c>
      <c r="B350" s="10" t="s">
        <v>9</v>
      </c>
      <c r="C350" s="11" t="s">
        <v>10</v>
      </c>
      <c r="D350" s="12">
        <v>45623</v>
      </c>
      <c r="E350" s="13" t="str">
        <f>+HYPERLINK("http://trademark.i-assist.jp/data/china/image_1913th/80607336.pdf","80607336")</f>
        <v>80607336</v>
      </c>
      <c r="F350" s="11" t="s">
        <v>244</v>
      </c>
      <c r="G350" s="11" t="s">
        <v>1991</v>
      </c>
      <c r="H350" s="11" t="s">
        <v>1992</v>
      </c>
      <c r="I350" s="12">
        <v>45532</v>
      </c>
    </row>
    <row r="351" spans="1:9" x14ac:dyDescent="0.15">
      <c r="A351" s="9">
        <v>350</v>
      </c>
      <c r="B351" s="10" t="s">
        <v>9</v>
      </c>
      <c r="C351" s="11" t="s">
        <v>10</v>
      </c>
      <c r="D351" s="12">
        <v>45623</v>
      </c>
      <c r="E351" s="13" t="str">
        <f>+HYPERLINK("http://trademark.i-assist.jp/data/china/image_1913th/80610313.pdf","80610313")</f>
        <v>80610313</v>
      </c>
      <c r="F351" s="11" t="s">
        <v>245</v>
      </c>
      <c r="G351" s="11" t="s">
        <v>1566</v>
      </c>
      <c r="H351" s="11" t="s">
        <v>1567</v>
      </c>
      <c r="I351" s="12">
        <v>45532</v>
      </c>
    </row>
    <row r="352" spans="1:9" x14ac:dyDescent="0.15">
      <c r="A352" s="9">
        <v>351</v>
      </c>
      <c r="B352" s="10" t="s">
        <v>9</v>
      </c>
      <c r="C352" s="11" t="s">
        <v>10</v>
      </c>
      <c r="D352" s="12">
        <v>45623</v>
      </c>
      <c r="E352" s="13" t="str">
        <f>+HYPERLINK("http://trademark.i-assist.jp/data/china/image_1913th/80614151.pdf","80614151")</f>
        <v>80614151</v>
      </c>
      <c r="F352" s="11" t="s">
        <v>1993</v>
      </c>
      <c r="G352" s="11" t="s">
        <v>1994</v>
      </c>
      <c r="H352" s="11" t="s">
        <v>1995</v>
      </c>
      <c r="I352" s="12">
        <v>45532</v>
      </c>
    </row>
    <row r="353" spans="1:9" x14ac:dyDescent="0.15">
      <c r="A353" s="9">
        <v>352</v>
      </c>
      <c r="B353" s="10" t="s">
        <v>9</v>
      </c>
      <c r="C353" s="11" t="s">
        <v>10</v>
      </c>
      <c r="D353" s="12">
        <v>45623</v>
      </c>
      <c r="E353" s="13" t="str">
        <f>+HYPERLINK("http://trademark.i-assist.jp/data/china/image_1913th/80615768.pdf","80615768")</f>
        <v>80615768</v>
      </c>
      <c r="F353" s="11" t="s">
        <v>1996</v>
      </c>
      <c r="G353" s="11" t="s">
        <v>1997</v>
      </c>
      <c r="H353" s="11" t="s">
        <v>1302</v>
      </c>
      <c r="I353" s="12">
        <v>45532</v>
      </c>
    </row>
    <row r="354" spans="1:9" x14ac:dyDescent="0.15">
      <c r="A354" s="9">
        <v>353</v>
      </c>
      <c r="B354" s="10" t="s">
        <v>9</v>
      </c>
      <c r="C354" s="11" t="s">
        <v>10</v>
      </c>
      <c r="D354" s="12">
        <v>45623</v>
      </c>
      <c r="E354" s="13" t="str">
        <f>+HYPERLINK("http://trademark.i-assist.jp/data/china/image_1913th/80617991.pdf","80617991")</f>
        <v>80617991</v>
      </c>
      <c r="F354" s="11" t="s">
        <v>246</v>
      </c>
      <c r="G354" s="11" t="s">
        <v>1998</v>
      </c>
      <c r="H354" s="11" t="s">
        <v>1999</v>
      </c>
      <c r="I354" s="12">
        <v>45532</v>
      </c>
    </row>
    <row r="355" spans="1:9" x14ac:dyDescent="0.15">
      <c r="A355" s="9">
        <v>354</v>
      </c>
      <c r="B355" s="10" t="s">
        <v>9</v>
      </c>
      <c r="C355" s="11" t="s">
        <v>10</v>
      </c>
      <c r="D355" s="12">
        <v>45623</v>
      </c>
      <c r="E355" s="13" t="str">
        <f>+HYPERLINK("http://trademark.i-assist.jp/data/china/image_1913th/80628799.pdf","80628799")</f>
        <v>80628799</v>
      </c>
      <c r="F355" s="11" t="s">
        <v>247</v>
      </c>
      <c r="G355" s="11" t="s">
        <v>2000</v>
      </c>
      <c r="H355" s="11" t="s">
        <v>2001</v>
      </c>
      <c r="I355" s="12">
        <v>45533</v>
      </c>
    </row>
    <row r="356" spans="1:9" x14ac:dyDescent="0.15">
      <c r="A356" s="9">
        <v>355</v>
      </c>
      <c r="B356" s="10" t="s">
        <v>9</v>
      </c>
      <c r="C356" s="11" t="s">
        <v>10</v>
      </c>
      <c r="D356" s="12">
        <v>45623</v>
      </c>
      <c r="E356" s="13" t="str">
        <f>+HYPERLINK("http://trademark.i-assist.jp/data/china/image_1913th/80634417.pdf","80634417")</f>
        <v>80634417</v>
      </c>
      <c r="F356" s="11" t="s">
        <v>2002</v>
      </c>
      <c r="G356" s="11" t="s">
        <v>2003</v>
      </c>
      <c r="H356" s="11" t="s">
        <v>2004</v>
      </c>
      <c r="I356" s="12">
        <v>45533</v>
      </c>
    </row>
    <row r="357" spans="1:9" x14ac:dyDescent="0.15">
      <c r="A357" s="9">
        <v>356</v>
      </c>
      <c r="B357" s="10" t="s">
        <v>9</v>
      </c>
      <c r="C357" s="11" t="s">
        <v>10</v>
      </c>
      <c r="D357" s="12">
        <v>45623</v>
      </c>
      <c r="E357" s="13" t="str">
        <f>+HYPERLINK("http://trademark.i-assist.jp/data/china/image_1913th/80636734.pdf","80636734")</f>
        <v>80636734</v>
      </c>
      <c r="F357" s="11" t="s">
        <v>2005</v>
      </c>
      <c r="G357" s="11" t="s">
        <v>2006</v>
      </c>
      <c r="H357" s="11" t="s">
        <v>2007</v>
      </c>
      <c r="I357" s="12">
        <v>45533</v>
      </c>
    </row>
    <row r="358" spans="1:9" x14ac:dyDescent="0.15">
      <c r="A358" s="9">
        <v>357</v>
      </c>
      <c r="B358" s="10" t="s">
        <v>9</v>
      </c>
      <c r="C358" s="11" t="s">
        <v>10</v>
      </c>
      <c r="D358" s="12">
        <v>45623</v>
      </c>
      <c r="E358" s="13" t="str">
        <f>+HYPERLINK("http://trademark.i-assist.jp/data/china/image_1913th/80636929.pdf","80636929")</f>
        <v>80636929</v>
      </c>
      <c r="F358" s="11" t="s">
        <v>2008</v>
      </c>
      <c r="G358" s="11" t="s">
        <v>1388</v>
      </c>
      <c r="H358" s="11" t="s">
        <v>1389</v>
      </c>
      <c r="I358" s="12">
        <v>45533</v>
      </c>
    </row>
    <row r="359" spans="1:9" x14ac:dyDescent="0.15">
      <c r="A359" s="9">
        <v>358</v>
      </c>
      <c r="B359" s="10" t="s">
        <v>9</v>
      </c>
      <c r="C359" s="11" t="s">
        <v>10</v>
      </c>
      <c r="D359" s="12">
        <v>45623</v>
      </c>
      <c r="E359" s="13" t="str">
        <f>+HYPERLINK("http://trademark.i-assist.jp/data/china/image_1913th/80791471.pdf","80791471")</f>
        <v>80791471</v>
      </c>
      <c r="F359" s="11" t="s">
        <v>249</v>
      </c>
      <c r="G359" s="11" t="s">
        <v>248</v>
      </c>
      <c r="H359" s="11" t="s">
        <v>2009</v>
      </c>
      <c r="I359" s="12">
        <v>45541</v>
      </c>
    </row>
    <row r="360" spans="1:9" x14ac:dyDescent="0.15">
      <c r="A360" s="9">
        <v>359</v>
      </c>
      <c r="B360" s="10" t="s">
        <v>9</v>
      </c>
      <c r="C360" s="11" t="s">
        <v>10</v>
      </c>
      <c r="D360" s="12">
        <v>45623</v>
      </c>
      <c r="E360" s="13" t="str">
        <f>+HYPERLINK("http://trademark.i-assist.jp/data/china/image_1913th/80796600.pdf","80796600")</f>
        <v>80796600</v>
      </c>
      <c r="F360" s="11" t="s">
        <v>250</v>
      </c>
      <c r="G360" s="11" t="s">
        <v>2010</v>
      </c>
      <c r="H360" s="11" t="s">
        <v>2011</v>
      </c>
      <c r="I360" s="12">
        <v>45541</v>
      </c>
    </row>
    <row r="361" spans="1:9" x14ac:dyDescent="0.15">
      <c r="A361" s="9">
        <v>360</v>
      </c>
      <c r="B361" s="10" t="s">
        <v>9</v>
      </c>
      <c r="C361" s="11" t="s">
        <v>10</v>
      </c>
      <c r="D361" s="12">
        <v>45623</v>
      </c>
      <c r="E361" s="13" t="str">
        <f>+HYPERLINK("http://trademark.i-assist.jp/data/china/image_1913th/80798456.pdf","80798456")</f>
        <v>80798456</v>
      </c>
      <c r="F361" s="11" t="s">
        <v>2012</v>
      </c>
      <c r="G361" s="11" t="s">
        <v>2013</v>
      </c>
      <c r="H361" s="11" t="s">
        <v>2014</v>
      </c>
      <c r="I361" s="12">
        <v>45541</v>
      </c>
    </row>
    <row r="362" spans="1:9" x14ac:dyDescent="0.15">
      <c r="A362" s="9">
        <v>361</v>
      </c>
      <c r="B362" s="10" t="s">
        <v>9</v>
      </c>
      <c r="C362" s="11" t="s">
        <v>10</v>
      </c>
      <c r="D362" s="12">
        <v>45623</v>
      </c>
      <c r="E362" s="13" t="str">
        <f>+HYPERLINK("http://trademark.i-assist.jp/data/china/image_1913th/80799352.pdf","80799352")</f>
        <v>80799352</v>
      </c>
      <c r="F362" s="11" t="s">
        <v>2015</v>
      </c>
      <c r="G362" s="11" t="s">
        <v>1391</v>
      </c>
      <c r="H362" s="11" t="s">
        <v>1302</v>
      </c>
      <c r="I362" s="12">
        <v>45541</v>
      </c>
    </row>
    <row r="363" spans="1:9" x14ac:dyDescent="0.15">
      <c r="A363" s="9">
        <v>362</v>
      </c>
      <c r="B363" s="10" t="s">
        <v>9</v>
      </c>
      <c r="C363" s="11" t="s">
        <v>10</v>
      </c>
      <c r="D363" s="12">
        <v>45623</v>
      </c>
      <c r="E363" s="13" t="str">
        <f>+HYPERLINK("http://trademark.i-assist.jp/data/china/image_1913th/80809460.pdf","80809460")</f>
        <v>80809460</v>
      </c>
      <c r="F363" s="11" t="s">
        <v>251</v>
      </c>
      <c r="G363" s="11" t="s">
        <v>2016</v>
      </c>
      <c r="H363" s="11" t="s">
        <v>2017</v>
      </c>
      <c r="I363" s="12">
        <v>45544</v>
      </c>
    </row>
    <row r="364" spans="1:9" x14ac:dyDescent="0.15">
      <c r="A364" s="9">
        <v>363</v>
      </c>
      <c r="B364" s="10" t="s">
        <v>9</v>
      </c>
      <c r="C364" s="11" t="s">
        <v>10</v>
      </c>
      <c r="D364" s="12">
        <v>45623</v>
      </c>
      <c r="E364" s="13" t="str">
        <f>+HYPERLINK("http://trademark.i-assist.jp/data/china/image_1913th/80810886.pdf","80810886")</f>
        <v>80810886</v>
      </c>
      <c r="F364" s="11" t="s">
        <v>252</v>
      </c>
      <c r="G364" s="11" t="s">
        <v>2018</v>
      </c>
      <c r="H364" s="11" t="s">
        <v>1923</v>
      </c>
      <c r="I364" s="12">
        <v>45544</v>
      </c>
    </row>
    <row r="365" spans="1:9" x14ac:dyDescent="0.15">
      <c r="A365" s="9">
        <v>364</v>
      </c>
      <c r="B365" s="10" t="s">
        <v>9</v>
      </c>
      <c r="C365" s="11" t="s">
        <v>10</v>
      </c>
      <c r="D365" s="12">
        <v>45623</v>
      </c>
      <c r="E365" s="13" t="str">
        <f>+HYPERLINK("http://trademark.i-assist.jp/data/china/image_1913th/80825788.pdf","80825788")</f>
        <v>80825788</v>
      </c>
      <c r="F365" s="11" t="s">
        <v>253</v>
      </c>
      <c r="G365" s="11" t="s">
        <v>198</v>
      </c>
      <c r="H365" s="11" t="s">
        <v>1666</v>
      </c>
      <c r="I365" s="12">
        <v>45544</v>
      </c>
    </row>
    <row r="366" spans="1:9" x14ac:dyDescent="0.15">
      <c r="A366" s="9">
        <v>365</v>
      </c>
      <c r="B366" s="10" t="s">
        <v>9</v>
      </c>
      <c r="C366" s="11" t="s">
        <v>10</v>
      </c>
      <c r="D366" s="12">
        <v>45623</v>
      </c>
      <c r="E366" s="13" t="str">
        <f>+HYPERLINK("http://trademark.i-assist.jp/data/china/image_1913th/80827100.pdf","80827100")</f>
        <v>80827100</v>
      </c>
      <c r="F366" s="11" t="s">
        <v>254</v>
      </c>
      <c r="G366" s="11" t="s">
        <v>198</v>
      </c>
      <c r="H366" s="11" t="s">
        <v>1666</v>
      </c>
      <c r="I366" s="12">
        <v>45544</v>
      </c>
    </row>
    <row r="367" spans="1:9" x14ac:dyDescent="0.15">
      <c r="A367" s="9">
        <v>366</v>
      </c>
      <c r="B367" s="10" t="s">
        <v>9</v>
      </c>
      <c r="C367" s="11" t="s">
        <v>10</v>
      </c>
      <c r="D367" s="12">
        <v>45623</v>
      </c>
      <c r="E367" s="13" t="str">
        <f>+HYPERLINK("http://trademark.i-assist.jp/data/china/image_1913th/78265649.pdf","78265649")</f>
        <v>78265649</v>
      </c>
      <c r="F367" s="11" t="s">
        <v>2019</v>
      </c>
      <c r="G367" s="11" t="s">
        <v>2020</v>
      </c>
      <c r="H367" s="11" t="s">
        <v>2021</v>
      </c>
      <c r="I367" s="12">
        <v>45408</v>
      </c>
    </row>
    <row r="368" spans="1:9" x14ac:dyDescent="0.15">
      <c r="A368" s="9">
        <v>367</v>
      </c>
      <c r="B368" s="10" t="s">
        <v>9</v>
      </c>
      <c r="C368" s="11" t="s">
        <v>10</v>
      </c>
      <c r="D368" s="12">
        <v>45623</v>
      </c>
      <c r="E368" s="13" t="str">
        <f>+HYPERLINK("http://trademark.i-assist.jp/data/china/image_1913th/78359767.pdf","78359767")</f>
        <v>78359767</v>
      </c>
      <c r="F368" s="11" t="s">
        <v>255</v>
      </c>
      <c r="G368" s="11" t="s">
        <v>14</v>
      </c>
      <c r="H368" s="11" t="s">
        <v>2022</v>
      </c>
      <c r="I368" s="12">
        <v>45418</v>
      </c>
    </row>
    <row r="369" spans="1:9" x14ac:dyDescent="0.15">
      <c r="A369" s="9">
        <v>368</v>
      </c>
      <c r="B369" s="10" t="s">
        <v>9</v>
      </c>
      <c r="C369" s="11" t="s">
        <v>10</v>
      </c>
      <c r="D369" s="12">
        <v>45623</v>
      </c>
      <c r="E369" s="13" t="str">
        <f>+HYPERLINK("http://trademark.i-assist.jp/data/china/image_1913th/78375391.pdf","78375391")</f>
        <v>78375391</v>
      </c>
      <c r="F369" s="11" t="s">
        <v>256</v>
      </c>
      <c r="G369" s="11" t="s">
        <v>14</v>
      </c>
      <c r="H369" s="11" t="s">
        <v>2022</v>
      </c>
      <c r="I369" s="12">
        <v>45418</v>
      </c>
    </row>
    <row r="370" spans="1:9" x14ac:dyDescent="0.15">
      <c r="A370" s="9">
        <v>369</v>
      </c>
      <c r="B370" s="10" t="s">
        <v>9</v>
      </c>
      <c r="C370" s="11" t="s">
        <v>10</v>
      </c>
      <c r="D370" s="12">
        <v>45623</v>
      </c>
      <c r="E370" s="13" t="str">
        <f>+HYPERLINK("http://trademark.i-assist.jp/data/china/image_1913th/78832035.pdf","78832035")</f>
        <v>78832035</v>
      </c>
      <c r="F370" s="11" t="s">
        <v>1335</v>
      </c>
      <c r="G370" s="11" t="s">
        <v>2023</v>
      </c>
      <c r="H370" s="11" t="s">
        <v>2024</v>
      </c>
      <c r="I370" s="12">
        <v>45435</v>
      </c>
    </row>
    <row r="371" spans="1:9" x14ac:dyDescent="0.15">
      <c r="A371" s="9">
        <v>370</v>
      </c>
      <c r="B371" s="10" t="s">
        <v>9</v>
      </c>
      <c r="C371" s="11" t="s">
        <v>10</v>
      </c>
      <c r="D371" s="12">
        <v>45623</v>
      </c>
      <c r="E371" s="13" t="str">
        <f>+HYPERLINK("http://trademark.i-assist.jp/data/china/image_1913th/69063701.pdf","69063701")</f>
        <v>69063701</v>
      </c>
      <c r="F371" s="11" t="s">
        <v>257</v>
      </c>
      <c r="G371" s="11" t="s">
        <v>1297</v>
      </c>
      <c r="H371" s="11" t="s">
        <v>1298</v>
      </c>
      <c r="I371" s="12">
        <v>44925</v>
      </c>
    </row>
    <row r="372" spans="1:9" x14ac:dyDescent="0.15">
      <c r="A372" s="9">
        <v>371</v>
      </c>
      <c r="B372" s="10" t="s">
        <v>9</v>
      </c>
      <c r="C372" s="11" t="s">
        <v>10</v>
      </c>
      <c r="D372" s="12">
        <v>45623</v>
      </c>
      <c r="E372" s="13" t="str">
        <f>+HYPERLINK("http://trademark.i-assist.jp/data/china/image_1913th/74568893.pdf","74568893")</f>
        <v>74568893</v>
      </c>
      <c r="F372" s="11" t="s">
        <v>2025</v>
      </c>
      <c r="G372" s="11" t="s">
        <v>2026</v>
      </c>
      <c r="H372" s="11" t="s">
        <v>2027</v>
      </c>
      <c r="I372" s="12">
        <v>45213</v>
      </c>
    </row>
    <row r="373" spans="1:9" x14ac:dyDescent="0.15">
      <c r="A373" s="9">
        <v>372</v>
      </c>
      <c r="B373" s="10" t="s">
        <v>9</v>
      </c>
      <c r="C373" s="11" t="s">
        <v>10</v>
      </c>
      <c r="D373" s="12">
        <v>45623</v>
      </c>
      <c r="E373" s="13" t="str">
        <f>+HYPERLINK("http://trademark.i-assist.jp/data/china/image_1913th/79662893.pdf","79662893")</f>
        <v>79662893</v>
      </c>
      <c r="F373" s="11" t="s">
        <v>2028</v>
      </c>
      <c r="G373" s="11" t="s">
        <v>2029</v>
      </c>
      <c r="H373" s="11" t="s">
        <v>2030</v>
      </c>
      <c r="I373" s="12">
        <v>45481</v>
      </c>
    </row>
    <row r="374" spans="1:9" x14ac:dyDescent="0.15">
      <c r="A374" s="9">
        <v>373</v>
      </c>
      <c r="B374" s="10" t="s">
        <v>9</v>
      </c>
      <c r="C374" s="11" t="s">
        <v>10</v>
      </c>
      <c r="D374" s="12">
        <v>45623</v>
      </c>
      <c r="E374" s="13" t="str">
        <f>+HYPERLINK("http://trademark.i-assist.jp/data/china/image_1913th/79971315.pdf","79971315")</f>
        <v>79971315</v>
      </c>
      <c r="F374" s="11" t="s">
        <v>259</v>
      </c>
      <c r="G374" s="11" t="s">
        <v>258</v>
      </c>
      <c r="H374" s="11" t="s">
        <v>2031</v>
      </c>
      <c r="I374" s="12">
        <v>45497</v>
      </c>
    </row>
    <row r="375" spans="1:9" x14ac:dyDescent="0.15">
      <c r="A375" s="9">
        <v>374</v>
      </c>
      <c r="B375" s="10" t="s">
        <v>9</v>
      </c>
      <c r="C375" s="11" t="s">
        <v>10</v>
      </c>
      <c r="D375" s="12">
        <v>45623</v>
      </c>
      <c r="E375" s="13" t="str">
        <f>+HYPERLINK("http://trademark.i-assist.jp/data/china/image_1913th/79114884.pdf","79114884")</f>
        <v>79114884</v>
      </c>
      <c r="F375" s="11" t="s">
        <v>261</v>
      </c>
      <c r="G375" s="11" t="s">
        <v>260</v>
      </c>
      <c r="H375" s="11" t="s">
        <v>2032</v>
      </c>
      <c r="I375" s="12">
        <v>45450</v>
      </c>
    </row>
    <row r="376" spans="1:9" x14ac:dyDescent="0.15">
      <c r="A376" s="9">
        <v>375</v>
      </c>
      <c r="B376" s="10" t="s">
        <v>9</v>
      </c>
      <c r="C376" s="11" t="s">
        <v>10</v>
      </c>
      <c r="D376" s="12">
        <v>45623</v>
      </c>
      <c r="E376" s="13" t="str">
        <f>+HYPERLINK("http://trademark.i-assist.jp/data/china/image_1913th/79244104.pdf","79244104")</f>
        <v>79244104</v>
      </c>
      <c r="F376" s="11" t="s">
        <v>2033</v>
      </c>
      <c r="G376" s="11" t="s">
        <v>260</v>
      </c>
      <c r="H376" s="11" t="s">
        <v>2034</v>
      </c>
      <c r="I376" s="12">
        <v>45460</v>
      </c>
    </row>
    <row r="377" spans="1:9" x14ac:dyDescent="0.15">
      <c r="A377" s="9">
        <v>376</v>
      </c>
      <c r="B377" s="10" t="s">
        <v>9</v>
      </c>
      <c r="C377" s="11" t="s">
        <v>10</v>
      </c>
      <c r="D377" s="12">
        <v>45623</v>
      </c>
      <c r="E377" s="13" t="str">
        <f>+HYPERLINK("http://trademark.i-assist.jp/data/china/image_1913th/79263048.pdf","79263048")</f>
        <v>79263048</v>
      </c>
      <c r="F377" s="11" t="s">
        <v>262</v>
      </c>
      <c r="G377" s="11" t="s">
        <v>260</v>
      </c>
      <c r="H377" s="11" t="s">
        <v>2035</v>
      </c>
      <c r="I377" s="12">
        <v>45460</v>
      </c>
    </row>
    <row r="378" spans="1:9" x14ac:dyDescent="0.15">
      <c r="A378" s="9">
        <v>377</v>
      </c>
      <c r="B378" s="10" t="s">
        <v>9</v>
      </c>
      <c r="C378" s="11" t="s">
        <v>10</v>
      </c>
      <c r="D378" s="12">
        <v>45623</v>
      </c>
      <c r="E378" s="13" t="str">
        <f>+HYPERLINK("http://trademark.i-assist.jp/data/china/image_1913th/80587448.pdf","80587448")</f>
        <v>80587448</v>
      </c>
      <c r="F378" s="11" t="s">
        <v>2036</v>
      </c>
      <c r="G378" s="11" t="s">
        <v>1484</v>
      </c>
      <c r="H378" s="11" t="s">
        <v>1485</v>
      </c>
      <c r="I378" s="12">
        <v>45531</v>
      </c>
    </row>
    <row r="379" spans="1:9" x14ac:dyDescent="0.15">
      <c r="A379" s="9">
        <v>378</v>
      </c>
      <c r="B379" s="10" t="s">
        <v>9</v>
      </c>
      <c r="C379" s="11" t="s">
        <v>10</v>
      </c>
      <c r="D379" s="12">
        <v>45623</v>
      </c>
      <c r="E379" s="13" t="str">
        <f>+HYPERLINK("http://trademark.i-assist.jp/data/china/image_1913th/80589566.pdf","80589566")</f>
        <v>80589566</v>
      </c>
      <c r="F379" s="11" t="s">
        <v>1335</v>
      </c>
      <c r="G379" s="11" t="s">
        <v>2037</v>
      </c>
      <c r="H379" s="11" t="s">
        <v>2038</v>
      </c>
      <c r="I379" s="12">
        <v>45531</v>
      </c>
    </row>
    <row r="380" spans="1:9" x14ac:dyDescent="0.15">
      <c r="A380" s="9">
        <v>379</v>
      </c>
      <c r="B380" s="10" t="s">
        <v>9</v>
      </c>
      <c r="C380" s="11" t="s">
        <v>10</v>
      </c>
      <c r="D380" s="12">
        <v>45623</v>
      </c>
      <c r="E380" s="13" t="str">
        <f>+HYPERLINK("http://trademark.i-assist.jp/data/china/image_1913th/80592356.pdf","80592356")</f>
        <v>80592356</v>
      </c>
      <c r="F380" s="11" t="s">
        <v>263</v>
      </c>
      <c r="G380" s="11" t="s">
        <v>1479</v>
      </c>
      <c r="H380" s="11" t="s">
        <v>1480</v>
      </c>
      <c r="I380" s="12">
        <v>45531</v>
      </c>
    </row>
    <row r="381" spans="1:9" x14ac:dyDescent="0.15">
      <c r="A381" s="9">
        <v>380</v>
      </c>
      <c r="B381" s="10" t="s">
        <v>9</v>
      </c>
      <c r="C381" s="11" t="s">
        <v>10</v>
      </c>
      <c r="D381" s="12">
        <v>45623</v>
      </c>
      <c r="E381" s="13" t="str">
        <f>+HYPERLINK("http://trademark.i-assist.jp/data/china/image_1913th/80602119.pdf","80602119")</f>
        <v>80602119</v>
      </c>
      <c r="F381" s="11" t="s">
        <v>2039</v>
      </c>
      <c r="G381" s="11" t="s">
        <v>2040</v>
      </c>
      <c r="H381" s="11" t="s">
        <v>2041</v>
      </c>
      <c r="I381" s="12">
        <v>45532</v>
      </c>
    </row>
    <row r="382" spans="1:9" x14ac:dyDescent="0.15">
      <c r="A382" s="9">
        <v>381</v>
      </c>
      <c r="B382" s="10" t="s">
        <v>9</v>
      </c>
      <c r="C382" s="11" t="s">
        <v>10</v>
      </c>
      <c r="D382" s="12">
        <v>45623</v>
      </c>
      <c r="E382" s="13" t="str">
        <f>+HYPERLINK("http://trademark.i-assist.jp/data/china/image_1913th/80127248.pdf","80127248")</f>
        <v>80127248</v>
      </c>
      <c r="F382" s="11" t="s">
        <v>2042</v>
      </c>
      <c r="G382" s="11" t="s">
        <v>2043</v>
      </c>
      <c r="H382" s="11" t="s">
        <v>2044</v>
      </c>
      <c r="I382" s="12">
        <v>45505</v>
      </c>
    </row>
    <row r="383" spans="1:9" x14ac:dyDescent="0.15">
      <c r="A383" s="9">
        <v>382</v>
      </c>
      <c r="B383" s="10" t="s">
        <v>9</v>
      </c>
      <c r="C383" s="11" t="s">
        <v>10</v>
      </c>
      <c r="D383" s="12">
        <v>45623</v>
      </c>
      <c r="E383" s="13" t="str">
        <f>+HYPERLINK("http://trademark.i-assist.jp/data/china/image_1913th/80269295.pdf","80269295")</f>
        <v>80269295</v>
      </c>
      <c r="F383" s="11" t="s">
        <v>2045</v>
      </c>
      <c r="G383" s="11" t="s">
        <v>2046</v>
      </c>
      <c r="H383" s="11" t="s">
        <v>2047</v>
      </c>
      <c r="I383" s="12">
        <v>45513</v>
      </c>
    </row>
    <row r="384" spans="1:9" x14ac:dyDescent="0.15">
      <c r="A384" s="9">
        <v>383</v>
      </c>
      <c r="B384" s="10" t="s">
        <v>9</v>
      </c>
      <c r="C384" s="11" t="s">
        <v>10</v>
      </c>
      <c r="D384" s="12">
        <v>45623</v>
      </c>
      <c r="E384" s="13" t="str">
        <f>+HYPERLINK("http://trademark.i-assist.jp/data/china/image_1913th/80294685.pdf","80294685")</f>
        <v>80294685</v>
      </c>
      <c r="F384" s="11" t="s">
        <v>264</v>
      </c>
      <c r="G384" s="11" t="s">
        <v>2048</v>
      </c>
      <c r="H384" s="11" t="s">
        <v>2049</v>
      </c>
      <c r="I384" s="12">
        <v>45514</v>
      </c>
    </row>
    <row r="385" spans="1:9" x14ac:dyDescent="0.15">
      <c r="A385" s="9">
        <v>384</v>
      </c>
      <c r="B385" s="10" t="s">
        <v>9</v>
      </c>
      <c r="C385" s="11" t="s">
        <v>10</v>
      </c>
      <c r="D385" s="12">
        <v>45623</v>
      </c>
      <c r="E385" s="13" t="str">
        <f>+HYPERLINK("http://trademark.i-assist.jp/data/china/image_1913th/80319103.pdf","80319103")</f>
        <v>80319103</v>
      </c>
      <c r="F385" s="11" t="s">
        <v>2050</v>
      </c>
      <c r="G385" s="11" t="s">
        <v>2051</v>
      </c>
      <c r="H385" s="11" t="s">
        <v>2052</v>
      </c>
      <c r="I385" s="12">
        <v>45516</v>
      </c>
    </row>
    <row r="386" spans="1:9" x14ac:dyDescent="0.15">
      <c r="A386" s="9">
        <v>385</v>
      </c>
      <c r="B386" s="10" t="s">
        <v>9</v>
      </c>
      <c r="C386" s="11" t="s">
        <v>10</v>
      </c>
      <c r="D386" s="12">
        <v>45623</v>
      </c>
      <c r="E386" s="13" t="str">
        <f>+HYPERLINK("http://trademark.i-assist.jp/data/china/image_1913th/80330687.pdf","80330687")</f>
        <v>80330687</v>
      </c>
      <c r="F386" s="11" t="s">
        <v>1335</v>
      </c>
      <c r="G386" s="11" t="s">
        <v>2053</v>
      </c>
      <c r="H386" s="11" t="s">
        <v>2054</v>
      </c>
      <c r="I386" s="12">
        <v>45517</v>
      </c>
    </row>
    <row r="387" spans="1:9" x14ac:dyDescent="0.15">
      <c r="A387" s="9">
        <v>386</v>
      </c>
      <c r="B387" s="10" t="s">
        <v>9</v>
      </c>
      <c r="C387" s="11" t="s">
        <v>10</v>
      </c>
      <c r="D387" s="12">
        <v>45623</v>
      </c>
      <c r="E387" s="13" t="str">
        <f>+HYPERLINK("http://trademark.i-assist.jp/data/china/image_1913th/80364847.pdf","80364847")</f>
        <v>80364847</v>
      </c>
      <c r="F387" s="11" t="s">
        <v>2055</v>
      </c>
      <c r="G387" s="11" t="s">
        <v>2056</v>
      </c>
      <c r="H387" s="11" t="s">
        <v>2057</v>
      </c>
      <c r="I387" s="12">
        <v>45518</v>
      </c>
    </row>
    <row r="388" spans="1:9" x14ac:dyDescent="0.15">
      <c r="A388" s="9">
        <v>387</v>
      </c>
      <c r="B388" s="10" t="s">
        <v>9</v>
      </c>
      <c r="C388" s="11" t="s">
        <v>10</v>
      </c>
      <c r="D388" s="12">
        <v>45623</v>
      </c>
      <c r="E388" s="13" t="str">
        <f>+HYPERLINK("http://trademark.i-assist.jp/data/china/image_1913th/80416750.pdf","80416750")</f>
        <v>80416750</v>
      </c>
      <c r="F388" s="11" t="s">
        <v>2058</v>
      </c>
      <c r="G388" s="11" t="s">
        <v>1397</v>
      </c>
      <c r="H388" s="11" t="s">
        <v>2059</v>
      </c>
      <c r="I388" s="12">
        <v>45520</v>
      </c>
    </row>
    <row r="389" spans="1:9" x14ac:dyDescent="0.15">
      <c r="A389" s="9">
        <v>388</v>
      </c>
      <c r="B389" s="10" t="s">
        <v>9</v>
      </c>
      <c r="C389" s="11" t="s">
        <v>10</v>
      </c>
      <c r="D389" s="12">
        <v>45623</v>
      </c>
      <c r="E389" s="13" t="str">
        <f>+HYPERLINK("http://trademark.i-assist.jp/data/china/image_1913th/80477718.pdf","80477718")</f>
        <v>80477718</v>
      </c>
      <c r="F389" s="11" t="s">
        <v>265</v>
      </c>
      <c r="G389" s="11" t="s">
        <v>2060</v>
      </c>
      <c r="H389" s="11" t="s">
        <v>2061</v>
      </c>
      <c r="I389" s="12">
        <v>45525</v>
      </c>
    </row>
    <row r="390" spans="1:9" x14ac:dyDescent="0.15">
      <c r="A390" s="9">
        <v>389</v>
      </c>
      <c r="B390" s="10" t="s">
        <v>9</v>
      </c>
      <c r="C390" s="11" t="s">
        <v>10</v>
      </c>
      <c r="D390" s="12">
        <v>45623</v>
      </c>
      <c r="E390" s="13" t="str">
        <f>+HYPERLINK("http://trademark.i-assist.jp/data/china/image_1913th/80479708.pdf","80479708")</f>
        <v>80479708</v>
      </c>
      <c r="F390" s="11" t="s">
        <v>2062</v>
      </c>
      <c r="G390" s="11" t="s">
        <v>2063</v>
      </c>
      <c r="H390" s="11" t="s">
        <v>2064</v>
      </c>
      <c r="I390" s="12">
        <v>45525</v>
      </c>
    </row>
    <row r="391" spans="1:9" x14ac:dyDescent="0.15">
      <c r="A391" s="9">
        <v>390</v>
      </c>
      <c r="B391" s="10" t="s">
        <v>9</v>
      </c>
      <c r="C391" s="11" t="s">
        <v>10</v>
      </c>
      <c r="D391" s="12">
        <v>45623</v>
      </c>
      <c r="E391" s="13" t="str">
        <f>+HYPERLINK("http://trademark.i-assist.jp/data/china/image_1913th/80501920.pdf","80501920")</f>
        <v>80501920</v>
      </c>
      <c r="F391" s="11" t="s">
        <v>2065</v>
      </c>
      <c r="G391" s="11" t="s">
        <v>266</v>
      </c>
      <c r="H391" s="11" t="s">
        <v>2066</v>
      </c>
      <c r="I391" s="12">
        <v>45526</v>
      </c>
    </row>
    <row r="392" spans="1:9" x14ac:dyDescent="0.15">
      <c r="A392" s="9">
        <v>391</v>
      </c>
      <c r="B392" s="10" t="s">
        <v>9</v>
      </c>
      <c r="C392" s="11" t="s">
        <v>10</v>
      </c>
      <c r="D392" s="12">
        <v>45623</v>
      </c>
      <c r="E392" s="13" t="str">
        <f>+HYPERLINK("http://trademark.i-assist.jp/data/china/image_1913th/80525551.pdf","80525551")</f>
        <v>80525551</v>
      </c>
      <c r="F392" s="11" t="s">
        <v>2067</v>
      </c>
      <c r="G392" s="11" t="s">
        <v>2068</v>
      </c>
      <c r="H392" s="11" t="s">
        <v>2069</v>
      </c>
      <c r="I392" s="12">
        <v>45527</v>
      </c>
    </row>
    <row r="393" spans="1:9" x14ac:dyDescent="0.15">
      <c r="A393" s="9">
        <v>392</v>
      </c>
      <c r="B393" s="10" t="s">
        <v>9</v>
      </c>
      <c r="C393" s="11" t="s">
        <v>10</v>
      </c>
      <c r="D393" s="12">
        <v>45623</v>
      </c>
      <c r="E393" s="13" t="str">
        <f>+HYPERLINK("http://trademark.i-assist.jp/data/china/image_1913th/80536239.pdf","80536239")</f>
        <v>80536239</v>
      </c>
      <c r="F393" s="11" t="s">
        <v>2070</v>
      </c>
      <c r="G393" s="11" t="s">
        <v>2071</v>
      </c>
      <c r="H393" s="11" t="s">
        <v>2072</v>
      </c>
      <c r="I393" s="12">
        <v>45527</v>
      </c>
    </row>
    <row r="394" spans="1:9" x14ac:dyDescent="0.15">
      <c r="A394" s="9">
        <v>393</v>
      </c>
      <c r="B394" s="10" t="s">
        <v>9</v>
      </c>
      <c r="C394" s="11" t="s">
        <v>10</v>
      </c>
      <c r="D394" s="12">
        <v>45623</v>
      </c>
      <c r="E394" s="13" t="str">
        <f>+HYPERLINK("http://trademark.i-assist.jp/data/china/image_1913th/36154846.pdf","36154846")</f>
        <v>36154846</v>
      </c>
      <c r="F394" s="11" t="s">
        <v>267</v>
      </c>
      <c r="G394" s="11" t="s">
        <v>2073</v>
      </c>
      <c r="H394" s="11" t="s">
        <v>2074</v>
      </c>
      <c r="I394" s="12">
        <v>43490</v>
      </c>
    </row>
    <row r="395" spans="1:9" x14ac:dyDescent="0.15">
      <c r="A395" s="9">
        <v>394</v>
      </c>
      <c r="B395" s="10" t="s">
        <v>9</v>
      </c>
      <c r="C395" s="11" t="s">
        <v>10</v>
      </c>
      <c r="D395" s="12">
        <v>45623</v>
      </c>
      <c r="E395" s="13" t="str">
        <f>+HYPERLINK("http://trademark.i-assist.jp/data/china/image_1913th/60450083.pdf","60450083")</f>
        <v>60450083</v>
      </c>
      <c r="F395" s="11" t="s">
        <v>2075</v>
      </c>
      <c r="G395" s="11" t="s">
        <v>2076</v>
      </c>
      <c r="H395" s="11" t="s">
        <v>2077</v>
      </c>
      <c r="I395" s="12">
        <v>44510</v>
      </c>
    </row>
    <row r="396" spans="1:9" x14ac:dyDescent="0.15">
      <c r="A396" s="9">
        <v>395</v>
      </c>
      <c r="B396" s="10" t="s">
        <v>9</v>
      </c>
      <c r="C396" s="11" t="s">
        <v>10</v>
      </c>
      <c r="D396" s="12">
        <v>45623</v>
      </c>
      <c r="E396" s="13" t="str">
        <f>+HYPERLINK("http://trademark.i-assist.jp/data/china/image_1913th/74034683.pdf","74034683")</f>
        <v>74034683</v>
      </c>
      <c r="F396" s="11" t="s">
        <v>2078</v>
      </c>
      <c r="G396" s="11" t="s">
        <v>2079</v>
      </c>
      <c r="H396" s="11" t="s">
        <v>2080</v>
      </c>
      <c r="I396" s="12">
        <v>45181</v>
      </c>
    </row>
    <row r="397" spans="1:9" x14ac:dyDescent="0.15">
      <c r="A397" s="9">
        <v>396</v>
      </c>
      <c r="B397" s="10" t="s">
        <v>9</v>
      </c>
      <c r="C397" s="11" t="s">
        <v>10</v>
      </c>
      <c r="D397" s="12">
        <v>45623</v>
      </c>
      <c r="E397" s="13" t="str">
        <f>+HYPERLINK("http://trademark.i-assist.jp/data/china/image_1913th/80011668.pdf","80011668")</f>
        <v>80011668</v>
      </c>
      <c r="F397" s="11" t="s">
        <v>268</v>
      </c>
      <c r="G397" s="11" t="s">
        <v>2081</v>
      </c>
      <c r="H397" s="11" t="s">
        <v>2082</v>
      </c>
      <c r="I397" s="12">
        <v>45499</v>
      </c>
    </row>
    <row r="398" spans="1:9" x14ac:dyDescent="0.15">
      <c r="A398" s="9">
        <v>397</v>
      </c>
      <c r="B398" s="10" t="s">
        <v>9</v>
      </c>
      <c r="C398" s="11" t="s">
        <v>10</v>
      </c>
      <c r="D398" s="12">
        <v>45623</v>
      </c>
      <c r="E398" s="13" t="str">
        <f>+HYPERLINK("http://trademark.i-assist.jp/data/china/image_1913th/80151409.pdf","80151409")</f>
        <v>80151409</v>
      </c>
      <c r="F398" s="11" t="s">
        <v>2083</v>
      </c>
      <c r="G398" s="11" t="s">
        <v>269</v>
      </c>
      <c r="H398" s="11" t="s">
        <v>1279</v>
      </c>
      <c r="I398" s="12">
        <v>45506</v>
      </c>
    </row>
    <row r="399" spans="1:9" x14ac:dyDescent="0.15">
      <c r="A399" s="9">
        <v>398</v>
      </c>
      <c r="B399" s="10" t="s">
        <v>9</v>
      </c>
      <c r="C399" s="11" t="s">
        <v>10</v>
      </c>
      <c r="D399" s="12">
        <v>45623</v>
      </c>
      <c r="E399" s="13" t="str">
        <f>+HYPERLINK("http://trademark.i-assist.jp/data/china/image_1913th/80154790.pdf","80154790")</f>
        <v>80154790</v>
      </c>
      <c r="F399" s="11" t="s">
        <v>270</v>
      </c>
      <c r="G399" s="11" t="s">
        <v>2084</v>
      </c>
      <c r="H399" s="11" t="s">
        <v>2085</v>
      </c>
      <c r="I399" s="12">
        <v>45506</v>
      </c>
    </row>
    <row r="400" spans="1:9" x14ac:dyDescent="0.15">
      <c r="A400" s="9">
        <v>399</v>
      </c>
      <c r="B400" s="10" t="s">
        <v>9</v>
      </c>
      <c r="C400" s="11" t="s">
        <v>10</v>
      </c>
      <c r="D400" s="12">
        <v>45623</v>
      </c>
      <c r="E400" s="13" t="str">
        <f>+HYPERLINK("http://trademark.i-assist.jp/data/china/image_1913th/80178153.pdf","80178153")</f>
        <v>80178153</v>
      </c>
      <c r="F400" s="11" t="s">
        <v>271</v>
      </c>
      <c r="G400" s="11" t="s">
        <v>2086</v>
      </c>
      <c r="H400" s="11" t="s">
        <v>2087</v>
      </c>
      <c r="I400" s="12">
        <v>45509</v>
      </c>
    </row>
    <row r="401" spans="1:9" x14ac:dyDescent="0.15">
      <c r="A401" s="9">
        <v>400</v>
      </c>
      <c r="B401" s="10" t="s">
        <v>9</v>
      </c>
      <c r="C401" s="11" t="s">
        <v>10</v>
      </c>
      <c r="D401" s="12">
        <v>45623</v>
      </c>
      <c r="E401" s="13" t="str">
        <f>+HYPERLINK("http://trademark.i-assist.jp/data/china/image_1913th/80195570.pdf","80195570")</f>
        <v>80195570</v>
      </c>
      <c r="F401" s="11" t="s">
        <v>272</v>
      </c>
      <c r="G401" s="11" t="s">
        <v>2088</v>
      </c>
      <c r="H401" s="11" t="s">
        <v>2089</v>
      </c>
      <c r="I401" s="12">
        <v>45509</v>
      </c>
    </row>
    <row r="402" spans="1:9" x14ac:dyDescent="0.15">
      <c r="A402" s="9">
        <v>401</v>
      </c>
      <c r="B402" s="10" t="s">
        <v>9</v>
      </c>
      <c r="C402" s="11" t="s">
        <v>10</v>
      </c>
      <c r="D402" s="12">
        <v>45623</v>
      </c>
      <c r="E402" s="13" t="str">
        <f>+HYPERLINK("http://trademark.i-assist.jp/data/china/image_1913th/80254978.pdf","80254978")</f>
        <v>80254978</v>
      </c>
      <c r="F402" s="11" t="s">
        <v>2090</v>
      </c>
      <c r="G402" s="11" t="s">
        <v>2091</v>
      </c>
      <c r="H402" s="11" t="s">
        <v>2092</v>
      </c>
      <c r="I402" s="12">
        <v>45512</v>
      </c>
    </row>
    <row r="403" spans="1:9" x14ac:dyDescent="0.15">
      <c r="A403" s="9">
        <v>402</v>
      </c>
      <c r="B403" s="10" t="s">
        <v>9</v>
      </c>
      <c r="C403" s="11" t="s">
        <v>10</v>
      </c>
      <c r="D403" s="12">
        <v>45623</v>
      </c>
      <c r="E403" s="13" t="str">
        <f>+HYPERLINK("http://trademark.i-assist.jp/data/china/image_1913th/80301075.pdf","80301075")</f>
        <v>80301075</v>
      </c>
      <c r="F403" s="11" t="s">
        <v>2093</v>
      </c>
      <c r="G403" s="11" t="s">
        <v>2094</v>
      </c>
      <c r="H403" s="11" t="s">
        <v>2095</v>
      </c>
      <c r="I403" s="12">
        <v>45516</v>
      </c>
    </row>
    <row r="404" spans="1:9" x14ac:dyDescent="0.15">
      <c r="A404" s="9">
        <v>403</v>
      </c>
      <c r="B404" s="10" t="s">
        <v>9</v>
      </c>
      <c r="C404" s="11" t="s">
        <v>10</v>
      </c>
      <c r="D404" s="12">
        <v>45623</v>
      </c>
      <c r="E404" s="13" t="str">
        <f>+HYPERLINK("http://trademark.i-assist.jp/data/china/image_1913th/80303966.pdf","80303966")</f>
        <v>80303966</v>
      </c>
      <c r="F404" s="11" t="s">
        <v>273</v>
      </c>
      <c r="G404" s="11" t="s">
        <v>1338</v>
      </c>
      <c r="H404" s="11" t="s">
        <v>2096</v>
      </c>
      <c r="I404" s="12">
        <v>45516</v>
      </c>
    </row>
    <row r="405" spans="1:9" x14ac:dyDescent="0.15">
      <c r="A405" s="9">
        <v>404</v>
      </c>
      <c r="B405" s="10" t="s">
        <v>9</v>
      </c>
      <c r="C405" s="11" t="s">
        <v>10</v>
      </c>
      <c r="D405" s="12">
        <v>45623</v>
      </c>
      <c r="E405" s="13" t="str">
        <f>+HYPERLINK("http://trademark.i-assist.jp/data/china/image_1913th/80330226.pdf","80330226")</f>
        <v>80330226</v>
      </c>
      <c r="F405" s="11" t="s">
        <v>274</v>
      </c>
      <c r="G405" s="11" t="s">
        <v>2097</v>
      </c>
      <c r="H405" s="11" t="s">
        <v>2098</v>
      </c>
      <c r="I405" s="12">
        <v>45517</v>
      </c>
    </row>
    <row r="406" spans="1:9" x14ac:dyDescent="0.15">
      <c r="A406" s="9">
        <v>405</v>
      </c>
      <c r="B406" s="10" t="s">
        <v>9</v>
      </c>
      <c r="C406" s="11" t="s">
        <v>10</v>
      </c>
      <c r="D406" s="12">
        <v>45623</v>
      </c>
      <c r="E406" s="13" t="str">
        <f>+HYPERLINK("http://trademark.i-assist.jp/data/china/image_1913th/79806075.pdf","79806075")</f>
        <v>79806075</v>
      </c>
      <c r="F406" s="11" t="s">
        <v>2099</v>
      </c>
      <c r="G406" s="11" t="s">
        <v>275</v>
      </c>
      <c r="H406" s="11" t="s">
        <v>1376</v>
      </c>
      <c r="I406" s="12">
        <v>45488</v>
      </c>
    </row>
    <row r="407" spans="1:9" x14ac:dyDescent="0.15">
      <c r="A407" s="9">
        <v>406</v>
      </c>
      <c r="B407" s="10" t="s">
        <v>9</v>
      </c>
      <c r="C407" s="11" t="s">
        <v>10</v>
      </c>
      <c r="D407" s="12">
        <v>45623</v>
      </c>
      <c r="E407" s="13" t="str">
        <f>+HYPERLINK("http://trademark.i-assist.jp/data/china/image_1913th/79885435.pdf","79885435")</f>
        <v>79885435</v>
      </c>
      <c r="F407" s="11" t="s">
        <v>276</v>
      </c>
      <c r="G407" s="11" t="s">
        <v>2100</v>
      </c>
      <c r="H407" s="11" t="s">
        <v>2101</v>
      </c>
      <c r="I407" s="12">
        <v>45492</v>
      </c>
    </row>
    <row r="408" spans="1:9" x14ac:dyDescent="0.15">
      <c r="A408" s="9">
        <v>407</v>
      </c>
      <c r="B408" s="10" t="s">
        <v>9</v>
      </c>
      <c r="C408" s="11" t="s">
        <v>10</v>
      </c>
      <c r="D408" s="12">
        <v>45623</v>
      </c>
      <c r="E408" s="13" t="str">
        <f>+HYPERLINK("http://trademark.i-assist.jp/data/china/image_1913th/79913100.pdf","79913100")</f>
        <v>79913100</v>
      </c>
      <c r="F408" s="11" t="s">
        <v>277</v>
      </c>
      <c r="G408" s="11" t="s">
        <v>2102</v>
      </c>
      <c r="H408" s="11" t="s">
        <v>2103</v>
      </c>
      <c r="I408" s="12">
        <v>45494</v>
      </c>
    </row>
    <row r="409" spans="1:9" x14ac:dyDescent="0.15">
      <c r="A409" s="9">
        <v>408</v>
      </c>
      <c r="B409" s="10" t="s">
        <v>9</v>
      </c>
      <c r="C409" s="11" t="s">
        <v>10</v>
      </c>
      <c r="D409" s="12">
        <v>45623</v>
      </c>
      <c r="E409" s="13" t="str">
        <f>+HYPERLINK("http://trademark.i-assist.jp/data/china/image_1913th/79932981.pdf","79932981")</f>
        <v>79932981</v>
      </c>
      <c r="F409" s="11" t="s">
        <v>2104</v>
      </c>
      <c r="G409" s="11" t="s">
        <v>2105</v>
      </c>
      <c r="H409" s="11" t="s">
        <v>2106</v>
      </c>
      <c r="I409" s="12">
        <v>45495</v>
      </c>
    </row>
    <row r="410" spans="1:9" x14ac:dyDescent="0.15">
      <c r="A410" s="9">
        <v>409</v>
      </c>
      <c r="B410" s="10" t="s">
        <v>9</v>
      </c>
      <c r="C410" s="11" t="s">
        <v>10</v>
      </c>
      <c r="D410" s="12">
        <v>45623</v>
      </c>
      <c r="E410" s="13" t="str">
        <f>+HYPERLINK("http://trademark.i-assist.jp/data/china/image_1913th/79972581.pdf","79972581")</f>
        <v>79972581</v>
      </c>
      <c r="F410" s="11" t="s">
        <v>278</v>
      </c>
      <c r="G410" s="11" t="s">
        <v>2107</v>
      </c>
      <c r="H410" s="11" t="s">
        <v>2108</v>
      </c>
      <c r="I410" s="12">
        <v>45497</v>
      </c>
    </row>
    <row r="411" spans="1:9" x14ac:dyDescent="0.15">
      <c r="A411" s="9">
        <v>410</v>
      </c>
      <c r="B411" s="10" t="s">
        <v>9</v>
      </c>
      <c r="C411" s="11" t="s">
        <v>10</v>
      </c>
      <c r="D411" s="12">
        <v>45623</v>
      </c>
      <c r="E411" s="13" t="str">
        <f>+HYPERLINK("http://trademark.i-assist.jp/data/china/image_1913th/75956569.pdf","75956569")</f>
        <v>75956569</v>
      </c>
      <c r="F411" s="11" t="s">
        <v>2109</v>
      </c>
      <c r="G411" s="11" t="s">
        <v>2110</v>
      </c>
      <c r="H411" s="11" t="s">
        <v>2111</v>
      </c>
      <c r="I411" s="12">
        <v>45282</v>
      </c>
    </row>
    <row r="412" spans="1:9" x14ac:dyDescent="0.15">
      <c r="A412" s="9">
        <v>411</v>
      </c>
      <c r="B412" s="10" t="s">
        <v>9</v>
      </c>
      <c r="C412" s="11" t="s">
        <v>10</v>
      </c>
      <c r="D412" s="12">
        <v>45623</v>
      </c>
      <c r="E412" s="13" t="str">
        <f>+HYPERLINK("http://trademark.i-assist.jp/data/china/image_1913th/76227876.pdf","76227876")</f>
        <v>76227876</v>
      </c>
      <c r="F412" s="11" t="s">
        <v>279</v>
      </c>
      <c r="G412" s="11" t="s">
        <v>2112</v>
      </c>
      <c r="H412" s="11" t="s">
        <v>2113</v>
      </c>
      <c r="I412" s="12">
        <v>45296</v>
      </c>
    </row>
    <row r="413" spans="1:9" x14ac:dyDescent="0.15">
      <c r="A413" s="9">
        <v>412</v>
      </c>
      <c r="B413" s="10" t="s">
        <v>9</v>
      </c>
      <c r="C413" s="11" t="s">
        <v>10</v>
      </c>
      <c r="D413" s="12">
        <v>45623</v>
      </c>
      <c r="E413" s="13" t="str">
        <f>+HYPERLINK("http://trademark.i-assist.jp/data/china/image_1913th/78286197.pdf","78286197")</f>
        <v>78286197</v>
      </c>
      <c r="F413" s="11" t="s">
        <v>280</v>
      </c>
      <c r="G413" s="11" t="s">
        <v>2114</v>
      </c>
      <c r="H413" s="11" t="s">
        <v>2115</v>
      </c>
      <c r="I413" s="12">
        <v>45410</v>
      </c>
    </row>
    <row r="414" spans="1:9" x14ac:dyDescent="0.15">
      <c r="A414" s="9">
        <v>413</v>
      </c>
      <c r="B414" s="10" t="s">
        <v>9</v>
      </c>
      <c r="C414" s="11" t="s">
        <v>10</v>
      </c>
      <c r="D414" s="12">
        <v>45623</v>
      </c>
      <c r="E414" s="13" t="str">
        <f>+HYPERLINK("http://trademark.i-assist.jp/data/china/image_1913th/79264450.pdf","79264450")</f>
        <v>79264450</v>
      </c>
      <c r="F414" s="11" t="s">
        <v>281</v>
      </c>
      <c r="G414" s="11" t="s">
        <v>260</v>
      </c>
      <c r="H414" s="11" t="s">
        <v>2035</v>
      </c>
      <c r="I414" s="12">
        <v>45460</v>
      </c>
    </row>
    <row r="415" spans="1:9" x14ac:dyDescent="0.15">
      <c r="A415" s="9">
        <v>414</v>
      </c>
      <c r="B415" s="10" t="s">
        <v>9</v>
      </c>
      <c r="C415" s="11" t="s">
        <v>10</v>
      </c>
      <c r="D415" s="12">
        <v>45623</v>
      </c>
      <c r="E415" s="13" t="str">
        <f>+HYPERLINK("http://trademark.i-assist.jp/data/china/image_1913th/80905244.pdf","80905244")</f>
        <v>80905244</v>
      </c>
      <c r="F415" s="11" t="s">
        <v>2116</v>
      </c>
      <c r="G415" s="11" t="s">
        <v>2117</v>
      </c>
      <c r="H415" s="11" t="s">
        <v>2118</v>
      </c>
      <c r="I415" s="12">
        <v>45548</v>
      </c>
    </row>
    <row r="416" spans="1:9" x14ac:dyDescent="0.15">
      <c r="A416" s="9">
        <v>415</v>
      </c>
      <c r="B416" s="10" t="s">
        <v>9</v>
      </c>
      <c r="C416" s="11" t="s">
        <v>10</v>
      </c>
      <c r="D416" s="12">
        <v>45623</v>
      </c>
      <c r="E416" s="13" t="str">
        <f>+HYPERLINK("http://trademark.i-assist.jp/data/china/image_1913th/80916629.pdf","80916629")</f>
        <v>80916629</v>
      </c>
      <c r="F416" s="11" t="s">
        <v>2119</v>
      </c>
      <c r="G416" s="11" t="s">
        <v>2120</v>
      </c>
      <c r="H416" s="11" t="s">
        <v>2121</v>
      </c>
      <c r="I416" s="12">
        <v>45548</v>
      </c>
    </row>
    <row r="417" spans="1:9" x14ac:dyDescent="0.15">
      <c r="A417" s="9">
        <v>416</v>
      </c>
      <c r="B417" s="10" t="s">
        <v>9</v>
      </c>
      <c r="C417" s="11" t="s">
        <v>10</v>
      </c>
      <c r="D417" s="12">
        <v>45623</v>
      </c>
      <c r="E417" s="13" t="str">
        <f>+HYPERLINK("http://trademark.i-assist.jp/data/china/image_1913th/80936175.pdf","80936175")</f>
        <v>80936175</v>
      </c>
      <c r="F417" s="11" t="s">
        <v>2122</v>
      </c>
      <c r="G417" s="11" t="s">
        <v>2123</v>
      </c>
      <c r="H417" s="11" t="s">
        <v>2124</v>
      </c>
      <c r="I417" s="12">
        <v>45549</v>
      </c>
    </row>
    <row r="418" spans="1:9" x14ac:dyDescent="0.15">
      <c r="A418" s="9">
        <v>417</v>
      </c>
      <c r="B418" s="10" t="s">
        <v>9</v>
      </c>
      <c r="C418" s="11" t="s">
        <v>10</v>
      </c>
      <c r="D418" s="12">
        <v>45623</v>
      </c>
      <c r="E418" s="13" t="str">
        <f>+HYPERLINK("http://trademark.i-assist.jp/data/china/image_1913th/80971965.pdf","80971965")</f>
        <v>80971965</v>
      </c>
      <c r="F418" s="11" t="s">
        <v>282</v>
      </c>
      <c r="G418" s="11" t="s">
        <v>2125</v>
      </c>
      <c r="H418" s="11" t="s">
        <v>2126</v>
      </c>
      <c r="I418" s="12">
        <v>45553</v>
      </c>
    </row>
    <row r="419" spans="1:9" x14ac:dyDescent="0.15">
      <c r="A419" s="9">
        <v>418</v>
      </c>
      <c r="B419" s="10" t="s">
        <v>9</v>
      </c>
      <c r="C419" s="11" t="s">
        <v>10</v>
      </c>
      <c r="D419" s="12">
        <v>45623</v>
      </c>
      <c r="E419" s="13" t="str">
        <f>+HYPERLINK("http://trademark.i-assist.jp/data/china/image_1913th/80816238.pdf","80816238")</f>
        <v>80816238</v>
      </c>
      <c r="F419" s="11" t="s">
        <v>2127</v>
      </c>
      <c r="G419" s="11" t="s">
        <v>104</v>
      </c>
      <c r="H419" s="11" t="s">
        <v>1578</v>
      </c>
      <c r="I419" s="12">
        <v>45544</v>
      </c>
    </row>
    <row r="420" spans="1:9" x14ac:dyDescent="0.15">
      <c r="A420" s="9">
        <v>419</v>
      </c>
      <c r="B420" s="10" t="s">
        <v>9</v>
      </c>
      <c r="C420" s="11" t="s">
        <v>10</v>
      </c>
      <c r="D420" s="12">
        <v>45623</v>
      </c>
      <c r="E420" s="13" t="str">
        <f>+HYPERLINK("http://trademark.i-assist.jp/data/china/image_1913th/80821843.pdf","80821843")</f>
        <v>80821843</v>
      </c>
      <c r="F420" s="11" t="s">
        <v>2128</v>
      </c>
      <c r="G420" s="11" t="s">
        <v>2129</v>
      </c>
      <c r="H420" s="11" t="s">
        <v>2130</v>
      </c>
      <c r="I420" s="12">
        <v>45544</v>
      </c>
    </row>
    <row r="421" spans="1:9" x14ac:dyDescent="0.15">
      <c r="A421" s="9">
        <v>420</v>
      </c>
      <c r="B421" s="10" t="s">
        <v>9</v>
      </c>
      <c r="C421" s="11" t="s">
        <v>10</v>
      </c>
      <c r="D421" s="12">
        <v>45623</v>
      </c>
      <c r="E421" s="13" t="str">
        <f>+HYPERLINK("http://trademark.i-assist.jp/data/china/image_1913th/80825552.pdf","80825552")</f>
        <v>80825552</v>
      </c>
      <c r="F421" s="11" t="s">
        <v>2131</v>
      </c>
      <c r="G421" s="11" t="s">
        <v>2132</v>
      </c>
      <c r="H421" s="11" t="s">
        <v>2133</v>
      </c>
      <c r="I421" s="12">
        <v>45544</v>
      </c>
    </row>
    <row r="422" spans="1:9" x14ac:dyDescent="0.15">
      <c r="A422" s="9">
        <v>421</v>
      </c>
      <c r="B422" s="10" t="s">
        <v>9</v>
      </c>
      <c r="C422" s="11" t="s">
        <v>10</v>
      </c>
      <c r="D422" s="12">
        <v>45623</v>
      </c>
      <c r="E422" s="13" t="str">
        <f>+HYPERLINK("http://trademark.i-assist.jp/data/china/image_1913th/80873689.pdf","80873689")</f>
        <v>80873689</v>
      </c>
      <c r="F422" s="11" t="s">
        <v>283</v>
      </c>
      <c r="G422" s="11" t="s">
        <v>2134</v>
      </c>
      <c r="H422" s="11" t="s">
        <v>2135</v>
      </c>
      <c r="I422" s="12">
        <v>45546</v>
      </c>
    </row>
    <row r="423" spans="1:9" x14ac:dyDescent="0.15">
      <c r="A423" s="9">
        <v>422</v>
      </c>
      <c r="B423" s="10" t="s">
        <v>9</v>
      </c>
      <c r="C423" s="11" t="s">
        <v>10</v>
      </c>
      <c r="D423" s="12">
        <v>45623</v>
      </c>
      <c r="E423" s="13" t="str">
        <f>+HYPERLINK("http://trademark.i-assist.jp/data/china/image_1913th/80874630.pdf","80874630")</f>
        <v>80874630</v>
      </c>
      <c r="F423" s="11" t="s">
        <v>284</v>
      </c>
      <c r="G423" s="11" t="s">
        <v>2136</v>
      </c>
      <c r="H423" s="11" t="s">
        <v>1430</v>
      </c>
      <c r="I423" s="12">
        <v>45546</v>
      </c>
    </row>
    <row r="424" spans="1:9" x14ac:dyDescent="0.15">
      <c r="A424" s="9">
        <v>423</v>
      </c>
      <c r="B424" s="10" t="s">
        <v>9</v>
      </c>
      <c r="C424" s="11" t="s">
        <v>10</v>
      </c>
      <c r="D424" s="12">
        <v>45623</v>
      </c>
      <c r="E424" s="13" t="str">
        <f>+HYPERLINK("http://trademark.i-assist.jp/data/china/image_1913th/80888935.pdf","80888935")</f>
        <v>80888935</v>
      </c>
      <c r="F424" s="11" t="s">
        <v>2137</v>
      </c>
      <c r="G424" s="11" t="s">
        <v>285</v>
      </c>
      <c r="H424" s="11" t="s">
        <v>1279</v>
      </c>
      <c r="I424" s="12">
        <v>45549</v>
      </c>
    </row>
    <row r="425" spans="1:9" x14ac:dyDescent="0.15">
      <c r="A425" s="9">
        <v>424</v>
      </c>
      <c r="B425" s="10" t="s">
        <v>9</v>
      </c>
      <c r="C425" s="11" t="s">
        <v>10</v>
      </c>
      <c r="D425" s="12">
        <v>45623</v>
      </c>
      <c r="E425" s="13" t="str">
        <f>+HYPERLINK("http://trademark.i-assist.jp/data/china/image_1913th/80605350.pdf","80605350")</f>
        <v>80605350</v>
      </c>
      <c r="F425" s="11" t="s">
        <v>2138</v>
      </c>
      <c r="G425" s="11" t="s">
        <v>2139</v>
      </c>
      <c r="H425" s="11" t="s">
        <v>2140</v>
      </c>
      <c r="I425" s="12">
        <v>45532</v>
      </c>
    </row>
    <row r="426" spans="1:9" x14ac:dyDescent="0.15">
      <c r="A426" s="9">
        <v>425</v>
      </c>
      <c r="B426" s="10" t="s">
        <v>9</v>
      </c>
      <c r="C426" s="11" t="s">
        <v>10</v>
      </c>
      <c r="D426" s="12">
        <v>45623</v>
      </c>
      <c r="E426" s="13" t="str">
        <f>+HYPERLINK("http://trademark.i-assist.jp/data/china/image_1913th/80605972.pdf","80605972")</f>
        <v>80605972</v>
      </c>
      <c r="F426" s="11" t="s">
        <v>286</v>
      </c>
      <c r="G426" s="11" t="s">
        <v>2141</v>
      </c>
      <c r="H426" s="11" t="s">
        <v>2142</v>
      </c>
      <c r="I426" s="12">
        <v>45532</v>
      </c>
    </row>
    <row r="427" spans="1:9" x14ac:dyDescent="0.15">
      <c r="A427" s="9">
        <v>426</v>
      </c>
      <c r="B427" s="10" t="s">
        <v>9</v>
      </c>
      <c r="C427" s="11" t="s">
        <v>10</v>
      </c>
      <c r="D427" s="12">
        <v>45623</v>
      </c>
      <c r="E427" s="13" t="str">
        <f>+HYPERLINK("http://trademark.i-assist.jp/data/china/image_1913th/80611402.pdf","80611402")</f>
        <v>80611402</v>
      </c>
      <c r="F427" s="11" t="s">
        <v>287</v>
      </c>
      <c r="G427" s="11" t="s">
        <v>2143</v>
      </c>
      <c r="H427" s="11" t="s">
        <v>1914</v>
      </c>
      <c r="I427" s="12">
        <v>45532</v>
      </c>
    </row>
    <row r="428" spans="1:9" x14ac:dyDescent="0.15">
      <c r="A428" s="9">
        <v>427</v>
      </c>
      <c r="B428" s="10" t="s">
        <v>9</v>
      </c>
      <c r="C428" s="11" t="s">
        <v>10</v>
      </c>
      <c r="D428" s="12">
        <v>45623</v>
      </c>
      <c r="E428" s="13" t="str">
        <f>+HYPERLINK("http://trademark.i-assist.jp/data/china/image_1913th/80612572.pdf","80612572")</f>
        <v>80612572</v>
      </c>
      <c r="F428" s="11" t="s">
        <v>288</v>
      </c>
      <c r="G428" s="11" t="s">
        <v>1997</v>
      </c>
      <c r="H428" s="11" t="s">
        <v>1302</v>
      </c>
      <c r="I428" s="12">
        <v>45532</v>
      </c>
    </row>
    <row r="429" spans="1:9" x14ac:dyDescent="0.15">
      <c r="A429" s="9">
        <v>428</v>
      </c>
      <c r="B429" s="10" t="s">
        <v>9</v>
      </c>
      <c r="C429" s="11" t="s">
        <v>10</v>
      </c>
      <c r="D429" s="12">
        <v>45623</v>
      </c>
      <c r="E429" s="13" t="str">
        <f>+HYPERLINK("http://trademark.i-assist.jp/data/china/image_1913th/80627843.pdf","80627843")</f>
        <v>80627843</v>
      </c>
      <c r="F429" s="11" t="s">
        <v>2144</v>
      </c>
      <c r="G429" s="11" t="s">
        <v>289</v>
      </c>
      <c r="H429" s="11" t="s">
        <v>2145</v>
      </c>
      <c r="I429" s="12">
        <v>45533</v>
      </c>
    </row>
    <row r="430" spans="1:9" x14ac:dyDescent="0.15">
      <c r="A430" s="9">
        <v>429</v>
      </c>
      <c r="B430" s="10" t="s">
        <v>9</v>
      </c>
      <c r="C430" s="11" t="s">
        <v>10</v>
      </c>
      <c r="D430" s="12">
        <v>45623</v>
      </c>
      <c r="E430" s="13" t="str">
        <f>+HYPERLINK("http://trademark.i-assist.jp/data/china/image_1913th/80631903.pdf","80631903")</f>
        <v>80631903</v>
      </c>
      <c r="F430" s="11" t="s">
        <v>290</v>
      </c>
      <c r="G430" s="11" t="s">
        <v>1388</v>
      </c>
      <c r="H430" s="11" t="s">
        <v>1389</v>
      </c>
      <c r="I430" s="12">
        <v>45533</v>
      </c>
    </row>
    <row r="431" spans="1:9" x14ac:dyDescent="0.15">
      <c r="A431" s="9">
        <v>430</v>
      </c>
      <c r="B431" s="10" t="s">
        <v>9</v>
      </c>
      <c r="C431" s="11" t="s">
        <v>10</v>
      </c>
      <c r="D431" s="12">
        <v>45623</v>
      </c>
      <c r="E431" s="13" t="str">
        <f>+HYPERLINK("http://trademark.i-assist.jp/data/china/image_1913th/80642956.pdf","80642956")</f>
        <v>80642956</v>
      </c>
      <c r="F431" s="11" t="s">
        <v>2146</v>
      </c>
      <c r="G431" s="11" t="s">
        <v>291</v>
      </c>
      <c r="H431" s="11" t="s">
        <v>2147</v>
      </c>
      <c r="I431" s="12">
        <v>45533</v>
      </c>
    </row>
    <row r="432" spans="1:9" x14ac:dyDescent="0.15">
      <c r="A432" s="9">
        <v>431</v>
      </c>
      <c r="B432" s="10" t="s">
        <v>9</v>
      </c>
      <c r="C432" s="11" t="s">
        <v>10</v>
      </c>
      <c r="D432" s="12">
        <v>45623</v>
      </c>
      <c r="E432" s="13" t="str">
        <f>+HYPERLINK("http://trademark.i-assist.jp/data/china/image_1913th/80589263.pdf","80589263")</f>
        <v>80589263</v>
      </c>
      <c r="F432" s="11" t="s">
        <v>292</v>
      </c>
      <c r="G432" s="11" t="s">
        <v>2148</v>
      </c>
      <c r="H432" s="11" t="s">
        <v>2149</v>
      </c>
      <c r="I432" s="12">
        <v>45531</v>
      </c>
    </row>
    <row r="433" spans="1:9" x14ac:dyDescent="0.15">
      <c r="A433" s="9">
        <v>432</v>
      </c>
      <c r="B433" s="10" t="s">
        <v>9</v>
      </c>
      <c r="C433" s="11" t="s">
        <v>10</v>
      </c>
      <c r="D433" s="12">
        <v>45623</v>
      </c>
      <c r="E433" s="13" t="str">
        <f>+HYPERLINK("http://trademark.i-assist.jp/data/china/image_1913th/80594009.pdf","80594009")</f>
        <v>80594009</v>
      </c>
      <c r="F433" s="11" t="s">
        <v>294</v>
      </c>
      <c r="G433" s="11" t="s">
        <v>293</v>
      </c>
      <c r="H433" s="11" t="s">
        <v>2150</v>
      </c>
      <c r="I433" s="12">
        <v>45531</v>
      </c>
    </row>
    <row r="434" spans="1:9" x14ac:dyDescent="0.15">
      <c r="A434" s="9">
        <v>433</v>
      </c>
      <c r="B434" s="10" t="s">
        <v>9</v>
      </c>
      <c r="C434" s="11" t="s">
        <v>10</v>
      </c>
      <c r="D434" s="12">
        <v>45623</v>
      </c>
      <c r="E434" s="13" t="str">
        <f>+HYPERLINK("http://trademark.i-assist.jp/data/china/image_1913th/80598243.pdf","80598243")</f>
        <v>80598243</v>
      </c>
      <c r="F434" s="11" t="s">
        <v>295</v>
      </c>
      <c r="G434" s="11" t="s">
        <v>2151</v>
      </c>
      <c r="H434" s="11" t="s">
        <v>2152</v>
      </c>
      <c r="I434" s="12">
        <v>45531</v>
      </c>
    </row>
    <row r="435" spans="1:9" x14ac:dyDescent="0.15">
      <c r="A435" s="9">
        <v>434</v>
      </c>
      <c r="B435" s="10" t="s">
        <v>9</v>
      </c>
      <c r="C435" s="11" t="s">
        <v>10</v>
      </c>
      <c r="D435" s="12">
        <v>45623</v>
      </c>
      <c r="E435" s="13" t="str">
        <f>+HYPERLINK("http://trademark.i-assist.jp/data/china/image_1913th/80604299.pdf","80604299")</f>
        <v>80604299</v>
      </c>
      <c r="F435" s="11" t="s">
        <v>296</v>
      </c>
      <c r="G435" s="11" t="s">
        <v>2153</v>
      </c>
      <c r="H435" s="11" t="s">
        <v>2154</v>
      </c>
      <c r="I435" s="12">
        <v>45532</v>
      </c>
    </row>
    <row r="436" spans="1:9" x14ac:dyDescent="0.15">
      <c r="A436" s="9">
        <v>435</v>
      </c>
      <c r="B436" s="10" t="s">
        <v>9</v>
      </c>
      <c r="C436" s="11" t="s">
        <v>10</v>
      </c>
      <c r="D436" s="12">
        <v>45623</v>
      </c>
      <c r="E436" s="13" t="str">
        <f>+HYPERLINK("http://trademark.i-assist.jp/data/china/image_1913th/80733638.pdf","80733638")</f>
        <v>80733638</v>
      </c>
      <c r="F436" s="11" t="s">
        <v>297</v>
      </c>
      <c r="G436" s="11" t="s">
        <v>2155</v>
      </c>
      <c r="H436" s="11" t="s">
        <v>2156</v>
      </c>
      <c r="I436" s="12">
        <v>45539</v>
      </c>
    </row>
    <row r="437" spans="1:9" x14ac:dyDescent="0.15">
      <c r="A437" s="9">
        <v>436</v>
      </c>
      <c r="B437" s="10" t="s">
        <v>9</v>
      </c>
      <c r="C437" s="11" t="s">
        <v>10</v>
      </c>
      <c r="D437" s="12">
        <v>45623</v>
      </c>
      <c r="E437" s="13" t="str">
        <f>+HYPERLINK("http://trademark.i-assist.jp/data/china/image_1913th/80738919.pdf","80738919")</f>
        <v>80738919</v>
      </c>
      <c r="F437" s="11" t="s">
        <v>2157</v>
      </c>
      <c r="G437" s="11" t="s">
        <v>1794</v>
      </c>
      <c r="H437" s="11" t="s">
        <v>1795</v>
      </c>
      <c r="I437" s="12">
        <v>45539</v>
      </c>
    </row>
    <row r="438" spans="1:9" x14ac:dyDescent="0.15">
      <c r="A438" s="9">
        <v>437</v>
      </c>
      <c r="B438" s="10" t="s">
        <v>9</v>
      </c>
      <c r="C438" s="11" t="s">
        <v>10</v>
      </c>
      <c r="D438" s="12">
        <v>45623</v>
      </c>
      <c r="E438" s="13" t="str">
        <f>+HYPERLINK("http://trademark.i-assist.jp/data/china/image_1913th/80740063.pdf","80740063")</f>
        <v>80740063</v>
      </c>
      <c r="F438" s="11" t="s">
        <v>2158</v>
      </c>
      <c r="G438" s="11" t="s">
        <v>2159</v>
      </c>
      <c r="H438" s="11" t="s">
        <v>2160</v>
      </c>
      <c r="I438" s="12">
        <v>45539</v>
      </c>
    </row>
    <row r="439" spans="1:9" x14ac:dyDescent="0.15">
      <c r="A439" s="9">
        <v>438</v>
      </c>
      <c r="B439" s="10" t="s">
        <v>9</v>
      </c>
      <c r="C439" s="11" t="s">
        <v>10</v>
      </c>
      <c r="D439" s="12">
        <v>45623</v>
      </c>
      <c r="E439" s="13" t="str">
        <f>+HYPERLINK("http://trademark.i-assist.jp/data/china/image_1913th/80742012.pdf","80742012")</f>
        <v>80742012</v>
      </c>
      <c r="F439" s="11" t="s">
        <v>298</v>
      </c>
      <c r="G439" s="11" t="s">
        <v>2161</v>
      </c>
      <c r="H439" s="11" t="s">
        <v>2162</v>
      </c>
      <c r="I439" s="12">
        <v>45539</v>
      </c>
    </row>
    <row r="440" spans="1:9" x14ac:dyDescent="0.15">
      <c r="A440" s="9">
        <v>439</v>
      </c>
      <c r="B440" s="10" t="s">
        <v>9</v>
      </c>
      <c r="C440" s="11" t="s">
        <v>10</v>
      </c>
      <c r="D440" s="12">
        <v>45623</v>
      </c>
      <c r="E440" s="13" t="str">
        <f>+HYPERLINK("http://trademark.i-assist.jp/data/china/image_1913th/80748615.pdf","80748615")</f>
        <v>80748615</v>
      </c>
      <c r="F440" s="11" t="s">
        <v>299</v>
      </c>
      <c r="G440" s="11" t="s">
        <v>2163</v>
      </c>
      <c r="H440" s="11" t="s">
        <v>2164</v>
      </c>
      <c r="I440" s="12">
        <v>45539</v>
      </c>
    </row>
    <row r="441" spans="1:9" x14ac:dyDescent="0.15">
      <c r="A441" s="9">
        <v>440</v>
      </c>
      <c r="B441" s="10" t="s">
        <v>9</v>
      </c>
      <c r="C441" s="11" t="s">
        <v>10</v>
      </c>
      <c r="D441" s="12">
        <v>45623</v>
      </c>
      <c r="E441" s="13" t="str">
        <f>+HYPERLINK("http://trademark.i-assist.jp/data/china/image_1913th/80756436.pdf","80756436")</f>
        <v>80756436</v>
      </c>
      <c r="F441" s="11" t="s">
        <v>2165</v>
      </c>
      <c r="G441" s="11" t="s">
        <v>1496</v>
      </c>
      <c r="H441" s="11" t="s">
        <v>1497</v>
      </c>
      <c r="I441" s="12">
        <v>45540</v>
      </c>
    </row>
    <row r="442" spans="1:9" x14ac:dyDescent="0.15">
      <c r="A442" s="9">
        <v>441</v>
      </c>
      <c r="B442" s="10" t="s">
        <v>9</v>
      </c>
      <c r="C442" s="11" t="s">
        <v>10</v>
      </c>
      <c r="D442" s="12">
        <v>45623</v>
      </c>
      <c r="E442" s="13" t="str">
        <f>+HYPERLINK("http://trademark.i-assist.jp/data/china/image_1913th/80759048.pdf","80759048")</f>
        <v>80759048</v>
      </c>
      <c r="F442" s="11" t="s">
        <v>2166</v>
      </c>
      <c r="G442" s="11" t="s">
        <v>2167</v>
      </c>
      <c r="H442" s="11" t="s">
        <v>2168</v>
      </c>
      <c r="I442" s="12">
        <v>45540</v>
      </c>
    </row>
    <row r="443" spans="1:9" x14ac:dyDescent="0.15">
      <c r="A443" s="9">
        <v>442</v>
      </c>
      <c r="B443" s="10" t="s">
        <v>9</v>
      </c>
      <c r="C443" s="11" t="s">
        <v>10</v>
      </c>
      <c r="D443" s="12">
        <v>45623</v>
      </c>
      <c r="E443" s="13" t="str">
        <f>+HYPERLINK("http://trademark.i-assist.jp/data/china/image_1913th/80765163.pdf","80765163")</f>
        <v>80765163</v>
      </c>
      <c r="F443" s="11" t="s">
        <v>2169</v>
      </c>
      <c r="G443" s="11" t="s">
        <v>300</v>
      </c>
      <c r="H443" s="11" t="s">
        <v>1302</v>
      </c>
      <c r="I443" s="12">
        <v>45540</v>
      </c>
    </row>
    <row r="444" spans="1:9" x14ac:dyDescent="0.15">
      <c r="A444" s="9">
        <v>443</v>
      </c>
      <c r="B444" s="10" t="s">
        <v>9</v>
      </c>
      <c r="C444" s="11" t="s">
        <v>10</v>
      </c>
      <c r="D444" s="12">
        <v>45623</v>
      </c>
      <c r="E444" s="13" t="str">
        <f>+HYPERLINK("http://trademark.i-assist.jp/data/china/image_1913th/80765365.pdf","80765365")</f>
        <v>80765365</v>
      </c>
      <c r="F444" s="11" t="s">
        <v>301</v>
      </c>
      <c r="G444" s="11" t="s">
        <v>2170</v>
      </c>
      <c r="H444" s="11" t="s">
        <v>2171</v>
      </c>
      <c r="I444" s="12">
        <v>45540</v>
      </c>
    </row>
    <row r="445" spans="1:9" x14ac:dyDescent="0.15">
      <c r="A445" s="9">
        <v>444</v>
      </c>
      <c r="B445" s="10" t="s">
        <v>9</v>
      </c>
      <c r="C445" s="11" t="s">
        <v>10</v>
      </c>
      <c r="D445" s="12">
        <v>45623</v>
      </c>
      <c r="E445" s="13" t="str">
        <f>+HYPERLINK("http://trademark.i-assist.jp/data/china/image_1913th/80766067.pdf","80766067")</f>
        <v>80766067</v>
      </c>
      <c r="F445" s="11" t="s">
        <v>2172</v>
      </c>
      <c r="G445" s="11" t="s">
        <v>2173</v>
      </c>
      <c r="H445" s="11" t="s">
        <v>2174</v>
      </c>
      <c r="I445" s="12">
        <v>45540</v>
      </c>
    </row>
    <row r="446" spans="1:9" x14ac:dyDescent="0.15">
      <c r="A446" s="9">
        <v>445</v>
      </c>
      <c r="B446" s="10" t="s">
        <v>9</v>
      </c>
      <c r="C446" s="11" t="s">
        <v>10</v>
      </c>
      <c r="D446" s="12">
        <v>45623</v>
      </c>
      <c r="E446" s="13" t="str">
        <f>+HYPERLINK("http://trademark.i-assist.jp/data/china/image_1913th/80775556.pdf","80775556")</f>
        <v>80775556</v>
      </c>
      <c r="F446" s="11" t="s">
        <v>302</v>
      </c>
      <c r="G446" s="11" t="s">
        <v>2175</v>
      </c>
      <c r="H446" s="11" t="s">
        <v>2176</v>
      </c>
      <c r="I446" s="12">
        <v>45540</v>
      </c>
    </row>
    <row r="447" spans="1:9" x14ac:dyDescent="0.15">
      <c r="A447" s="9">
        <v>446</v>
      </c>
      <c r="B447" s="10" t="s">
        <v>9</v>
      </c>
      <c r="C447" s="11" t="s">
        <v>10</v>
      </c>
      <c r="D447" s="12">
        <v>45623</v>
      </c>
      <c r="E447" s="13" t="str">
        <f>+HYPERLINK("http://trademark.i-assist.jp/data/china/image_1913th/80775807.pdf","80775807")</f>
        <v>80775807</v>
      </c>
      <c r="F447" s="11" t="s">
        <v>2177</v>
      </c>
      <c r="G447" s="11" t="s">
        <v>2178</v>
      </c>
      <c r="H447" s="11" t="s">
        <v>2179</v>
      </c>
      <c r="I447" s="12">
        <v>45540</v>
      </c>
    </row>
    <row r="448" spans="1:9" x14ac:dyDescent="0.15">
      <c r="A448" s="9">
        <v>447</v>
      </c>
      <c r="B448" s="10" t="s">
        <v>9</v>
      </c>
      <c r="C448" s="11" t="s">
        <v>10</v>
      </c>
      <c r="D448" s="12">
        <v>45623</v>
      </c>
      <c r="E448" s="13" t="str">
        <f>+HYPERLINK("http://trademark.i-assist.jp/data/china/image_1913th/80788439.pdf","80788439")</f>
        <v>80788439</v>
      </c>
      <c r="F448" s="11" t="s">
        <v>1335</v>
      </c>
      <c r="G448" s="11" t="s">
        <v>2180</v>
      </c>
      <c r="H448" s="11" t="s">
        <v>2181</v>
      </c>
      <c r="I448" s="12">
        <v>45541</v>
      </c>
    </row>
    <row r="449" spans="1:9" x14ac:dyDescent="0.15">
      <c r="A449" s="9">
        <v>448</v>
      </c>
      <c r="B449" s="10" t="s">
        <v>9</v>
      </c>
      <c r="C449" s="11" t="s">
        <v>10</v>
      </c>
      <c r="D449" s="12">
        <v>45623</v>
      </c>
      <c r="E449" s="13" t="str">
        <f>+HYPERLINK("http://trademark.i-assist.jp/data/china/image_1913th/80649950.pdf","80649950")</f>
        <v>80649950</v>
      </c>
      <c r="F449" s="11" t="s">
        <v>304</v>
      </c>
      <c r="G449" s="11" t="s">
        <v>303</v>
      </c>
      <c r="H449" s="11" t="s">
        <v>2182</v>
      </c>
      <c r="I449" s="12">
        <v>45534</v>
      </c>
    </row>
    <row r="450" spans="1:9" x14ac:dyDescent="0.15">
      <c r="A450" s="9">
        <v>449</v>
      </c>
      <c r="B450" s="10" t="s">
        <v>9</v>
      </c>
      <c r="C450" s="11" t="s">
        <v>10</v>
      </c>
      <c r="D450" s="12">
        <v>45623</v>
      </c>
      <c r="E450" s="13" t="str">
        <f>+HYPERLINK("http://trademark.i-assist.jp/data/china/image_1913th/80652026.pdf","80652026")</f>
        <v>80652026</v>
      </c>
      <c r="F450" s="11" t="s">
        <v>305</v>
      </c>
      <c r="G450" s="11" t="s">
        <v>2183</v>
      </c>
      <c r="H450" s="11" t="s">
        <v>2184</v>
      </c>
      <c r="I450" s="12">
        <v>45534</v>
      </c>
    </row>
    <row r="451" spans="1:9" x14ac:dyDescent="0.15">
      <c r="A451" s="9">
        <v>450</v>
      </c>
      <c r="B451" s="10" t="s">
        <v>9</v>
      </c>
      <c r="C451" s="11" t="s">
        <v>10</v>
      </c>
      <c r="D451" s="12">
        <v>45623</v>
      </c>
      <c r="E451" s="13" t="str">
        <f>+HYPERLINK("http://trademark.i-assist.jp/data/china/image_1913th/80652631.pdf","80652631")</f>
        <v>80652631</v>
      </c>
      <c r="F451" s="11" t="s">
        <v>2185</v>
      </c>
      <c r="G451" s="11" t="s">
        <v>2186</v>
      </c>
      <c r="H451" s="11" t="s">
        <v>2187</v>
      </c>
      <c r="I451" s="12">
        <v>45534</v>
      </c>
    </row>
    <row r="452" spans="1:9" x14ac:dyDescent="0.15">
      <c r="A452" s="9">
        <v>451</v>
      </c>
      <c r="B452" s="10" t="s">
        <v>9</v>
      </c>
      <c r="C452" s="11" t="s">
        <v>10</v>
      </c>
      <c r="D452" s="12">
        <v>45623</v>
      </c>
      <c r="E452" s="13" t="str">
        <f>+HYPERLINK("http://trademark.i-assist.jp/data/china/image_1913th/80654345.pdf","80654345")</f>
        <v>80654345</v>
      </c>
      <c r="F452" s="11" t="s">
        <v>306</v>
      </c>
      <c r="G452" s="11" t="s">
        <v>2188</v>
      </c>
      <c r="H452" s="11" t="s">
        <v>2189</v>
      </c>
      <c r="I452" s="12">
        <v>45534</v>
      </c>
    </row>
    <row r="453" spans="1:9" x14ac:dyDescent="0.15">
      <c r="A453" s="9">
        <v>452</v>
      </c>
      <c r="B453" s="10" t="s">
        <v>9</v>
      </c>
      <c r="C453" s="11" t="s">
        <v>10</v>
      </c>
      <c r="D453" s="12">
        <v>45623</v>
      </c>
      <c r="E453" s="13" t="str">
        <f>+HYPERLINK("http://trademark.i-assist.jp/data/china/image_1913th/80656174.pdf","80656174")</f>
        <v>80656174</v>
      </c>
      <c r="F453" s="11" t="s">
        <v>307</v>
      </c>
      <c r="G453" s="11" t="s">
        <v>2190</v>
      </c>
      <c r="H453" s="11" t="s">
        <v>2191</v>
      </c>
      <c r="I453" s="12">
        <v>45534</v>
      </c>
    </row>
    <row r="454" spans="1:9" x14ac:dyDescent="0.15">
      <c r="A454" s="9">
        <v>453</v>
      </c>
      <c r="B454" s="10" t="s">
        <v>9</v>
      </c>
      <c r="C454" s="11" t="s">
        <v>10</v>
      </c>
      <c r="D454" s="12">
        <v>45623</v>
      </c>
      <c r="E454" s="13" t="str">
        <f>+HYPERLINK("http://trademark.i-assist.jp/data/china/image_1913th/80656532.pdf","80656532")</f>
        <v>80656532</v>
      </c>
      <c r="F454" s="11" t="s">
        <v>308</v>
      </c>
      <c r="G454" s="11" t="s">
        <v>2192</v>
      </c>
      <c r="H454" s="11" t="s">
        <v>2193</v>
      </c>
      <c r="I454" s="12">
        <v>45534</v>
      </c>
    </row>
    <row r="455" spans="1:9" x14ac:dyDescent="0.15">
      <c r="A455" s="9">
        <v>454</v>
      </c>
      <c r="B455" s="10" t="s">
        <v>9</v>
      </c>
      <c r="C455" s="11" t="s">
        <v>10</v>
      </c>
      <c r="D455" s="12">
        <v>45623</v>
      </c>
      <c r="E455" s="13" t="str">
        <f>+HYPERLINK("http://trademark.i-assist.jp/data/china/image_1913th/80659330.pdf","80659330")</f>
        <v>80659330</v>
      </c>
      <c r="F455" s="11" t="s">
        <v>2194</v>
      </c>
      <c r="G455" s="11" t="s">
        <v>2195</v>
      </c>
      <c r="H455" s="11" t="s">
        <v>2196</v>
      </c>
      <c r="I455" s="12">
        <v>45534</v>
      </c>
    </row>
    <row r="456" spans="1:9" x14ac:dyDescent="0.15">
      <c r="A456" s="9">
        <v>455</v>
      </c>
      <c r="B456" s="10" t="s">
        <v>9</v>
      </c>
      <c r="C456" s="11" t="s">
        <v>10</v>
      </c>
      <c r="D456" s="12">
        <v>45623</v>
      </c>
      <c r="E456" s="13" t="str">
        <f>+HYPERLINK("http://trademark.i-assist.jp/data/china/image_1913th/80659959.pdf","80659959")</f>
        <v>80659959</v>
      </c>
      <c r="F456" s="11" t="s">
        <v>2197</v>
      </c>
      <c r="G456" s="11" t="s">
        <v>2198</v>
      </c>
      <c r="H456" s="11" t="s">
        <v>2199</v>
      </c>
      <c r="I456" s="12">
        <v>45534</v>
      </c>
    </row>
    <row r="457" spans="1:9" x14ac:dyDescent="0.15">
      <c r="A457" s="9">
        <v>456</v>
      </c>
      <c r="B457" s="10" t="s">
        <v>9</v>
      </c>
      <c r="C457" s="11" t="s">
        <v>10</v>
      </c>
      <c r="D457" s="12">
        <v>45623</v>
      </c>
      <c r="E457" s="13" t="str">
        <f>+HYPERLINK("http://trademark.i-assist.jp/data/china/image_1913th/80665322.pdf","80665322")</f>
        <v>80665322</v>
      </c>
      <c r="F457" s="11" t="s">
        <v>2200</v>
      </c>
      <c r="G457" s="11" t="s">
        <v>309</v>
      </c>
      <c r="H457" s="11" t="s">
        <v>1914</v>
      </c>
      <c r="I457" s="12">
        <v>45534</v>
      </c>
    </row>
    <row r="458" spans="1:9" x14ac:dyDescent="0.15">
      <c r="A458" s="9">
        <v>457</v>
      </c>
      <c r="B458" s="10" t="s">
        <v>9</v>
      </c>
      <c r="C458" s="11" t="s">
        <v>10</v>
      </c>
      <c r="D458" s="12">
        <v>45623</v>
      </c>
      <c r="E458" s="13" t="str">
        <f>+HYPERLINK("http://trademark.i-assist.jp/data/china/image_1913th/80665293.pdf","80665293")</f>
        <v>80665293</v>
      </c>
      <c r="F458" s="11" t="s">
        <v>310</v>
      </c>
      <c r="G458" s="11" t="s">
        <v>1598</v>
      </c>
      <c r="H458" s="11" t="s">
        <v>1599</v>
      </c>
      <c r="I458" s="12">
        <v>45534</v>
      </c>
    </row>
    <row r="459" spans="1:9" x14ac:dyDescent="0.15">
      <c r="A459" s="9">
        <v>458</v>
      </c>
      <c r="B459" s="10" t="s">
        <v>9</v>
      </c>
      <c r="C459" s="11" t="s">
        <v>10</v>
      </c>
      <c r="D459" s="12">
        <v>45623</v>
      </c>
      <c r="E459" s="13" t="str">
        <f>+HYPERLINK("http://trademark.i-assist.jp/data/china/image_1913th/80669532.pdf","80669532")</f>
        <v>80669532</v>
      </c>
      <c r="F459" s="11" t="s">
        <v>2201</v>
      </c>
      <c r="G459" s="11" t="s">
        <v>2202</v>
      </c>
      <c r="H459" s="11" t="s">
        <v>2203</v>
      </c>
      <c r="I459" s="12">
        <v>45534</v>
      </c>
    </row>
    <row r="460" spans="1:9" x14ac:dyDescent="0.15">
      <c r="A460" s="9">
        <v>459</v>
      </c>
      <c r="B460" s="10" t="s">
        <v>9</v>
      </c>
      <c r="C460" s="11" t="s">
        <v>10</v>
      </c>
      <c r="D460" s="12">
        <v>45623</v>
      </c>
      <c r="E460" s="13" t="str">
        <f>+HYPERLINK("http://trademark.i-assist.jp/data/china/image_1913th/80673350.pdf","80673350")</f>
        <v>80673350</v>
      </c>
      <c r="F460" s="11" t="s">
        <v>311</v>
      </c>
      <c r="G460" s="11" t="s">
        <v>2204</v>
      </c>
      <c r="H460" s="11" t="s">
        <v>2205</v>
      </c>
      <c r="I460" s="12">
        <v>45535</v>
      </c>
    </row>
    <row r="461" spans="1:9" x14ac:dyDescent="0.15">
      <c r="A461" s="9">
        <v>460</v>
      </c>
      <c r="B461" s="10" t="s">
        <v>9</v>
      </c>
      <c r="C461" s="11" t="s">
        <v>10</v>
      </c>
      <c r="D461" s="12">
        <v>45623</v>
      </c>
      <c r="E461" s="13" t="str">
        <f>+HYPERLINK("http://trademark.i-assist.jp/data/china/image_1913th/80675219.pdf","80675219")</f>
        <v>80675219</v>
      </c>
      <c r="F461" s="11" t="s">
        <v>1335</v>
      </c>
      <c r="G461" s="11" t="s">
        <v>1898</v>
      </c>
      <c r="H461" s="11" t="s">
        <v>1899</v>
      </c>
      <c r="I461" s="12">
        <v>45535</v>
      </c>
    </row>
    <row r="462" spans="1:9" x14ac:dyDescent="0.15">
      <c r="A462" s="9">
        <v>461</v>
      </c>
      <c r="B462" s="10" t="s">
        <v>9</v>
      </c>
      <c r="C462" s="11" t="s">
        <v>10</v>
      </c>
      <c r="D462" s="12">
        <v>45623</v>
      </c>
      <c r="E462" s="13" t="str">
        <f>+HYPERLINK("http://trademark.i-assist.jp/data/china/image_1913th/80680936.pdf","80680936")</f>
        <v>80680936</v>
      </c>
      <c r="F462" s="11" t="s">
        <v>2206</v>
      </c>
      <c r="G462" s="11" t="s">
        <v>2207</v>
      </c>
      <c r="H462" s="11" t="s">
        <v>2208</v>
      </c>
      <c r="I462" s="12">
        <v>45536</v>
      </c>
    </row>
    <row r="463" spans="1:9" x14ac:dyDescent="0.15">
      <c r="A463" s="9">
        <v>462</v>
      </c>
      <c r="B463" s="10" t="s">
        <v>9</v>
      </c>
      <c r="C463" s="11" t="s">
        <v>10</v>
      </c>
      <c r="D463" s="12">
        <v>45623</v>
      </c>
      <c r="E463" s="13" t="str">
        <f>+HYPERLINK("http://trademark.i-assist.jp/data/china/image_1913th/80682810.pdf","80682810")</f>
        <v>80682810</v>
      </c>
      <c r="F463" s="11" t="s">
        <v>2209</v>
      </c>
      <c r="G463" s="11" t="s">
        <v>2210</v>
      </c>
      <c r="H463" s="11" t="s">
        <v>2211</v>
      </c>
      <c r="I463" s="12">
        <v>45537</v>
      </c>
    </row>
    <row r="464" spans="1:9" x14ac:dyDescent="0.15">
      <c r="A464" s="9">
        <v>463</v>
      </c>
      <c r="B464" s="10" t="s">
        <v>9</v>
      </c>
      <c r="C464" s="11" t="s">
        <v>10</v>
      </c>
      <c r="D464" s="12">
        <v>45623</v>
      </c>
      <c r="E464" s="13" t="str">
        <f>+HYPERLINK("http://trademark.i-assist.jp/data/china/image_1913th/80384538.pdf","80384538")</f>
        <v>80384538</v>
      </c>
      <c r="F464" s="11" t="s">
        <v>312</v>
      </c>
      <c r="G464" s="11" t="s">
        <v>2212</v>
      </c>
      <c r="H464" s="11" t="s">
        <v>2213</v>
      </c>
      <c r="I464" s="12">
        <v>45519</v>
      </c>
    </row>
    <row r="465" spans="1:9" x14ac:dyDescent="0.15">
      <c r="A465" s="9">
        <v>464</v>
      </c>
      <c r="B465" s="10" t="s">
        <v>9</v>
      </c>
      <c r="C465" s="11" t="s">
        <v>10</v>
      </c>
      <c r="D465" s="12">
        <v>45623</v>
      </c>
      <c r="E465" s="13" t="str">
        <f>+HYPERLINK("http://trademark.i-assist.jp/data/china/image_1913th/80409151.pdf","80409151")</f>
        <v>80409151</v>
      </c>
      <c r="F465" s="11" t="s">
        <v>2214</v>
      </c>
      <c r="G465" s="11" t="s">
        <v>2215</v>
      </c>
      <c r="H465" s="11" t="s">
        <v>2216</v>
      </c>
      <c r="I465" s="12">
        <v>45520</v>
      </c>
    </row>
    <row r="466" spans="1:9" x14ac:dyDescent="0.15">
      <c r="A466" s="9">
        <v>465</v>
      </c>
      <c r="B466" s="10" t="s">
        <v>9</v>
      </c>
      <c r="C466" s="11" t="s">
        <v>10</v>
      </c>
      <c r="D466" s="12">
        <v>45623</v>
      </c>
      <c r="E466" s="13" t="str">
        <f>+HYPERLINK("http://trademark.i-assist.jp/data/china/image_1913th/80418681.pdf","80418681")</f>
        <v>80418681</v>
      </c>
      <c r="F466" s="11" t="s">
        <v>313</v>
      </c>
      <c r="G466" s="11" t="s">
        <v>2217</v>
      </c>
      <c r="H466" s="11" t="s">
        <v>1280</v>
      </c>
      <c r="I466" s="12">
        <v>45521</v>
      </c>
    </row>
    <row r="467" spans="1:9" x14ac:dyDescent="0.15">
      <c r="A467" s="9">
        <v>466</v>
      </c>
      <c r="B467" s="10" t="s">
        <v>9</v>
      </c>
      <c r="C467" s="11" t="s">
        <v>10</v>
      </c>
      <c r="D467" s="12">
        <v>45623</v>
      </c>
      <c r="E467" s="13" t="str">
        <f>+HYPERLINK("http://trademark.i-assist.jp/data/china/image_1913th/80438672.pdf","80438672")</f>
        <v>80438672</v>
      </c>
      <c r="F467" s="11" t="s">
        <v>314</v>
      </c>
      <c r="G467" s="11" t="s">
        <v>2218</v>
      </c>
      <c r="H467" s="11" t="s">
        <v>1430</v>
      </c>
      <c r="I467" s="12">
        <v>45523</v>
      </c>
    </row>
    <row r="468" spans="1:9" x14ac:dyDescent="0.15">
      <c r="A468" s="9">
        <v>467</v>
      </c>
      <c r="B468" s="10" t="s">
        <v>9</v>
      </c>
      <c r="C468" s="11" t="s">
        <v>10</v>
      </c>
      <c r="D468" s="12">
        <v>45623</v>
      </c>
      <c r="E468" s="13" t="str">
        <f>+HYPERLINK("http://trademark.i-assist.jp/data/china/image_1913th/80441620.pdf","80441620")</f>
        <v>80441620</v>
      </c>
      <c r="F468" s="11" t="s">
        <v>2219</v>
      </c>
      <c r="G468" s="11" t="s">
        <v>2220</v>
      </c>
      <c r="H468" s="11" t="s">
        <v>2221</v>
      </c>
      <c r="I468" s="12">
        <v>45523</v>
      </c>
    </row>
    <row r="469" spans="1:9" x14ac:dyDescent="0.15">
      <c r="A469" s="9">
        <v>468</v>
      </c>
      <c r="B469" s="10" t="s">
        <v>9</v>
      </c>
      <c r="C469" s="11" t="s">
        <v>10</v>
      </c>
      <c r="D469" s="12">
        <v>45623</v>
      </c>
      <c r="E469" s="13" t="str">
        <f>+HYPERLINK("http://trademark.i-assist.jp/data/china/image_1913th/80447067.pdf","80447067")</f>
        <v>80447067</v>
      </c>
      <c r="F469" s="11" t="s">
        <v>2222</v>
      </c>
      <c r="G469" s="11" t="s">
        <v>2223</v>
      </c>
      <c r="H469" s="11" t="s">
        <v>2224</v>
      </c>
      <c r="I469" s="12">
        <v>45523</v>
      </c>
    </row>
    <row r="470" spans="1:9" x14ac:dyDescent="0.15">
      <c r="A470" s="9">
        <v>469</v>
      </c>
      <c r="B470" s="10" t="s">
        <v>9</v>
      </c>
      <c r="C470" s="11" t="s">
        <v>10</v>
      </c>
      <c r="D470" s="12">
        <v>45623</v>
      </c>
      <c r="E470" s="13" t="str">
        <f>+HYPERLINK("http://trademark.i-assist.jp/data/china/image_1913th/80346555.pdf","80346555")</f>
        <v>80346555</v>
      </c>
      <c r="F470" s="11" t="s">
        <v>2225</v>
      </c>
      <c r="G470" s="11" t="s">
        <v>2226</v>
      </c>
      <c r="H470" s="11" t="s">
        <v>2227</v>
      </c>
      <c r="I470" s="12">
        <v>45517</v>
      </c>
    </row>
    <row r="471" spans="1:9" x14ac:dyDescent="0.15">
      <c r="A471" s="9">
        <v>470</v>
      </c>
      <c r="B471" s="10" t="s">
        <v>9</v>
      </c>
      <c r="C471" s="11" t="s">
        <v>10</v>
      </c>
      <c r="D471" s="12">
        <v>45623</v>
      </c>
      <c r="E471" s="13" t="str">
        <f>+HYPERLINK("http://trademark.i-assist.jp/data/china/image_1913th/80684331.pdf","80684331")</f>
        <v>80684331</v>
      </c>
      <c r="F471" s="11" t="s">
        <v>2228</v>
      </c>
      <c r="G471" s="11" t="s">
        <v>315</v>
      </c>
      <c r="H471" s="11" t="s">
        <v>2229</v>
      </c>
      <c r="I471" s="12">
        <v>45537</v>
      </c>
    </row>
    <row r="472" spans="1:9" x14ac:dyDescent="0.15">
      <c r="A472" s="9">
        <v>471</v>
      </c>
      <c r="B472" s="10" t="s">
        <v>9</v>
      </c>
      <c r="C472" s="11" t="s">
        <v>10</v>
      </c>
      <c r="D472" s="12">
        <v>45623</v>
      </c>
      <c r="E472" s="13" t="str">
        <f>+HYPERLINK("http://trademark.i-assist.jp/data/china/image_1913th/80687427.pdf","80687427")</f>
        <v>80687427</v>
      </c>
      <c r="F472" s="11" t="s">
        <v>317</v>
      </c>
      <c r="G472" s="11" t="s">
        <v>316</v>
      </c>
      <c r="H472" s="11" t="s">
        <v>2230</v>
      </c>
      <c r="I472" s="12">
        <v>45537</v>
      </c>
    </row>
    <row r="473" spans="1:9" x14ac:dyDescent="0.15">
      <c r="A473" s="9">
        <v>472</v>
      </c>
      <c r="B473" s="10" t="s">
        <v>9</v>
      </c>
      <c r="C473" s="11" t="s">
        <v>10</v>
      </c>
      <c r="D473" s="12">
        <v>45623</v>
      </c>
      <c r="E473" s="13" t="str">
        <f>+HYPERLINK("http://trademark.i-assist.jp/data/china/image_1913th/80688813.pdf","80688813")</f>
        <v>80688813</v>
      </c>
      <c r="F473" s="11" t="s">
        <v>319</v>
      </c>
      <c r="G473" s="11" t="s">
        <v>318</v>
      </c>
      <c r="H473" s="11" t="s">
        <v>1914</v>
      </c>
      <c r="I473" s="12">
        <v>45537</v>
      </c>
    </row>
    <row r="474" spans="1:9" x14ac:dyDescent="0.15">
      <c r="A474" s="9">
        <v>473</v>
      </c>
      <c r="B474" s="10" t="s">
        <v>9</v>
      </c>
      <c r="C474" s="11" t="s">
        <v>10</v>
      </c>
      <c r="D474" s="12">
        <v>45623</v>
      </c>
      <c r="E474" s="13" t="str">
        <f>+HYPERLINK("http://trademark.i-assist.jp/data/china/image_1913th/80693861.pdf","80693861")</f>
        <v>80693861</v>
      </c>
      <c r="F474" s="11" t="s">
        <v>2231</v>
      </c>
      <c r="G474" s="11" t="s">
        <v>37</v>
      </c>
      <c r="H474" s="11" t="s">
        <v>2232</v>
      </c>
      <c r="I474" s="12">
        <v>45537</v>
      </c>
    </row>
    <row r="475" spans="1:9" x14ac:dyDescent="0.15">
      <c r="A475" s="9">
        <v>474</v>
      </c>
      <c r="B475" s="10" t="s">
        <v>9</v>
      </c>
      <c r="C475" s="11" t="s">
        <v>10</v>
      </c>
      <c r="D475" s="12">
        <v>45623</v>
      </c>
      <c r="E475" s="13" t="str">
        <f>+HYPERLINK("http://trademark.i-assist.jp/data/china/image_1913th/80694853.pdf","80694853")</f>
        <v>80694853</v>
      </c>
      <c r="F475" s="11" t="s">
        <v>2233</v>
      </c>
      <c r="G475" s="11" t="s">
        <v>2234</v>
      </c>
      <c r="H475" s="11" t="s">
        <v>2235</v>
      </c>
      <c r="I475" s="12">
        <v>45537</v>
      </c>
    </row>
    <row r="476" spans="1:9" x14ac:dyDescent="0.15">
      <c r="A476" s="9">
        <v>475</v>
      </c>
      <c r="B476" s="10" t="s">
        <v>9</v>
      </c>
      <c r="C476" s="11" t="s">
        <v>10</v>
      </c>
      <c r="D476" s="12">
        <v>45623</v>
      </c>
      <c r="E476" s="13" t="str">
        <f>+HYPERLINK("http://trademark.i-assist.jp/data/china/image_1913th/80695675.pdf","80695675")</f>
        <v>80695675</v>
      </c>
      <c r="F476" s="11" t="s">
        <v>320</v>
      </c>
      <c r="G476" s="11" t="s">
        <v>1400</v>
      </c>
      <c r="H476" s="11" t="s">
        <v>1401</v>
      </c>
      <c r="I476" s="12">
        <v>45537</v>
      </c>
    </row>
    <row r="477" spans="1:9" x14ac:dyDescent="0.15">
      <c r="A477" s="9">
        <v>476</v>
      </c>
      <c r="B477" s="10" t="s">
        <v>9</v>
      </c>
      <c r="C477" s="11" t="s">
        <v>10</v>
      </c>
      <c r="D477" s="12">
        <v>45623</v>
      </c>
      <c r="E477" s="13" t="str">
        <f>+HYPERLINK("http://trademark.i-assist.jp/data/china/image_1913th/80698724.pdf","80698724")</f>
        <v>80698724</v>
      </c>
      <c r="F477" s="11" t="s">
        <v>321</v>
      </c>
      <c r="G477" s="11" t="s">
        <v>1810</v>
      </c>
      <c r="H477" s="11" t="s">
        <v>1278</v>
      </c>
      <c r="I477" s="12">
        <v>45537</v>
      </c>
    </row>
    <row r="478" spans="1:9" x14ac:dyDescent="0.15">
      <c r="A478" s="9">
        <v>477</v>
      </c>
      <c r="B478" s="10" t="s">
        <v>9</v>
      </c>
      <c r="C478" s="11" t="s">
        <v>10</v>
      </c>
      <c r="D478" s="12">
        <v>45623</v>
      </c>
      <c r="E478" s="13" t="str">
        <f>+HYPERLINK("http://trademark.i-assist.jp/data/china/image_1913th/80700234.pdf","80700234")</f>
        <v>80700234</v>
      </c>
      <c r="F478" s="11" t="s">
        <v>2236</v>
      </c>
      <c r="G478" s="11" t="s">
        <v>2237</v>
      </c>
      <c r="H478" s="11" t="s">
        <v>2238</v>
      </c>
      <c r="I478" s="12">
        <v>45537</v>
      </c>
    </row>
    <row r="479" spans="1:9" x14ac:dyDescent="0.15">
      <c r="A479" s="9">
        <v>478</v>
      </c>
      <c r="B479" s="10" t="s">
        <v>9</v>
      </c>
      <c r="C479" s="11" t="s">
        <v>10</v>
      </c>
      <c r="D479" s="12">
        <v>45623</v>
      </c>
      <c r="E479" s="13" t="str">
        <f>+HYPERLINK("http://trademark.i-assist.jp/data/china/image_1913th/80702238.pdf","80702238")</f>
        <v>80702238</v>
      </c>
      <c r="F479" s="11" t="s">
        <v>323</v>
      </c>
      <c r="G479" s="11" t="s">
        <v>322</v>
      </c>
      <c r="H479" s="11" t="s">
        <v>2239</v>
      </c>
      <c r="I479" s="12">
        <v>45537</v>
      </c>
    </row>
    <row r="480" spans="1:9" x14ac:dyDescent="0.15">
      <c r="A480" s="9">
        <v>479</v>
      </c>
      <c r="B480" s="10" t="s">
        <v>9</v>
      </c>
      <c r="C480" s="11" t="s">
        <v>10</v>
      </c>
      <c r="D480" s="12">
        <v>45623</v>
      </c>
      <c r="E480" s="13" t="str">
        <f>+HYPERLINK("http://trademark.i-assist.jp/data/china/image_1913th/80703484.pdf","80703484")</f>
        <v>80703484</v>
      </c>
      <c r="F480" s="11" t="s">
        <v>324</v>
      </c>
      <c r="G480" s="11" t="s">
        <v>1806</v>
      </c>
      <c r="H480" s="11" t="s">
        <v>1807</v>
      </c>
      <c r="I480" s="12">
        <v>45537</v>
      </c>
    </row>
    <row r="481" spans="1:9" x14ac:dyDescent="0.15">
      <c r="A481" s="9">
        <v>480</v>
      </c>
      <c r="B481" s="10" t="s">
        <v>9</v>
      </c>
      <c r="C481" s="11" t="s">
        <v>10</v>
      </c>
      <c r="D481" s="12">
        <v>45623</v>
      </c>
      <c r="E481" s="13" t="str">
        <f>+HYPERLINK("http://trademark.i-assist.jp/data/china/image_1913th/80465124.pdf","80465124")</f>
        <v>80465124</v>
      </c>
      <c r="F481" s="11" t="s">
        <v>325</v>
      </c>
      <c r="G481" s="11" t="s">
        <v>2240</v>
      </c>
      <c r="H481" s="11" t="s">
        <v>2241</v>
      </c>
      <c r="I481" s="12">
        <v>45524</v>
      </c>
    </row>
    <row r="482" spans="1:9" x14ac:dyDescent="0.15">
      <c r="A482" s="9">
        <v>481</v>
      </c>
      <c r="B482" s="10" t="s">
        <v>9</v>
      </c>
      <c r="C482" s="11" t="s">
        <v>10</v>
      </c>
      <c r="D482" s="12">
        <v>45623</v>
      </c>
      <c r="E482" s="13" t="str">
        <f>+HYPERLINK("http://trademark.i-assist.jp/data/china/image_1913th/80496522.pdf","80496522")</f>
        <v>80496522</v>
      </c>
      <c r="F482" s="11" t="s">
        <v>326</v>
      </c>
      <c r="G482" s="11" t="s">
        <v>2242</v>
      </c>
      <c r="H482" s="11" t="s">
        <v>2243</v>
      </c>
      <c r="I482" s="12">
        <v>45525</v>
      </c>
    </row>
    <row r="483" spans="1:9" x14ac:dyDescent="0.15">
      <c r="A483" s="9">
        <v>482</v>
      </c>
      <c r="B483" s="10" t="s">
        <v>9</v>
      </c>
      <c r="C483" s="11" t="s">
        <v>10</v>
      </c>
      <c r="D483" s="12">
        <v>45623</v>
      </c>
      <c r="E483" s="13" t="str">
        <f>+HYPERLINK("http://trademark.i-assist.jp/data/china/image_1913th/80501196.pdf","80501196")</f>
        <v>80501196</v>
      </c>
      <c r="F483" s="11" t="s">
        <v>2244</v>
      </c>
      <c r="G483" s="11" t="s">
        <v>2245</v>
      </c>
      <c r="H483" s="11" t="s">
        <v>2246</v>
      </c>
      <c r="I483" s="12">
        <v>45526</v>
      </c>
    </row>
    <row r="484" spans="1:9" x14ac:dyDescent="0.15">
      <c r="A484" s="9">
        <v>483</v>
      </c>
      <c r="B484" s="10" t="s">
        <v>9</v>
      </c>
      <c r="C484" s="11" t="s">
        <v>10</v>
      </c>
      <c r="D484" s="12">
        <v>45623</v>
      </c>
      <c r="E484" s="13" t="str">
        <f>+HYPERLINK("http://trademark.i-assist.jp/data/china/image_1913th/80515329.pdf","80515329")</f>
        <v>80515329</v>
      </c>
      <c r="F484" s="11" t="s">
        <v>2247</v>
      </c>
      <c r="G484" s="11" t="s">
        <v>327</v>
      </c>
      <c r="H484" s="11" t="s">
        <v>2248</v>
      </c>
      <c r="I484" s="12">
        <v>45526</v>
      </c>
    </row>
    <row r="485" spans="1:9" x14ac:dyDescent="0.15">
      <c r="A485" s="9">
        <v>484</v>
      </c>
      <c r="B485" s="10" t="s">
        <v>9</v>
      </c>
      <c r="C485" s="11" t="s">
        <v>10</v>
      </c>
      <c r="D485" s="12">
        <v>45623</v>
      </c>
      <c r="E485" s="13" t="str">
        <f>+HYPERLINK("http://trademark.i-assist.jp/data/china/image_1913th/80522303.pdf","80522303")</f>
        <v>80522303</v>
      </c>
      <c r="F485" s="11" t="s">
        <v>329</v>
      </c>
      <c r="G485" s="11" t="s">
        <v>328</v>
      </c>
      <c r="H485" s="11" t="s">
        <v>1721</v>
      </c>
      <c r="I485" s="12">
        <v>45527</v>
      </c>
    </row>
    <row r="486" spans="1:9" x14ac:dyDescent="0.15">
      <c r="A486" s="9">
        <v>485</v>
      </c>
      <c r="B486" s="10" t="s">
        <v>9</v>
      </c>
      <c r="C486" s="11" t="s">
        <v>10</v>
      </c>
      <c r="D486" s="12">
        <v>45623</v>
      </c>
      <c r="E486" s="13" t="str">
        <f>+HYPERLINK("http://trademark.i-assist.jp/data/china/image_1913th/80530777.pdf","80530777")</f>
        <v>80530777</v>
      </c>
      <c r="F486" s="11" t="s">
        <v>2249</v>
      </c>
      <c r="G486" s="11" t="s">
        <v>1313</v>
      </c>
      <c r="H486" s="11" t="s">
        <v>1314</v>
      </c>
      <c r="I486" s="12">
        <v>45527</v>
      </c>
    </row>
    <row r="487" spans="1:9" x14ac:dyDescent="0.15">
      <c r="A487" s="9">
        <v>486</v>
      </c>
      <c r="B487" s="10" t="s">
        <v>9</v>
      </c>
      <c r="C487" s="11" t="s">
        <v>10</v>
      </c>
      <c r="D487" s="12">
        <v>45623</v>
      </c>
      <c r="E487" s="13" t="str">
        <f>+HYPERLINK("http://trademark.i-assist.jp/data/china/image_1913th/80707812.pdf","80707812")</f>
        <v>80707812</v>
      </c>
      <c r="F487" s="11" t="s">
        <v>330</v>
      </c>
      <c r="G487" s="11" t="s">
        <v>2250</v>
      </c>
      <c r="H487" s="11" t="s">
        <v>2251</v>
      </c>
      <c r="I487" s="12">
        <v>45538</v>
      </c>
    </row>
    <row r="488" spans="1:9" x14ac:dyDescent="0.15">
      <c r="A488" s="9">
        <v>487</v>
      </c>
      <c r="B488" s="10" t="s">
        <v>9</v>
      </c>
      <c r="C488" s="11" t="s">
        <v>10</v>
      </c>
      <c r="D488" s="12">
        <v>45623</v>
      </c>
      <c r="E488" s="13" t="str">
        <f>+HYPERLINK("http://trademark.i-assist.jp/data/china/image_1913th/80709254.pdf","80709254")</f>
        <v>80709254</v>
      </c>
      <c r="F488" s="11" t="s">
        <v>331</v>
      </c>
      <c r="G488" s="11" t="s">
        <v>2252</v>
      </c>
      <c r="H488" s="11" t="s">
        <v>2253</v>
      </c>
      <c r="I488" s="12">
        <v>45538</v>
      </c>
    </row>
    <row r="489" spans="1:9" x14ac:dyDescent="0.15">
      <c r="A489" s="9">
        <v>488</v>
      </c>
      <c r="B489" s="10" t="s">
        <v>9</v>
      </c>
      <c r="C489" s="11" t="s">
        <v>10</v>
      </c>
      <c r="D489" s="12">
        <v>45623</v>
      </c>
      <c r="E489" s="13" t="str">
        <f>+HYPERLINK("http://trademark.i-assist.jp/data/china/image_1913th/80709662.pdf","80709662")</f>
        <v>80709662</v>
      </c>
      <c r="F489" s="11" t="s">
        <v>332</v>
      </c>
      <c r="G489" s="11" t="s">
        <v>2254</v>
      </c>
      <c r="H489" s="11" t="s">
        <v>2255</v>
      </c>
      <c r="I489" s="12">
        <v>45538</v>
      </c>
    </row>
    <row r="490" spans="1:9" x14ac:dyDescent="0.15">
      <c r="A490" s="9">
        <v>489</v>
      </c>
      <c r="B490" s="10" t="s">
        <v>9</v>
      </c>
      <c r="C490" s="11" t="s">
        <v>10</v>
      </c>
      <c r="D490" s="12">
        <v>45623</v>
      </c>
      <c r="E490" s="13" t="str">
        <f>+HYPERLINK("http://trademark.i-assist.jp/data/china/image_1913th/80710576.pdf","80710576")</f>
        <v>80710576</v>
      </c>
      <c r="F490" s="11" t="s">
        <v>1335</v>
      </c>
      <c r="G490" s="11" t="s">
        <v>2256</v>
      </c>
      <c r="H490" s="11" t="s">
        <v>2257</v>
      </c>
      <c r="I490" s="12">
        <v>45538</v>
      </c>
    </row>
    <row r="491" spans="1:9" x14ac:dyDescent="0.15">
      <c r="A491" s="9">
        <v>490</v>
      </c>
      <c r="B491" s="10" t="s">
        <v>9</v>
      </c>
      <c r="C491" s="11" t="s">
        <v>10</v>
      </c>
      <c r="D491" s="12">
        <v>45623</v>
      </c>
      <c r="E491" s="13" t="str">
        <f>+HYPERLINK("http://trademark.i-assist.jp/data/china/image_1913th/80713821.pdf","80713821")</f>
        <v>80713821</v>
      </c>
      <c r="F491" s="11" t="s">
        <v>333</v>
      </c>
      <c r="G491" s="11" t="s">
        <v>2258</v>
      </c>
      <c r="H491" s="11" t="s">
        <v>1983</v>
      </c>
      <c r="I491" s="12">
        <v>45538</v>
      </c>
    </row>
    <row r="492" spans="1:9" x14ac:dyDescent="0.15">
      <c r="A492" s="9">
        <v>491</v>
      </c>
      <c r="B492" s="10" t="s">
        <v>9</v>
      </c>
      <c r="C492" s="11" t="s">
        <v>10</v>
      </c>
      <c r="D492" s="12">
        <v>45623</v>
      </c>
      <c r="E492" s="13" t="str">
        <f>+HYPERLINK("http://trademark.i-assist.jp/data/china/image_1913th/80716068.pdf","80716068")</f>
        <v>80716068</v>
      </c>
      <c r="F492" s="11" t="s">
        <v>335</v>
      </c>
      <c r="G492" s="11" t="s">
        <v>334</v>
      </c>
      <c r="H492" s="11" t="s">
        <v>1382</v>
      </c>
      <c r="I492" s="12">
        <v>45538</v>
      </c>
    </row>
    <row r="493" spans="1:9" x14ac:dyDescent="0.15">
      <c r="A493" s="9">
        <v>492</v>
      </c>
      <c r="B493" s="10" t="s">
        <v>9</v>
      </c>
      <c r="C493" s="11" t="s">
        <v>10</v>
      </c>
      <c r="D493" s="12">
        <v>45623</v>
      </c>
      <c r="E493" s="13" t="str">
        <f>+HYPERLINK("http://trademark.i-assist.jp/data/china/image_1913th/80719822.pdf","80719822")</f>
        <v>80719822</v>
      </c>
      <c r="F493" s="11" t="s">
        <v>1335</v>
      </c>
      <c r="G493" s="11" t="s">
        <v>2259</v>
      </c>
      <c r="H493" s="11" t="s">
        <v>2260</v>
      </c>
      <c r="I493" s="12">
        <v>45538</v>
      </c>
    </row>
    <row r="494" spans="1:9" x14ac:dyDescent="0.15">
      <c r="A494" s="9">
        <v>493</v>
      </c>
      <c r="B494" s="10" t="s">
        <v>9</v>
      </c>
      <c r="C494" s="11" t="s">
        <v>10</v>
      </c>
      <c r="D494" s="12">
        <v>45623</v>
      </c>
      <c r="E494" s="13" t="str">
        <f>+HYPERLINK("http://trademark.i-assist.jp/data/china/image_1913th/80730713.pdf","80730713")</f>
        <v>80730713</v>
      </c>
      <c r="F494" s="11" t="s">
        <v>336</v>
      </c>
      <c r="G494" s="11" t="s">
        <v>2261</v>
      </c>
      <c r="H494" s="11" t="s">
        <v>1923</v>
      </c>
      <c r="I494" s="12">
        <v>45539</v>
      </c>
    </row>
    <row r="495" spans="1:9" x14ac:dyDescent="0.15">
      <c r="A495" s="9">
        <v>494</v>
      </c>
      <c r="B495" s="10" t="s">
        <v>9</v>
      </c>
      <c r="C495" s="11" t="s">
        <v>10</v>
      </c>
      <c r="D495" s="12">
        <v>45623</v>
      </c>
      <c r="E495" s="13" t="str">
        <f>+HYPERLINK("http://trademark.i-assist.jp/data/china/image_1913th/80185944.pdf","80185944")</f>
        <v>80185944</v>
      </c>
      <c r="F495" s="11" t="s">
        <v>2262</v>
      </c>
      <c r="G495" s="11" t="s">
        <v>2263</v>
      </c>
      <c r="H495" s="11" t="s">
        <v>2264</v>
      </c>
      <c r="I495" s="12">
        <v>45509</v>
      </c>
    </row>
    <row r="496" spans="1:9" x14ac:dyDescent="0.15">
      <c r="A496" s="9">
        <v>495</v>
      </c>
      <c r="B496" s="10" t="s">
        <v>9</v>
      </c>
      <c r="C496" s="11" t="s">
        <v>10</v>
      </c>
      <c r="D496" s="12">
        <v>45623</v>
      </c>
      <c r="E496" s="13" t="str">
        <f>+HYPERLINK("http://trademark.i-assist.jp/data/china/image_1913th/80192761.pdf","80192761")</f>
        <v>80192761</v>
      </c>
      <c r="F496" s="11" t="s">
        <v>337</v>
      </c>
      <c r="G496" s="11" t="s">
        <v>2265</v>
      </c>
      <c r="H496" s="11" t="s">
        <v>2266</v>
      </c>
      <c r="I496" s="12">
        <v>45509</v>
      </c>
    </row>
    <row r="497" spans="1:9" x14ac:dyDescent="0.15">
      <c r="A497" s="9">
        <v>496</v>
      </c>
      <c r="B497" s="10" t="s">
        <v>9</v>
      </c>
      <c r="C497" s="11" t="s">
        <v>10</v>
      </c>
      <c r="D497" s="12">
        <v>45623</v>
      </c>
      <c r="E497" s="13" t="str">
        <f>+HYPERLINK("http://trademark.i-assist.jp/data/china/image_1913th/80241642.pdf","80241642")</f>
        <v>80241642</v>
      </c>
      <c r="F497" s="11" t="s">
        <v>2267</v>
      </c>
      <c r="G497" s="11" t="s">
        <v>2268</v>
      </c>
      <c r="H497" s="11" t="s">
        <v>2269</v>
      </c>
      <c r="I497" s="12">
        <v>45511</v>
      </c>
    </row>
    <row r="498" spans="1:9" x14ac:dyDescent="0.15">
      <c r="A498" s="9">
        <v>497</v>
      </c>
      <c r="B498" s="10" t="s">
        <v>9</v>
      </c>
      <c r="C498" s="11" t="s">
        <v>10</v>
      </c>
      <c r="D498" s="12">
        <v>45623</v>
      </c>
      <c r="E498" s="13" t="str">
        <f>+HYPERLINK("http://trademark.i-assist.jp/data/china/image_1913th/80262973.pdf","80262973")</f>
        <v>80262973</v>
      </c>
      <c r="F498" s="11" t="s">
        <v>338</v>
      </c>
      <c r="G498" s="11" t="s">
        <v>2270</v>
      </c>
      <c r="H498" s="11" t="s">
        <v>2271</v>
      </c>
      <c r="I498" s="12">
        <v>45512</v>
      </c>
    </row>
    <row r="499" spans="1:9" x14ac:dyDescent="0.15">
      <c r="A499" s="9">
        <v>498</v>
      </c>
      <c r="B499" s="10" t="s">
        <v>9</v>
      </c>
      <c r="C499" s="11" t="s">
        <v>10</v>
      </c>
      <c r="D499" s="12">
        <v>45623</v>
      </c>
      <c r="E499" s="13" t="str">
        <f>+HYPERLINK("http://trademark.i-assist.jp/data/china/image_1913th/80287728.pdf","80287728")</f>
        <v>80287728</v>
      </c>
      <c r="F499" s="11" t="s">
        <v>2272</v>
      </c>
      <c r="G499" s="11" t="s">
        <v>339</v>
      </c>
      <c r="H499" s="11" t="s">
        <v>2273</v>
      </c>
      <c r="I499" s="12">
        <v>45513</v>
      </c>
    </row>
    <row r="500" spans="1:9" x14ac:dyDescent="0.15">
      <c r="A500" s="9">
        <v>499</v>
      </c>
      <c r="B500" s="10" t="s">
        <v>9</v>
      </c>
      <c r="C500" s="11" t="s">
        <v>10</v>
      </c>
      <c r="D500" s="12">
        <v>45623</v>
      </c>
      <c r="E500" s="13" t="str">
        <f>+HYPERLINK("http://trademark.i-assist.jp/data/china/image_1913th/80299067.pdf","80299067")</f>
        <v>80299067</v>
      </c>
      <c r="F500" s="11" t="s">
        <v>340</v>
      </c>
      <c r="G500" s="11" t="s">
        <v>2274</v>
      </c>
      <c r="H500" s="11" t="s">
        <v>2275</v>
      </c>
      <c r="I500" s="12">
        <v>45515</v>
      </c>
    </row>
    <row r="501" spans="1:9" x14ac:dyDescent="0.15">
      <c r="A501" s="9">
        <v>500</v>
      </c>
      <c r="B501" s="10" t="s">
        <v>9</v>
      </c>
      <c r="C501" s="11" t="s">
        <v>10</v>
      </c>
      <c r="D501" s="12">
        <v>45623</v>
      </c>
      <c r="E501" s="13" t="str">
        <f>+HYPERLINK("http://trademark.i-assist.jp/data/china/image_1913th/80310262.pdf","80310262")</f>
        <v>80310262</v>
      </c>
      <c r="F501" s="11" t="s">
        <v>2276</v>
      </c>
      <c r="G501" s="11" t="s">
        <v>1459</v>
      </c>
      <c r="H501" s="11" t="s">
        <v>1460</v>
      </c>
      <c r="I501" s="12">
        <v>45516</v>
      </c>
    </row>
    <row r="502" spans="1:9" x14ac:dyDescent="0.15">
      <c r="A502" s="9">
        <v>501</v>
      </c>
      <c r="B502" s="10" t="s">
        <v>9</v>
      </c>
      <c r="C502" s="11" t="s">
        <v>10</v>
      </c>
      <c r="D502" s="12">
        <v>45623</v>
      </c>
      <c r="E502" s="13" t="str">
        <f>+HYPERLINK("http://trademark.i-assist.jp/data/china/image_1913th/80319075.pdf","80319075")</f>
        <v>80319075</v>
      </c>
      <c r="F502" s="11" t="s">
        <v>341</v>
      </c>
      <c r="G502" s="11" t="s">
        <v>2277</v>
      </c>
      <c r="H502" s="11" t="s">
        <v>2278</v>
      </c>
      <c r="I502" s="12">
        <v>45516</v>
      </c>
    </row>
    <row r="503" spans="1:9" x14ac:dyDescent="0.15">
      <c r="A503" s="9">
        <v>502</v>
      </c>
      <c r="B503" s="10" t="s">
        <v>9</v>
      </c>
      <c r="C503" s="11" t="s">
        <v>10</v>
      </c>
      <c r="D503" s="12">
        <v>45623</v>
      </c>
      <c r="E503" s="13" t="str">
        <f>+HYPERLINK("http://trademark.i-assist.jp/data/china/image_1913th/80319588.pdf","80319588")</f>
        <v>80319588</v>
      </c>
      <c r="F503" s="11" t="s">
        <v>343</v>
      </c>
      <c r="G503" s="11" t="s">
        <v>342</v>
      </c>
      <c r="H503" s="11" t="s">
        <v>2279</v>
      </c>
      <c r="I503" s="12">
        <v>45516</v>
      </c>
    </row>
    <row r="504" spans="1:9" x14ac:dyDescent="0.15">
      <c r="A504" s="9">
        <v>503</v>
      </c>
      <c r="B504" s="10" t="s">
        <v>9</v>
      </c>
      <c r="C504" s="11" t="s">
        <v>10</v>
      </c>
      <c r="D504" s="12">
        <v>45623</v>
      </c>
      <c r="E504" s="13" t="str">
        <f>+HYPERLINK("http://trademark.i-assist.jp/data/china/image_1913th/80348387.pdf","80348387")</f>
        <v>80348387</v>
      </c>
      <c r="F504" s="11" t="s">
        <v>2280</v>
      </c>
      <c r="G504" s="11" t="s">
        <v>2281</v>
      </c>
      <c r="H504" s="11" t="s">
        <v>2282</v>
      </c>
      <c r="I504" s="12">
        <v>45518</v>
      </c>
    </row>
    <row r="505" spans="1:9" x14ac:dyDescent="0.15">
      <c r="A505" s="9">
        <v>504</v>
      </c>
      <c r="B505" s="10" t="s">
        <v>9</v>
      </c>
      <c r="C505" s="11" t="s">
        <v>10</v>
      </c>
      <c r="D505" s="12">
        <v>45623</v>
      </c>
      <c r="E505" s="13" t="str">
        <f>+HYPERLINK("http://trademark.i-assist.jp/data/china/image_1913th/80404182.pdf","80404182")</f>
        <v>80404182</v>
      </c>
      <c r="F505" s="11" t="s">
        <v>344</v>
      </c>
      <c r="G505" s="11" t="s">
        <v>2283</v>
      </c>
      <c r="H505" s="11" t="s">
        <v>2284</v>
      </c>
      <c r="I505" s="12">
        <v>45520</v>
      </c>
    </row>
    <row r="506" spans="1:9" x14ac:dyDescent="0.15">
      <c r="A506" s="9">
        <v>505</v>
      </c>
      <c r="B506" s="10" t="s">
        <v>9</v>
      </c>
      <c r="C506" s="11" t="s">
        <v>10</v>
      </c>
      <c r="D506" s="12">
        <v>45623</v>
      </c>
      <c r="E506" s="13" t="str">
        <f>+HYPERLINK("http://trademark.i-assist.jp/data/china/image_1913th/80606035.pdf","80606035")</f>
        <v>80606035</v>
      </c>
      <c r="F506" s="11" t="s">
        <v>345</v>
      </c>
      <c r="G506" s="11" t="s">
        <v>2285</v>
      </c>
      <c r="H506" s="11" t="s">
        <v>2286</v>
      </c>
      <c r="I506" s="12">
        <v>45532</v>
      </c>
    </row>
    <row r="507" spans="1:9" x14ac:dyDescent="0.15">
      <c r="A507" s="9">
        <v>506</v>
      </c>
      <c r="B507" s="10" t="s">
        <v>9</v>
      </c>
      <c r="C507" s="11" t="s">
        <v>10</v>
      </c>
      <c r="D507" s="12">
        <v>45623</v>
      </c>
      <c r="E507" s="13" t="str">
        <f>+HYPERLINK("http://trademark.i-assist.jp/data/china/image_1913th/80609547.pdf","80609547")</f>
        <v>80609547</v>
      </c>
      <c r="F507" s="11" t="s">
        <v>2287</v>
      </c>
      <c r="G507" s="11" t="s">
        <v>2288</v>
      </c>
      <c r="H507" s="11" t="s">
        <v>2289</v>
      </c>
      <c r="I507" s="12">
        <v>45532</v>
      </c>
    </row>
    <row r="508" spans="1:9" x14ac:dyDescent="0.15">
      <c r="A508" s="9">
        <v>507</v>
      </c>
      <c r="B508" s="10" t="s">
        <v>9</v>
      </c>
      <c r="C508" s="11" t="s">
        <v>10</v>
      </c>
      <c r="D508" s="12">
        <v>45623</v>
      </c>
      <c r="E508" s="13" t="str">
        <f>+HYPERLINK("http://trademark.i-assist.jp/data/china/image_1913th/80612390.pdf","80612390")</f>
        <v>80612390</v>
      </c>
      <c r="F508" s="11" t="s">
        <v>2290</v>
      </c>
      <c r="G508" s="11" t="s">
        <v>2291</v>
      </c>
      <c r="H508" s="11" t="s">
        <v>2292</v>
      </c>
      <c r="I508" s="12">
        <v>45532</v>
      </c>
    </row>
    <row r="509" spans="1:9" x14ac:dyDescent="0.15">
      <c r="A509" s="9">
        <v>508</v>
      </c>
      <c r="B509" s="10" t="s">
        <v>9</v>
      </c>
      <c r="C509" s="11" t="s">
        <v>10</v>
      </c>
      <c r="D509" s="12">
        <v>45623</v>
      </c>
      <c r="E509" s="13" t="str">
        <f>+HYPERLINK("http://trademark.i-assist.jp/data/china/image_1913th/80629121.pdf","80629121")</f>
        <v>80629121</v>
      </c>
      <c r="F509" s="11" t="s">
        <v>2293</v>
      </c>
      <c r="G509" s="11" t="s">
        <v>1615</v>
      </c>
      <c r="H509" s="11" t="s">
        <v>2294</v>
      </c>
      <c r="I509" s="12">
        <v>45533</v>
      </c>
    </row>
    <row r="510" spans="1:9" x14ac:dyDescent="0.15">
      <c r="A510" s="9">
        <v>509</v>
      </c>
      <c r="B510" s="10" t="s">
        <v>9</v>
      </c>
      <c r="C510" s="11" t="s">
        <v>10</v>
      </c>
      <c r="D510" s="12">
        <v>45623</v>
      </c>
      <c r="E510" s="13" t="str">
        <f>+HYPERLINK("http://trademark.i-assist.jp/data/china/image_1913th/80631150.pdf","80631150")</f>
        <v>80631150</v>
      </c>
      <c r="F510" s="11" t="s">
        <v>2295</v>
      </c>
      <c r="G510" s="11" t="s">
        <v>2296</v>
      </c>
      <c r="H510" s="11" t="s">
        <v>2297</v>
      </c>
      <c r="I510" s="12">
        <v>45533</v>
      </c>
    </row>
    <row r="511" spans="1:9" x14ac:dyDescent="0.15">
      <c r="A511" s="9">
        <v>510</v>
      </c>
      <c r="B511" s="10" t="s">
        <v>9</v>
      </c>
      <c r="C511" s="11" t="s">
        <v>10</v>
      </c>
      <c r="D511" s="12">
        <v>45623</v>
      </c>
      <c r="E511" s="13" t="str">
        <f>+HYPERLINK("http://trademark.i-assist.jp/data/china/image_1913th/80631664.pdf","80631664")</f>
        <v>80631664</v>
      </c>
      <c r="F511" s="11" t="s">
        <v>2298</v>
      </c>
      <c r="G511" s="11" t="s">
        <v>2299</v>
      </c>
      <c r="H511" s="11" t="s">
        <v>2300</v>
      </c>
      <c r="I511" s="12">
        <v>45533</v>
      </c>
    </row>
    <row r="512" spans="1:9" x14ac:dyDescent="0.15">
      <c r="A512" s="9">
        <v>511</v>
      </c>
      <c r="B512" s="10" t="s">
        <v>9</v>
      </c>
      <c r="C512" s="11" t="s">
        <v>10</v>
      </c>
      <c r="D512" s="12">
        <v>45623</v>
      </c>
      <c r="E512" s="13" t="str">
        <f>+HYPERLINK("http://trademark.i-assist.jp/data/china/image_1913th/80636335.pdf","80636335")</f>
        <v>80636335</v>
      </c>
      <c r="F512" s="11" t="s">
        <v>2301</v>
      </c>
      <c r="G512" s="11" t="s">
        <v>2302</v>
      </c>
      <c r="H512" s="11" t="s">
        <v>1430</v>
      </c>
      <c r="I512" s="12">
        <v>45533</v>
      </c>
    </row>
    <row r="513" spans="1:9" x14ac:dyDescent="0.15">
      <c r="A513" s="9">
        <v>512</v>
      </c>
      <c r="B513" s="10" t="s">
        <v>9</v>
      </c>
      <c r="C513" s="11" t="s">
        <v>10</v>
      </c>
      <c r="D513" s="12">
        <v>45623</v>
      </c>
      <c r="E513" s="13" t="str">
        <f>+HYPERLINK("http://trademark.i-assist.jp/data/china/image_1913th/79045684.pdf","79045684")</f>
        <v>79045684</v>
      </c>
      <c r="F513" s="11" t="s">
        <v>346</v>
      </c>
      <c r="G513" s="11" t="s">
        <v>2303</v>
      </c>
      <c r="H513" s="11" t="s">
        <v>2304</v>
      </c>
      <c r="I513" s="12">
        <v>45448</v>
      </c>
    </row>
    <row r="514" spans="1:9" x14ac:dyDescent="0.15">
      <c r="A514" s="9">
        <v>513</v>
      </c>
      <c r="B514" s="10" t="s">
        <v>9</v>
      </c>
      <c r="C514" s="11" t="s">
        <v>10</v>
      </c>
      <c r="D514" s="12">
        <v>45623</v>
      </c>
      <c r="E514" s="13" t="str">
        <f>+HYPERLINK("http://trademark.i-assist.jp/data/china/image_1913th/79174939.pdf","79174939")</f>
        <v>79174939</v>
      </c>
      <c r="F514" s="11" t="s">
        <v>1335</v>
      </c>
      <c r="G514" s="11" t="s">
        <v>2305</v>
      </c>
      <c r="H514" s="11" t="s">
        <v>2306</v>
      </c>
      <c r="I514" s="12">
        <v>45455</v>
      </c>
    </row>
    <row r="515" spans="1:9" x14ac:dyDescent="0.15">
      <c r="A515" s="9">
        <v>514</v>
      </c>
      <c r="B515" s="10" t="s">
        <v>9</v>
      </c>
      <c r="C515" s="11" t="s">
        <v>10</v>
      </c>
      <c r="D515" s="12">
        <v>45623</v>
      </c>
      <c r="E515" s="13" t="str">
        <f>+HYPERLINK("http://trademark.i-assist.jp/data/china/image_1913th/80466919.pdf","80466919")</f>
        <v>80466919</v>
      </c>
      <c r="F515" s="11" t="s">
        <v>2307</v>
      </c>
      <c r="G515" s="11" t="s">
        <v>1338</v>
      </c>
      <c r="H515" s="11" t="s">
        <v>1339</v>
      </c>
      <c r="I515" s="12">
        <v>45524</v>
      </c>
    </row>
    <row r="516" spans="1:9" x14ac:dyDescent="0.15">
      <c r="A516" s="9">
        <v>515</v>
      </c>
      <c r="B516" s="10" t="s">
        <v>9</v>
      </c>
      <c r="C516" s="11" t="s">
        <v>10</v>
      </c>
      <c r="D516" s="12">
        <v>45623</v>
      </c>
      <c r="E516" s="13" t="str">
        <f>+HYPERLINK("http://trademark.i-assist.jp/data/china/image_1913th/80488248.pdf","80488248")</f>
        <v>80488248</v>
      </c>
      <c r="F516" s="11" t="s">
        <v>347</v>
      </c>
      <c r="G516" s="11" t="s">
        <v>2308</v>
      </c>
      <c r="H516" s="11" t="s">
        <v>2309</v>
      </c>
      <c r="I516" s="12">
        <v>45525</v>
      </c>
    </row>
    <row r="517" spans="1:9" x14ac:dyDescent="0.15">
      <c r="A517" s="9">
        <v>516</v>
      </c>
      <c r="B517" s="10" t="s">
        <v>9</v>
      </c>
      <c r="C517" s="11" t="s">
        <v>10</v>
      </c>
      <c r="D517" s="12">
        <v>45623</v>
      </c>
      <c r="E517" s="13" t="str">
        <f>+HYPERLINK("http://trademark.i-assist.jp/data/china/image_1913th/80494333.pdf","80494333")</f>
        <v>80494333</v>
      </c>
      <c r="F517" s="11" t="s">
        <v>348</v>
      </c>
      <c r="G517" s="11" t="s">
        <v>2310</v>
      </c>
      <c r="H517" s="11" t="s">
        <v>2311</v>
      </c>
      <c r="I517" s="12">
        <v>45525</v>
      </c>
    </row>
    <row r="518" spans="1:9" x14ac:dyDescent="0.15">
      <c r="A518" s="9">
        <v>517</v>
      </c>
      <c r="B518" s="10" t="s">
        <v>9</v>
      </c>
      <c r="C518" s="11" t="s">
        <v>10</v>
      </c>
      <c r="D518" s="12">
        <v>45623</v>
      </c>
      <c r="E518" s="13" t="str">
        <f>+HYPERLINK("http://trademark.i-assist.jp/data/china/image_1913th/80501342.pdf","80501342")</f>
        <v>80501342</v>
      </c>
      <c r="F518" s="11" t="s">
        <v>2312</v>
      </c>
      <c r="G518" s="11" t="s">
        <v>2313</v>
      </c>
      <c r="H518" s="11" t="s">
        <v>2314</v>
      </c>
      <c r="I518" s="12">
        <v>45526</v>
      </c>
    </row>
    <row r="519" spans="1:9" x14ac:dyDescent="0.15">
      <c r="A519" s="9">
        <v>518</v>
      </c>
      <c r="B519" s="10" t="s">
        <v>9</v>
      </c>
      <c r="C519" s="11" t="s">
        <v>10</v>
      </c>
      <c r="D519" s="12">
        <v>45623</v>
      </c>
      <c r="E519" s="13" t="str">
        <f>+HYPERLINK("http://trademark.i-assist.jp/data/china/image_1913th/80504249.pdf","80504249")</f>
        <v>80504249</v>
      </c>
      <c r="F519" s="11" t="s">
        <v>2315</v>
      </c>
      <c r="G519" s="11" t="s">
        <v>2313</v>
      </c>
      <c r="H519" s="11" t="s">
        <v>2314</v>
      </c>
      <c r="I519" s="12">
        <v>45526</v>
      </c>
    </row>
    <row r="520" spans="1:9" x14ac:dyDescent="0.15">
      <c r="A520" s="9">
        <v>519</v>
      </c>
      <c r="B520" s="10" t="s">
        <v>9</v>
      </c>
      <c r="C520" s="11" t="s">
        <v>10</v>
      </c>
      <c r="D520" s="12">
        <v>45623</v>
      </c>
      <c r="E520" s="13" t="str">
        <f>+HYPERLINK("http://trademark.i-assist.jp/data/china/image_1913th/80517300.pdf","80517300")</f>
        <v>80517300</v>
      </c>
      <c r="F520" s="11" t="s">
        <v>2316</v>
      </c>
      <c r="G520" s="11" t="s">
        <v>2317</v>
      </c>
      <c r="H520" s="11" t="s">
        <v>2318</v>
      </c>
      <c r="I520" s="12">
        <v>45526</v>
      </c>
    </row>
    <row r="521" spans="1:9" x14ac:dyDescent="0.15">
      <c r="A521" s="9">
        <v>520</v>
      </c>
      <c r="B521" s="10" t="s">
        <v>9</v>
      </c>
      <c r="C521" s="11" t="s">
        <v>10</v>
      </c>
      <c r="D521" s="12">
        <v>45623</v>
      </c>
      <c r="E521" s="13" t="str">
        <f>+HYPERLINK("http://trademark.i-assist.jp/data/china/image_1913th/80532191.pdf","80532191")</f>
        <v>80532191</v>
      </c>
      <c r="F521" s="11" t="s">
        <v>2319</v>
      </c>
      <c r="G521" s="11" t="s">
        <v>2320</v>
      </c>
      <c r="H521" s="11" t="s">
        <v>2321</v>
      </c>
      <c r="I521" s="12">
        <v>45527</v>
      </c>
    </row>
    <row r="522" spans="1:9" x14ac:dyDescent="0.15">
      <c r="A522" s="9">
        <v>521</v>
      </c>
      <c r="B522" s="10" t="s">
        <v>9</v>
      </c>
      <c r="C522" s="11" t="s">
        <v>10</v>
      </c>
      <c r="D522" s="12">
        <v>45623</v>
      </c>
      <c r="E522" s="13" t="str">
        <f>+HYPERLINK("http://trademark.i-assist.jp/data/china/image_1913th/80545013.pdf","80545013")</f>
        <v>80545013</v>
      </c>
      <c r="F522" s="11" t="s">
        <v>2322</v>
      </c>
      <c r="G522" s="11" t="s">
        <v>2323</v>
      </c>
      <c r="H522" s="11" t="s">
        <v>1592</v>
      </c>
      <c r="I522" s="12">
        <v>45527</v>
      </c>
    </row>
    <row r="523" spans="1:9" x14ac:dyDescent="0.15">
      <c r="A523" s="9">
        <v>522</v>
      </c>
      <c r="B523" s="10" t="s">
        <v>9</v>
      </c>
      <c r="C523" s="11" t="s">
        <v>10</v>
      </c>
      <c r="D523" s="12">
        <v>45623</v>
      </c>
      <c r="E523" s="13" t="str">
        <f>+HYPERLINK("http://trademark.i-assist.jp/data/china/image_1913th/79983515.pdf","79983515")</f>
        <v>79983515</v>
      </c>
      <c r="F523" s="11" t="s">
        <v>2324</v>
      </c>
      <c r="G523" s="11" t="s">
        <v>2325</v>
      </c>
      <c r="H523" s="11" t="s">
        <v>2326</v>
      </c>
      <c r="I523" s="12">
        <v>45497</v>
      </c>
    </row>
    <row r="524" spans="1:9" x14ac:dyDescent="0.15">
      <c r="A524" s="9">
        <v>523</v>
      </c>
      <c r="B524" s="10" t="s">
        <v>9</v>
      </c>
      <c r="C524" s="11" t="s">
        <v>10</v>
      </c>
      <c r="D524" s="12">
        <v>45623</v>
      </c>
      <c r="E524" s="13" t="str">
        <f>+HYPERLINK("http://trademark.i-assist.jp/data/china/image_1913th/80552689.pdf","80552689")</f>
        <v>80552689</v>
      </c>
      <c r="F524" s="11" t="s">
        <v>2327</v>
      </c>
      <c r="G524" s="11" t="s">
        <v>2328</v>
      </c>
      <c r="H524" s="11" t="s">
        <v>2329</v>
      </c>
      <c r="I524" s="12">
        <v>45529</v>
      </c>
    </row>
    <row r="525" spans="1:9" x14ac:dyDescent="0.15">
      <c r="A525" s="9">
        <v>524</v>
      </c>
      <c r="B525" s="10" t="s">
        <v>9</v>
      </c>
      <c r="C525" s="11" t="s">
        <v>10</v>
      </c>
      <c r="D525" s="12">
        <v>45623</v>
      </c>
      <c r="E525" s="13" t="str">
        <f>+HYPERLINK("http://trademark.i-assist.jp/data/china/image_1913th/80554466.pdf","80554466")</f>
        <v>80554466</v>
      </c>
      <c r="F525" s="11" t="s">
        <v>349</v>
      </c>
      <c r="G525" s="11" t="s">
        <v>2328</v>
      </c>
      <c r="H525" s="11" t="s">
        <v>2329</v>
      </c>
      <c r="I525" s="12">
        <v>45529</v>
      </c>
    </row>
    <row r="526" spans="1:9" x14ac:dyDescent="0.15">
      <c r="A526" s="9">
        <v>525</v>
      </c>
      <c r="B526" s="10" t="s">
        <v>9</v>
      </c>
      <c r="C526" s="11" t="s">
        <v>10</v>
      </c>
      <c r="D526" s="12">
        <v>45623</v>
      </c>
      <c r="E526" s="13" t="str">
        <f>+HYPERLINK("http://trademark.i-assist.jp/data/china/image_1913th/80554752.pdf","80554752")</f>
        <v>80554752</v>
      </c>
      <c r="F526" s="11" t="s">
        <v>2330</v>
      </c>
      <c r="G526" s="11" t="s">
        <v>2331</v>
      </c>
      <c r="H526" s="11" t="s">
        <v>2332</v>
      </c>
      <c r="I526" s="12">
        <v>45530</v>
      </c>
    </row>
    <row r="527" spans="1:9" x14ac:dyDescent="0.15">
      <c r="A527" s="9">
        <v>526</v>
      </c>
      <c r="B527" s="10" t="s">
        <v>9</v>
      </c>
      <c r="C527" s="11" t="s">
        <v>10</v>
      </c>
      <c r="D527" s="12">
        <v>45623</v>
      </c>
      <c r="E527" s="13" t="str">
        <f>+HYPERLINK("http://trademark.i-assist.jp/data/china/image_1913th/80556415.pdf","80556415")</f>
        <v>80556415</v>
      </c>
      <c r="F527" s="11" t="s">
        <v>350</v>
      </c>
      <c r="G527" s="11" t="s">
        <v>2333</v>
      </c>
      <c r="H527" s="11" t="s">
        <v>2334</v>
      </c>
      <c r="I527" s="12">
        <v>45530</v>
      </c>
    </row>
    <row r="528" spans="1:9" x14ac:dyDescent="0.15">
      <c r="A528" s="9">
        <v>527</v>
      </c>
      <c r="B528" s="10" t="s">
        <v>9</v>
      </c>
      <c r="C528" s="11" t="s">
        <v>10</v>
      </c>
      <c r="D528" s="12">
        <v>45623</v>
      </c>
      <c r="E528" s="13" t="str">
        <f>+HYPERLINK("http://trademark.i-assist.jp/data/china/image_1913th/80557197.pdf","80557197")</f>
        <v>80557197</v>
      </c>
      <c r="F528" s="11" t="s">
        <v>351</v>
      </c>
      <c r="G528" s="11" t="s">
        <v>2335</v>
      </c>
      <c r="H528" s="11" t="s">
        <v>2336</v>
      </c>
      <c r="I528" s="12">
        <v>45530</v>
      </c>
    </row>
    <row r="529" spans="1:9" x14ac:dyDescent="0.15">
      <c r="A529" s="9">
        <v>528</v>
      </c>
      <c r="B529" s="10" t="s">
        <v>9</v>
      </c>
      <c r="C529" s="11" t="s">
        <v>10</v>
      </c>
      <c r="D529" s="12">
        <v>45623</v>
      </c>
      <c r="E529" s="13" t="str">
        <f>+HYPERLINK("http://trademark.i-assist.jp/data/china/image_1913th/80559936.pdf","80559936")</f>
        <v>80559936</v>
      </c>
      <c r="F529" s="11" t="s">
        <v>1335</v>
      </c>
      <c r="G529" s="11" t="s">
        <v>2337</v>
      </c>
      <c r="H529" s="11" t="s">
        <v>2338</v>
      </c>
      <c r="I529" s="12">
        <v>45530</v>
      </c>
    </row>
    <row r="530" spans="1:9" x14ac:dyDescent="0.15">
      <c r="A530" s="9">
        <v>529</v>
      </c>
      <c r="B530" s="10" t="s">
        <v>9</v>
      </c>
      <c r="C530" s="11" t="s">
        <v>10</v>
      </c>
      <c r="D530" s="12">
        <v>45623</v>
      </c>
      <c r="E530" s="13" t="str">
        <f>+HYPERLINK("http://trademark.i-assist.jp/data/china/image_1913th/80563277.pdf","80563277")</f>
        <v>80563277</v>
      </c>
      <c r="F530" s="11" t="s">
        <v>2339</v>
      </c>
      <c r="G530" s="11" t="s">
        <v>2340</v>
      </c>
      <c r="H530" s="11" t="s">
        <v>2341</v>
      </c>
      <c r="I530" s="12">
        <v>45530</v>
      </c>
    </row>
    <row r="531" spans="1:9" x14ac:dyDescent="0.15">
      <c r="A531" s="9">
        <v>530</v>
      </c>
      <c r="B531" s="10" t="s">
        <v>9</v>
      </c>
      <c r="C531" s="11" t="s">
        <v>10</v>
      </c>
      <c r="D531" s="12">
        <v>45623</v>
      </c>
      <c r="E531" s="13" t="str">
        <f>+HYPERLINK("http://trademark.i-assist.jp/data/china/image_1913th/80566118.pdf","80566118")</f>
        <v>80566118</v>
      </c>
      <c r="F531" s="11" t="s">
        <v>2342</v>
      </c>
      <c r="G531" s="11" t="s">
        <v>352</v>
      </c>
      <c r="H531" s="11" t="s">
        <v>1319</v>
      </c>
      <c r="I531" s="12">
        <v>45530</v>
      </c>
    </row>
    <row r="532" spans="1:9" x14ac:dyDescent="0.15">
      <c r="A532" s="9">
        <v>531</v>
      </c>
      <c r="B532" s="10" t="s">
        <v>9</v>
      </c>
      <c r="C532" s="11" t="s">
        <v>10</v>
      </c>
      <c r="D532" s="12">
        <v>45623</v>
      </c>
      <c r="E532" s="13" t="str">
        <f>+HYPERLINK("http://trademark.i-assist.jp/data/china/image_1913th/80584591.pdf","80584591")</f>
        <v>80584591</v>
      </c>
      <c r="F532" s="11" t="s">
        <v>353</v>
      </c>
      <c r="G532" s="11" t="s">
        <v>1484</v>
      </c>
      <c r="H532" s="11" t="s">
        <v>1485</v>
      </c>
      <c r="I532" s="12">
        <v>45531</v>
      </c>
    </row>
    <row r="533" spans="1:9" x14ac:dyDescent="0.15">
      <c r="A533" s="9">
        <v>532</v>
      </c>
      <c r="B533" s="10" t="s">
        <v>9</v>
      </c>
      <c r="C533" s="11" t="s">
        <v>10</v>
      </c>
      <c r="D533" s="12">
        <v>45623</v>
      </c>
      <c r="E533" s="13" t="str">
        <f>+HYPERLINK("http://trademark.i-assist.jp/data/china/image_1913th/80589460.pdf","80589460")</f>
        <v>80589460</v>
      </c>
      <c r="F533" s="11" t="s">
        <v>354</v>
      </c>
      <c r="G533" s="11" t="s">
        <v>2343</v>
      </c>
      <c r="H533" s="11" t="s">
        <v>2344</v>
      </c>
      <c r="I533" s="12">
        <v>45531</v>
      </c>
    </row>
    <row r="534" spans="1:9" x14ac:dyDescent="0.15">
      <c r="A534" s="9">
        <v>533</v>
      </c>
      <c r="B534" s="10" t="s">
        <v>9</v>
      </c>
      <c r="C534" s="11" t="s">
        <v>10</v>
      </c>
      <c r="D534" s="12">
        <v>45623</v>
      </c>
      <c r="E534" s="13" t="str">
        <f>+HYPERLINK("http://trademark.i-assist.jp/data/china/image_1913th/80592468.pdf","80592468")</f>
        <v>80592468</v>
      </c>
      <c r="F534" s="11" t="s">
        <v>2345</v>
      </c>
      <c r="G534" s="11" t="s">
        <v>2346</v>
      </c>
      <c r="H534" s="11" t="s">
        <v>1666</v>
      </c>
      <c r="I534" s="12">
        <v>45531</v>
      </c>
    </row>
    <row r="535" spans="1:9" x14ac:dyDescent="0.15">
      <c r="A535" s="9">
        <v>534</v>
      </c>
      <c r="B535" s="10" t="s">
        <v>9</v>
      </c>
      <c r="C535" s="11" t="s">
        <v>10</v>
      </c>
      <c r="D535" s="12">
        <v>45623</v>
      </c>
      <c r="E535" s="13" t="str">
        <f>+HYPERLINK("http://trademark.i-assist.jp/data/china/image_1913th/80594340.pdf","80594340")</f>
        <v>80594340</v>
      </c>
      <c r="F535" s="11" t="s">
        <v>355</v>
      </c>
      <c r="G535" s="11" t="s">
        <v>1544</v>
      </c>
      <c r="H535" s="11" t="s">
        <v>2347</v>
      </c>
      <c r="I535" s="12">
        <v>45531</v>
      </c>
    </row>
    <row r="536" spans="1:9" x14ac:dyDescent="0.15">
      <c r="A536" s="9">
        <v>535</v>
      </c>
      <c r="B536" s="10" t="s">
        <v>9</v>
      </c>
      <c r="C536" s="11" t="s">
        <v>10</v>
      </c>
      <c r="D536" s="12">
        <v>45623</v>
      </c>
      <c r="E536" s="13" t="str">
        <f>+HYPERLINK("http://trademark.i-assist.jp/data/china/image_1913th/80597109.pdf","80597109")</f>
        <v>80597109</v>
      </c>
      <c r="F536" s="11" t="s">
        <v>357</v>
      </c>
      <c r="G536" s="11" t="s">
        <v>356</v>
      </c>
      <c r="H536" s="11" t="s">
        <v>1914</v>
      </c>
      <c r="I536" s="12">
        <v>45531</v>
      </c>
    </row>
    <row r="537" spans="1:9" x14ac:dyDescent="0.15">
      <c r="A537" s="9">
        <v>536</v>
      </c>
      <c r="B537" s="10" t="s">
        <v>9</v>
      </c>
      <c r="C537" s="11" t="s">
        <v>10</v>
      </c>
      <c r="D537" s="12">
        <v>45623</v>
      </c>
      <c r="E537" s="13" t="str">
        <f>+HYPERLINK("http://trademark.i-assist.jp/data/china/image_1913th/80599284.pdf","80599284")</f>
        <v>80599284</v>
      </c>
      <c r="F537" s="11" t="s">
        <v>358</v>
      </c>
      <c r="G537" s="11" t="s">
        <v>1484</v>
      </c>
      <c r="H537" s="11" t="s">
        <v>1485</v>
      </c>
      <c r="I537" s="12">
        <v>45531</v>
      </c>
    </row>
    <row r="538" spans="1:9" x14ac:dyDescent="0.15">
      <c r="A538" s="9">
        <v>537</v>
      </c>
      <c r="B538" s="10" t="s">
        <v>9</v>
      </c>
      <c r="C538" s="11" t="s">
        <v>10</v>
      </c>
      <c r="D538" s="12">
        <v>45623</v>
      </c>
      <c r="E538" s="13" t="str">
        <f>+HYPERLINK("http://trademark.i-assist.jp/data/china/image_1913th/80600261.pdf","80600261")</f>
        <v>80600261</v>
      </c>
      <c r="F538" s="11" t="s">
        <v>359</v>
      </c>
      <c r="G538" s="11" t="s">
        <v>2348</v>
      </c>
      <c r="H538" s="11" t="s">
        <v>2349</v>
      </c>
      <c r="I538" s="12">
        <v>45531</v>
      </c>
    </row>
    <row r="539" spans="1:9" x14ac:dyDescent="0.15">
      <c r="A539" s="9">
        <v>538</v>
      </c>
      <c r="B539" s="10" t="s">
        <v>9</v>
      </c>
      <c r="C539" s="11" t="s">
        <v>10</v>
      </c>
      <c r="D539" s="12">
        <v>45623</v>
      </c>
      <c r="E539" s="13" t="str">
        <f>+HYPERLINK("http://trademark.i-assist.jp/data/china/image_1913th/80601437.pdf","80601437")</f>
        <v>80601437</v>
      </c>
      <c r="F539" s="11" t="s">
        <v>360</v>
      </c>
      <c r="G539" s="11" t="s">
        <v>2350</v>
      </c>
      <c r="H539" s="11" t="s">
        <v>2351</v>
      </c>
      <c r="I539" s="12">
        <v>45531</v>
      </c>
    </row>
    <row r="540" spans="1:9" x14ac:dyDescent="0.15">
      <c r="A540" s="9">
        <v>539</v>
      </c>
      <c r="B540" s="10" t="s">
        <v>9</v>
      </c>
      <c r="C540" s="11" t="s">
        <v>10</v>
      </c>
      <c r="D540" s="12">
        <v>45623</v>
      </c>
      <c r="E540" s="13" t="str">
        <f>+HYPERLINK("http://trademark.i-assist.jp/data/china/image_1913th/80648873.pdf","80648873")</f>
        <v>80648873</v>
      </c>
      <c r="F540" s="11" t="s">
        <v>2352</v>
      </c>
      <c r="G540" s="11" t="s">
        <v>2353</v>
      </c>
      <c r="H540" s="11" t="s">
        <v>1990</v>
      </c>
      <c r="I540" s="12">
        <v>45533</v>
      </c>
    </row>
    <row r="541" spans="1:9" x14ac:dyDescent="0.15">
      <c r="A541" s="9">
        <v>540</v>
      </c>
      <c r="B541" s="10" t="s">
        <v>9</v>
      </c>
      <c r="C541" s="11" t="s">
        <v>10</v>
      </c>
      <c r="D541" s="12">
        <v>45623</v>
      </c>
      <c r="E541" s="13" t="str">
        <f>+HYPERLINK("http://trademark.i-assist.jp/data/china/image_1913th/80652116.pdf","80652116")</f>
        <v>80652116</v>
      </c>
      <c r="F541" s="11" t="s">
        <v>2354</v>
      </c>
      <c r="G541" s="11" t="s">
        <v>2355</v>
      </c>
      <c r="H541" s="11" t="s">
        <v>2356</v>
      </c>
      <c r="I541" s="12">
        <v>45534</v>
      </c>
    </row>
    <row r="542" spans="1:9" x14ac:dyDescent="0.15">
      <c r="A542" s="9">
        <v>541</v>
      </c>
      <c r="B542" s="10" t="s">
        <v>9</v>
      </c>
      <c r="C542" s="11" t="s">
        <v>10</v>
      </c>
      <c r="D542" s="12">
        <v>45623</v>
      </c>
      <c r="E542" s="13" t="str">
        <f>+HYPERLINK("http://trademark.i-assist.jp/data/china/image_1913th/75929090.pdf","75929090")</f>
        <v>75929090</v>
      </c>
      <c r="F542" s="11" t="s">
        <v>361</v>
      </c>
      <c r="G542" s="11" t="s">
        <v>2357</v>
      </c>
      <c r="H542" s="11" t="s">
        <v>2358</v>
      </c>
      <c r="I542" s="12">
        <v>45281</v>
      </c>
    </row>
    <row r="543" spans="1:9" x14ac:dyDescent="0.15">
      <c r="A543" s="9">
        <v>542</v>
      </c>
      <c r="B543" s="10" t="s">
        <v>9</v>
      </c>
      <c r="C543" s="11" t="s">
        <v>10</v>
      </c>
      <c r="D543" s="12">
        <v>45623</v>
      </c>
      <c r="E543" s="13" t="str">
        <f>+HYPERLINK("http://trademark.i-assist.jp/data/china/image_1913th/76843033.pdf","76843033")</f>
        <v>76843033</v>
      </c>
      <c r="F543" s="11" t="s">
        <v>363</v>
      </c>
      <c r="G543" s="11" t="s">
        <v>362</v>
      </c>
      <c r="H543" s="11" t="s">
        <v>1553</v>
      </c>
      <c r="I543" s="12">
        <v>45340</v>
      </c>
    </row>
    <row r="544" spans="1:9" x14ac:dyDescent="0.15">
      <c r="A544" s="9">
        <v>543</v>
      </c>
      <c r="B544" s="10" t="s">
        <v>9</v>
      </c>
      <c r="C544" s="11" t="s">
        <v>10</v>
      </c>
      <c r="D544" s="12">
        <v>45623</v>
      </c>
      <c r="E544" s="13" t="str">
        <f>+HYPERLINK("http://trademark.i-assist.jp/data/china/image_1913th/80789865.pdf","80789865")</f>
        <v>80789865</v>
      </c>
      <c r="F544" s="11" t="s">
        <v>364</v>
      </c>
      <c r="G544" s="11" t="s">
        <v>2359</v>
      </c>
      <c r="H544" s="11" t="s">
        <v>2360</v>
      </c>
      <c r="I544" s="12">
        <v>45541</v>
      </c>
    </row>
    <row r="545" spans="1:9" x14ac:dyDescent="0.15">
      <c r="A545" s="9">
        <v>544</v>
      </c>
      <c r="B545" s="10" t="s">
        <v>9</v>
      </c>
      <c r="C545" s="11" t="s">
        <v>10</v>
      </c>
      <c r="D545" s="12">
        <v>45623</v>
      </c>
      <c r="E545" s="13" t="str">
        <f>+HYPERLINK("http://trademark.i-assist.jp/data/china/image_1913th/80793695.pdf","80793695")</f>
        <v>80793695</v>
      </c>
      <c r="F545" s="11" t="s">
        <v>2361</v>
      </c>
      <c r="G545" s="11" t="s">
        <v>2362</v>
      </c>
      <c r="H545" s="11" t="s">
        <v>2363</v>
      </c>
      <c r="I545" s="12">
        <v>45541</v>
      </c>
    </row>
    <row r="546" spans="1:9" x14ac:dyDescent="0.15">
      <c r="A546" s="9">
        <v>545</v>
      </c>
      <c r="B546" s="10" t="s">
        <v>9</v>
      </c>
      <c r="C546" s="11" t="s">
        <v>10</v>
      </c>
      <c r="D546" s="12">
        <v>45623</v>
      </c>
      <c r="E546" s="13" t="str">
        <f>+HYPERLINK("http://trademark.i-assist.jp/data/china/image_1913th/80797358.pdf","80797358")</f>
        <v>80797358</v>
      </c>
      <c r="F546" s="11" t="s">
        <v>2364</v>
      </c>
      <c r="G546" s="11" t="s">
        <v>2365</v>
      </c>
      <c r="H546" s="11" t="s">
        <v>2366</v>
      </c>
      <c r="I546" s="12">
        <v>45541</v>
      </c>
    </row>
    <row r="547" spans="1:9" x14ac:dyDescent="0.15">
      <c r="A547" s="9">
        <v>546</v>
      </c>
      <c r="B547" s="10" t="s">
        <v>9</v>
      </c>
      <c r="C547" s="11" t="s">
        <v>10</v>
      </c>
      <c r="D547" s="12">
        <v>45623</v>
      </c>
      <c r="E547" s="13" t="str">
        <f>+HYPERLINK("http://trademark.i-assist.jp/data/china/image_1913th/80800163.pdf","80800163")</f>
        <v>80800163</v>
      </c>
      <c r="F547" s="11" t="s">
        <v>365</v>
      </c>
      <c r="G547" s="11" t="s">
        <v>2367</v>
      </c>
      <c r="H547" s="11" t="s">
        <v>2368</v>
      </c>
      <c r="I547" s="12">
        <v>45541</v>
      </c>
    </row>
    <row r="548" spans="1:9" x14ac:dyDescent="0.15">
      <c r="A548" s="9">
        <v>547</v>
      </c>
      <c r="B548" s="10" t="s">
        <v>9</v>
      </c>
      <c r="C548" s="11" t="s">
        <v>10</v>
      </c>
      <c r="D548" s="12">
        <v>45623</v>
      </c>
      <c r="E548" s="13" t="str">
        <f>+HYPERLINK("http://trademark.i-assist.jp/data/china/image_1913th/80803897.pdf","80803897")</f>
        <v>80803897</v>
      </c>
      <c r="F548" s="11" t="s">
        <v>366</v>
      </c>
      <c r="G548" s="11" t="s">
        <v>2369</v>
      </c>
      <c r="H548" s="11" t="s">
        <v>2370</v>
      </c>
      <c r="I548" s="12">
        <v>45542</v>
      </c>
    </row>
    <row r="549" spans="1:9" x14ac:dyDescent="0.15">
      <c r="A549" s="9">
        <v>548</v>
      </c>
      <c r="B549" s="10" t="s">
        <v>9</v>
      </c>
      <c r="C549" s="11" t="s">
        <v>10</v>
      </c>
      <c r="D549" s="12">
        <v>45623</v>
      </c>
      <c r="E549" s="13" t="str">
        <f>+HYPERLINK("http://trademark.i-assist.jp/data/china/image_1913th/80809170.pdf","80809170")</f>
        <v>80809170</v>
      </c>
      <c r="F549" s="11" t="s">
        <v>2371</v>
      </c>
      <c r="G549" s="11" t="s">
        <v>2372</v>
      </c>
      <c r="H549" s="11" t="s">
        <v>2373</v>
      </c>
      <c r="I549" s="12">
        <v>45543</v>
      </c>
    </row>
    <row r="550" spans="1:9" x14ac:dyDescent="0.15">
      <c r="A550" s="9">
        <v>549</v>
      </c>
      <c r="B550" s="10" t="s">
        <v>9</v>
      </c>
      <c r="C550" s="11" t="s">
        <v>10</v>
      </c>
      <c r="D550" s="12">
        <v>45623</v>
      </c>
      <c r="E550" s="13" t="str">
        <f>+HYPERLINK("http://trademark.i-assist.jp/data/china/image_1913th/80818163.pdf","80818163")</f>
        <v>80818163</v>
      </c>
      <c r="F550" s="11" t="s">
        <v>2374</v>
      </c>
      <c r="G550" s="11" t="s">
        <v>2375</v>
      </c>
      <c r="H550" s="11" t="s">
        <v>2376</v>
      </c>
      <c r="I550" s="12">
        <v>45544</v>
      </c>
    </row>
    <row r="551" spans="1:9" x14ac:dyDescent="0.15">
      <c r="A551" s="9">
        <v>550</v>
      </c>
      <c r="B551" s="10" t="s">
        <v>9</v>
      </c>
      <c r="C551" s="11" t="s">
        <v>10</v>
      </c>
      <c r="D551" s="12">
        <v>45623</v>
      </c>
      <c r="E551" s="13" t="str">
        <f>+HYPERLINK("http://trademark.i-assist.jp/data/china/image_1913th/80819642.pdf","80819642")</f>
        <v>80819642</v>
      </c>
      <c r="F551" s="11" t="s">
        <v>367</v>
      </c>
      <c r="G551" s="11" t="s">
        <v>1453</v>
      </c>
      <c r="H551" s="11" t="s">
        <v>1454</v>
      </c>
      <c r="I551" s="12">
        <v>45544</v>
      </c>
    </row>
    <row r="552" spans="1:9" x14ac:dyDescent="0.15">
      <c r="A552" s="9">
        <v>551</v>
      </c>
      <c r="B552" s="10" t="s">
        <v>9</v>
      </c>
      <c r="C552" s="11" t="s">
        <v>10</v>
      </c>
      <c r="D552" s="12">
        <v>45623</v>
      </c>
      <c r="E552" s="13" t="str">
        <f>+HYPERLINK("http://trademark.i-assist.jp/data/china/image_1913th/80823954.pdf","80823954")</f>
        <v>80823954</v>
      </c>
      <c r="F552" s="11" t="s">
        <v>369</v>
      </c>
      <c r="G552" s="11" t="s">
        <v>368</v>
      </c>
      <c r="H552" s="11" t="s">
        <v>1588</v>
      </c>
      <c r="I552" s="12">
        <v>45544</v>
      </c>
    </row>
    <row r="553" spans="1:9" x14ac:dyDescent="0.15">
      <c r="A553" s="9">
        <v>552</v>
      </c>
      <c r="B553" s="10" t="s">
        <v>9</v>
      </c>
      <c r="C553" s="11" t="s">
        <v>10</v>
      </c>
      <c r="D553" s="12">
        <v>45623</v>
      </c>
      <c r="E553" s="13" t="str">
        <f>+HYPERLINK("http://trademark.i-assist.jp/data/china/image_1913th/80824179.pdf","80824179")</f>
        <v>80824179</v>
      </c>
      <c r="F553" s="11" t="s">
        <v>370</v>
      </c>
      <c r="G553" s="11" t="s">
        <v>222</v>
      </c>
      <c r="H553" s="11" t="s">
        <v>1914</v>
      </c>
      <c r="I553" s="12">
        <v>45544</v>
      </c>
    </row>
    <row r="554" spans="1:9" x14ac:dyDescent="0.15">
      <c r="A554" s="9">
        <v>553</v>
      </c>
      <c r="B554" s="10" t="s">
        <v>9</v>
      </c>
      <c r="C554" s="11" t="s">
        <v>10</v>
      </c>
      <c r="D554" s="12">
        <v>45623</v>
      </c>
      <c r="E554" s="13" t="str">
        <f>+HYPERLINK("http://trademark.i-assist.jp/data/china/image_1913th/80704841.pdf","80704841")</f>
        <v>80704841</v>
      </c>
      <c r="F554" s="11" t="s">
        <v>2377</v>
      </c>
      <c r="G554" s="11" t="s">
        <v>1407</v>
      </c>
      <c r="H554" s="11" t="s">
        <v>2378</v>
      </c>
      <c r="I554" s="12">
        <v>45537</v>
      </c>
    </row>
    <row r="555" spans="1:9" x14ac:dyDescent="0.15">
      <c r="A555" s="9">
        <v>554</v>
      </c>
      <c r="B555" s="10" t="s">
        <v>9</v>
      </c>
      <c r="C555" s="11" t="s">
        <v>10</v>
      </c>
      <c r="D555" s="12">
        <v>45623</v>
      </c>
      <c r="E555" s="13" t="str">
        <f>+HYPERLINK("http://trademark.i-assist.jp/data/china/image_1913th/80707724.pdf","80707724")</f>
        <v>80707724</v>
      </c>
      <c r="F555" s="11" t="s">
        <v>371</v>
      </c>
      <c r="G555" s="11" t="s">
        <v>2379</v>
      </c>
      <c r="H555" s="11" t="s">
        <v>2380</v>
      </c>
      <c r="I555" s="12">
        <v>45538</v>
      </c>
    </row>
    <row r="556" spans="1:9" x14ac:dyDescent="0.15">
      <c r="A556" s="9">
        <v>555</v>
      </c>
      <c r="B556" s="10" t="s">
        <v>9</v>
      </c>
      <c r="C556" s="11" t="s">
        <v>10</v>
      </c>
      <c r="D556" s="12">
        <v>45623</v>
      </c>
      <c r="E556" s="13" t="str">
        <f>+HYPERLINK("http://trademark.i-assist.jp/data/china/image_1913th/80712757.pdf","80712757")</f>
        <v>80712757</v>
      </c>
      <c r="F556" s="11" t="s">
        <v>144</v>
      </c>
      <c r="G556" s="11" t="s">
        <v>1663</v>
      </c>
      <c r="H556" s="11" t="s">
        <v>2381</v>
      </c>
      <c r="I556" s="12">
        <v>45538</v>
      </c>
    </row>
    <row r="557" spans="1:9" x14ac:dyDescent="0.15">
      <c r="A557" s="9">
        <v>556</v>
      </c>
      <c r="B557" s="10" t="s">
        <v>9</v>
      </c>
      <c r="C557" s="11" t="s">
        <v>10</v>
      </c>
      <c r="D557" s="12">
        <v>45623</v>
      </c>
      <c r="E557" s="13" t="str">
        <f>+HYPERLINK("http://trademark.i-assist.jp/data/china/image_1913th/80683647.pdf","80683647")</f>
        <v>80683647</v>
      </c>
      <c r="F557" s="11" t="s">
        <v>2382</v>
      </c>
      <c r="G557" s="11" t="s">
        <v>2383</v>
      </c>
      <c r="H557" s="11" t="s">
        <v>2384</v>
      </c>
      <c r="I557" s="12">
        <v>45537</v>
      </c>
    </row>
    <row r="558" spans="1:9" x14ac:dyDescent="0.15">
      <c r="A558" s="9">
        <v>557</v>
      </c>
      <c r="B558" s="10" t="s">
        <v>9</v>
      </c>
      <c r="C558" s="11" t="s">
        <v>10</v>
      </c>
      <c r="D558" s="12">
        <v>45623</v>
      </c>
      <c r="E558" s="13" t="str">
        <f>+HYPERLINK("http://trademark.i-assist.jp/data/china/image_1913th/80697123.pdf","80697123")</f>
        <v>80697123</v>
      </c>
      <c r="F558" s="11" t="s">
        <v>372</v>
      </c>
      <c r="G558" s="11" t="s">
        <v>2385</v>
      </c>
      <c r="H558" s="11" t="s">
        <v>2386</v>
      </c>
      <c r="I558" s="12">
        <v>45537</v>
      </c>
    </row>
    <row r="559" spans="1:9" x14ac:dyDescent="0.15">
      <c r="A559" s="9">
        <v>558</v>
      </c>
      <c r="B559" s="10" t="s">
        <v>9</v>
      </c>
      <c r="C559" s="11" t="s">
        <v>10</v>
      </c>
      <c r="D559" s="12">
        <v>45623</v>
      </c>
      <c r="E559" s="13" t="str">
        <f>+HYPERLINK("http://trademark.i-assist.jp/data/china/image_1913th/80697139.pdf","80697139")</f>
        <v>80697139</v>
      </c>
      <c r="F559" s="11" t="s">
        <v>373</v>
      </c>
      <c r="G559" s="11" t="s">
        <v>2387</v>
      </c>
      <c r="H559" s="11" t="s">
        <v>2388</v>
      </c>
      <c r="I559" s="12">
        <v>45537</v>
      </c>
    </row>
    <row r="560" spans="1:9" x14ac:dyDescent="0.15">
      <c r="A560" s="9">
        <v>559</v>
      </c>
      <c r="B560" s="10" t="s">
        <v>9</v>
      </c>
      <c r="C560" s="11" t="s">
        <v>10</v>
      </c>
      <c r="D560" s="12">
        <v>45623</v>
      </c>
      <c r="E560" s="13" t="str">
        <f>+HYPERLINK("http://trademark.i-assist.jp/data/china/image_1913th/80701646.pdf","80701646")</f>
        <v>80701646</v>
      </c>
      <c r="F560" s="11" t="s">
        <v>375</v>
      </c>
      <c r="G560" s="11" t="s">
        <v>374</v>
      </c>
      <c r="H560" s="11" t="s">
        <v>2389</v>
      </c>
      <c r="I560" s="12">
        <v>45537</v>
      </c>
    </row>
    <row r="561" spans="1:9" x14ac:dyDescent="0.15">
      <c r="A561" s="9">
        <v>560</v>
      </c>
      <c r="B561" s="10" t="s">
        <v>9</v>
      </c>
      <c r="C561" s="11" t="s">
        <v>10</v>
      </c>
      <c r="D561" s="12">
        <v>45623</v>
      </c>
      <c r="E561" s="13" t="str">
        <f>+HYPERLINK("http://trademark.i-assist.jp/data/china/image_1913th/80762311.pdf","80762311")</f>
        <v>80762311</v>
      </c>
      <c r="F561" s="11" t="s">
        <v>2390</v>
      </c>
      <c r="G561" s="11" t="s">
        <v>2391</v>
      </c>
      <c r="H561" s="11" t="s">
        <v>2392</v>
      </c>
      <c r="I561" s="12">
        <v>45540</v>
      </c>
    </row>
    <row r="562" spans="1:9" x14ac:dyDescent="0.15">
      <c r="A562" s="9">
        <v>561</v>
      </c>
      <c r="B562" s="10" t="s">
        <v>9</v>
      </c>
      <c r="C562" s="11" t="s">
        <v>10</v>
      </c>
      <c r="D562" s="12">
        <v>45623</v>
      </c>
      <c r="E562" s="13" t="str">
        <f>+HYPERLINK("http://trademark.i-assist.jp/data/china/image_1913th/80763643.pdf","80763643")</f>
        <v>80763643</v>
      </c>
      <c r="F562" s="11" t="s">
        <v>2393</v>
      </c>
      <c r="G562" s="11" t="s">
        <v>1982</v>
      </c>
      <c r="H562" s="11" t="s">
        <v>1983</v>
      </c>
      <c r="I562" s="12">
        <v>45540</v>
      </c>
    </row>
    <row r="563" spans="1:9" x14ac:dyDescent="0.15">
      <c r="A563" s="9">
        <v>562</v>
      </c>
      <c r="B563" s="10" t="s">
        <v>9</v>
      </c>
      <c r="C563" s="11" t="s">
        <v>10</v>
      </c>
      <c r="D563" s="12">
        <v>45623</v>
      </c>
      <c r="E563" s="13" t="str">
        <f>+HYPERLINK("http://trademark.i-assist.jp/data/china/image_1913th/80766133.pdf","80766133")</f>
        <v>80766133</v>
      </c>
      <c r="F563" s="11" t="s">
        <v>376</v>
      </c>
      <c r="G563" s="11" t="s">
        <v>2394</v>
      </c>
      <c r="H563" s="11" t="s">
        <v>2395</v>
      </c>
      <c r="I563" s="12">
        <v>45540</v>
      </c>
    </row>
    <row r="564" spans="1:9" x14ac:dyDescent="0.15">
      <c r="A564" s="9">
        <v>563</v>
      </c>
      <c r="B564" s="10" t="s">
        <v>9</v>
      </c>
      <c r="C564" s="11" t="s">
        <v>10</v>
      </c>
      <c r="D564" s="12">
        <v>45623</v>
      </c>
      <c r="E564" s="13" t="str">
        <f>+HYPERLINK("http://trademark.i-assist.jp/data/china/image_1913th/80766150.pdf","80766150")</f>
        <v>80766150</v>
      </c>
      <c r="F564" s="11" t="s">
        <v>377</v>
      </c>
      <c r="G564" s="11" t="s">
        <v>2394</v>
      </c>
      <c r="H564" s="11" t="s">
        <v>2395</v>
      </c>
      <c r="I564" s="12">
        <v>45540</v>
      </c>
    </row>
    <row r="565" spans="1:9" x14ac:dyDescent="0.15">
      <c r="A565" s="9">
        <v>564</v>
      </c>
      <c r="B565" s="10" t="s">
        <v>9</v>
      </c>
      <c r="C565" s="11" t="s">
        <v>10</v>
      </c>
      <c r="D565" s="12">
        <v>45623</v>
      </c>
      <c r="E565" s="13" t="str">
        <f>+HYPERLINK("http://trademark.i-assist.jp/data/china/image_1913th/80773672.pdf","80773672")</f>
        <v>80773672</v>
      </c>
      <c r="F565" s="11" t="s">
        <v>378</v>
      </c>
      <c r="G565" s="11" t="s">
        <v>2396</v>
      </c>
      <c r="H565" s="11" t="s">
        <v>2145</v>
      </c>
      <c r="I565" s="12">
        <v>45540</v>
      </c>
    </row>
    <row r="566" spans="1:9" x14ac:dyDescent="0.15">
      <c r="A566" s="9">
        <v>565</v>
      </c>
      <c r="B566" s="10" t="s">
        <v>9</v>
      </c>
      <c r="C566" s="11" t="s">
        <v>10</v>
      </c>
      <c r="D566" s="12">
        <v>45623</v>
      </c>
      <c r="E566" s="13" t="str">
        <f>+HYPERLINK("http://trademark.i-assist.jp/data/china/image_1913th/80773720.pdf","80773720")</f>
        <v>80773720</v>
      </c>
      <c r="F566" s="11" t="s">
        <v>2397</v>
      </c>
      <c r="G566" s="11" t="s">
        <v>379</v>
      </c>
      <c r="H566" s="11" t="s">
        <v>2398</v>
      </c>
      <c r="I566" s="12">
        <v>45540</v>
      </c>
    </row>
    <row r="567" spans="1:9" x14ac:dyDescent="0.15">
      <c r="A567" s="9">
        <v>566</v>
      </c>
      <c r="B567" s="10" t="s">
        <v>9</v>
      </c>
      <c r="C567" s="11" t="s">
        <v>10</v>
      </c>
      <c r="D567" s="12">
        <v>45623</v>
      </c>
      <c r="E567" s="13" t="str">
        <f>+HYPERLINK("http://trademark.i-assist.jp/data/china/image_1913th/80777858.pdf","80777858")</f>
        <v>80777858</v>
      </c>
      <c r="F567" s="11" t="s">
        <v>380</v>
      </c>
      <c r="G567" s="11" t="s">
        <v>2399</v>
      </c>
      <c r="H567" s="11" t="s">
        <v>2400</v>
      </c>
      <c r="I567" s="12">
        <v>45540</v>
      </c>
    </row>
    <row r="568" spans="1:9" x14ac:dyDescent="0.15">
      <c r="A568" s="9">
        <v>567</v>
      </c>
      <c r="B568" s="10" t="s">
        <v>9</v>
      </c>
      <c r="C568" s="11" t="s">
        <v>10</v>
      </c>
      <c r="D568" s="12">
        <v>45623</v>
      </c>
      <c r="E568" s="13" t="str">
        <f>+HYPERLINK("http://trademark.i-assist.jp/data/china/image_1913th/80778077.pdf","80778077")</f>
        <v>80778077</v>
      </c>
      <c r="F568" s="11" t="s">
        <v>381</v>
      </c>
      <c r="G568" s="11" t="s">
        <v>2401</v>
      </c>
      <c r="H568" s="11" t="s">
        <v>2402</v>
      </c>
      <c r="I568" s="12">
        <v>45540</v>
      </c>
    </row>
    <row r="569" spans="1:9" x14ac:dyDescent="0.15">
      <c r="A569" s="9">
        <v>568</v>
      </c>
      <c r="B569" s="10" t="s">
        <v>9</v>
      </c>
      <c r="C569" s="11" t="s">
        <v>10</v>
      </c>
      <c r="D569" s="12">
        <v>45623</v>
      </c>
      <c r="E569" s="13" t="str">
        <f>+HYPERLINK("http://trademark.i-assist.jp/data/china/image_1913th/80778511.pdf","80778511")</f>
        <v>80778511</v>
      </c>
      <c r="F569" s="11" t="s">
        <v>382</v>
      </c>
      <c r="G569" s="11" t="s">
        <v>1400</v>
      </c>
      <c r="H569" s="11" t="s">
        <v>1401</v>
      </c>
      <c r="I569" s="12">
        <v>45541</v>
      </c>
    </row>
    <row r="570" spans="1:9" x14ac:dyDescent="0.15">
      <c r="A570" s="9">
        <v>569</v>
      </c>
      <c r="B570" s="10" t="s">
        <v>9</v>
      </c>
      <c r="C570" s="11" t="s">
        <v>10</v>
      </c>
      <c r="D570" s="12">
        <v>45623</v>
      </c>
      <c r="E570" s="13" t="str">
        <f>+HYPERLINK("http://trademark.i-assist.jp/data/china/image_1913th/80780683.pdf","80780683")</f>
        <v>80780683</v>
      </c>
      <c r="F570" s="11" t="s">
        <v>2403</v>
      </c>
      <c r="G570" s="11" t="s">
        <v>2404</v>
      </c>
      <c r="H570" s="11" t="s">
        <v>2405</v>
      </c>
      <c r="I570" s="12">
        <v>45541</v>
      </c>
    </row>
    <row r="571" spans="1:9" x14ac:dyDescent="0.15">
      <c r="A571" s="9">
        <v>570</v>
      </c>
      <c r="B571" s="10" t="s">
        <v>9</v>
      </c>
      <c r="C571" s="11" t="s">
        <v>10</v>
      </c>
      <c r="D571" s="12">
        <v>45623</v>
      </c>
      <c r="E571" s="13" t="str">
        <f>+HYPERLINK("http://trademark.i-assist.jp/data/china/image_1913th/80784757.pdf","80784757")</f>
        <v>80784757</v>
      </c>
      <c r="F571" s="11" t="s">
        <v>383</v>
      </c>
      <c r="G571" s="11" t="s">
        <v>2406</v>
      </c>
      <c r="H571" s="11" t="s">
        <v>2407</v>
      </c>
      <c r="I571" s="12">
        <v>45541</v>
      </c>
    </row>
    <row r="572" spans="1:9" x14ac:dyDescent="0.15">
      <c r="A572" s="9">
        <v>571</v>
      </c>
      <c r="B572" s="10" t="s">
        <v>9</v>
      </c>
      <c r="C572" s="11" t="s">
        <v>10</v>
      </c>
      <c r="D572" s="12">
        <v>45623</v>
      </c>
      <c r="E572" s="13" t="str">
        <f>+HYPERLINK("http://trademark.i-assist.jp/data/china/image_1913th/80740188.pdf","80740188")</f>
        <v>80740188</v>
      </c>
      <c r="F572" s="11" t="s">
        <v>384</v>
      </c>
      <c r="G572" s="11" t="s">
        <v>2408</v>
      </c>
      <c r="H572" s="11" t="s">
        <v>1592</v>
      </c>
      <c r="I572" s="12">
        <v>45539</v>
      </c>
    </row>
    <row r="573" spans="1:9" x14ac:dyDescent="0.15">
      <c r="A573" s="9">
        <v>572</v>
      </c>
      <c r="B573" s="10" t="s">
        <v>9</v>
      </c>
      <c r="C573" s="11" t="s">
        <v>10</v>
      </c>
      <c r="D573" s="12">
        <v>45623</v>
      </c>
      <c r="E573" s="13" t="str">
        <f>+HYPERLINK("http://trademark.i-assist.jp/data/china/image_1913th/80749665.pdf","80749665")</f>
        <v>80749665</v>
      </c>
      <c r="F573" s="11" t="s">
        <v>2409</v>
      </c>
      <c r="G573" s="11" t="s">
        <v>385</v>
      </c>
      <c r="H573" s="11" t="s">
        <v>1302</v>
      </c>
      <c r="I573" s="12">
        <v>45539</v>
      </c>
    </row>
    <row r="574" spans="1:9" x14ac:dyDescent="0.15">
      <c r="A574" s="9">
        <v>573</v>
      </c>
      <c r="B574" s="10" t="s">
        <v>9</v>
      </c>
      <c r="C574" s="11" t="s">
        <v>10</v>
      </c>
      <c r="D574" s="12">
        <v>45623</v>
      </c>
      <c r="E574" s="13" t="str">
        <f>+HYPERLINK("http://trademark.i-assist.jp/data/china/image_1913th/80750901.pdf","80750901")</f>
        <v>80750901</v>
      </c>
      <c r="F574" s="11" t="s">
        <v>386</v>
      </c>
      <c r="G574" s="11" t="s">
        <v>2410</v>
      </c>
      <c r="H574" s="11" t="s">
        <v>2411</v>
      </c>
      <c r="I574" s="12">
        <v>45539</v>
      </c>
    </row>
    <row r="575" spans="1:9" x14ac:dyDescent="0.15">
      <c r="A575" s="9">
        <v>574</v>
      </c>
      <c r="B575" s="10" t="s">
        <v>9</v>
      </c>
      <c r="C575" s="11" t="s">
        <v>10</v>
      </c>
      <c r="D575" s="12">
        <v>45623</v>
      </c>
      <c r="E575" s="13" t="str">
        <f>+HYPERLINK("http://trademark.i-assist.jp/data/china/image_1913th/80829336.pdf","80829336")</f>
        <v>80829336</v>
      </c>
      <c r="F575" s="11" t="s">
        <v>2412</v>
      </c>
      <c r="G575" s="11" t="s">
        <v>387</v>
      </c>
      <c r="H575" s="11" t="s">
        <v>2413</v>
      </c>
      <c r="I575" s="12">
        <v>45544</v>
      </c>
    </row>
    <row r="576" spans="1:9" x14ac:dyDescent="0.15">
      <c r="A576" s="9">
        <v>575</v>
      </c>
      <c r="B576" s="10" t="s">
        <v>9</v>
      </c>
      <c r="C576" s="11" t="s">
        <v>10</v>
      </c>
      <c r="D576" s="12">
        <v>45623</v>
      </c>
      <c r="E576" s="13" t="str">
        <f>+HYPERLINK("http://trademark.i-assist.jp/data/china/image_1913th/80842821.pdf","80842821")</f>
        <v>80842821</v>
      </c>
      <c r="F576" s="11" t="s">
        <v>388</v>
      </c>
      <c r="G576" s="11" t="s">
        <v>1878</v>
      </c>
      <c r="H576" s="11" t="s">
        <v>1879</v>
      </c>
      <c r="I576" s="12">
        <v>45545</v>
      </c>
    </row>
    <row r="577" spans="1:9" x14ac:dyDescent="0.15">
      <c r="A577" s="9">
        <v>576</v>
      </c>
      <c r="B577" s="10" t="s">
        <v>9</v>
      </c>
      <c r="C577" s="11" t="s">
        <v>10</v>
      </c>
      <c r="D577" s="12">
        <v>45623</v>
      </c>
      <c r="E577" s="13" t="str">
        <f>+HYPERLINK("http://trademark.i-assist.jp/data/china/image_1913th/80847907.pdf","80847907")</f>
        <v>80847907</v>
      </c>
      <c r="F577" s="11" t="s">
        <v>2414</v>
      </c>
      <c r="G577" s="11" t="s">
        <v>1457</v>
      </c>
      <c r="H577" s="11" t="s">
        <v>2415</v>
      </c>
      <c r="I577" s="12">
        <v>45545</v>
      </c>
    </row>
    <row r="578" spans="1:9" x14ac:dyDescent="0.15">
      <c r="A578" s="9">
        <v>577</v>
      </c>
      <c r="B578" s="10" t="s">
        <v>9</v>
      </c>
      <c r="C578" s="11" t="s">
        <v>10</v>
      </c>
      <c r="D578" s="12">
        <v>45623</v>
      </c>
      <c r="E578" s="13" t="str">
        <f>+HYPERLINK("http://trademark.i-assist.jp/data/china/image_1913th/80848352.pdf","80848352")</f>
        <v>80848352</v>
      </c>
      <c r="F578" s="11" t="s">
        <v>2416</v>
      </c>
      <c r="G578" s="11" t="s">
        <v>2417</v>
      </c>
      <c r="H578" s="11" t="s">
        <v>2418</v>
      </c>
      <c r="I578" s="12">
        <v>45545</v>
      </c>
    </row>
    <row r="579" spans="1:9" x14ac:dyDescent="0.15">
      <c r="A579" s="9">
        <v>578</v>
      </c>
      <c r="B579" s="10" t="s">
        <v>9</v>
      </c>
      <c r="C579" s="11" t="s">
        <v>10</v>
      </c>
      <c r="D579" s="12">
        <v>45623</v>
      </c>
      <c r="E579" s="13" t="str">
        <f>+HYPERLINK("http://trademark.i-assist.jp/data/china/image_1913th/80854429.pdf","80854429")</f>
        <v>80854429</v>
      </c>
      <c r="F579" s="11" t="s">
        <v>389</v>
      </c>
      <c r="G579" s="11" t="s">
        <v>2419</v>
      </c>
      <c r="H579" s="11" t="s">
        <v>2420</v>
      </c>
      <c r="I579" s="12">
        <v>45545</v>
      </c>
    </row>
    <row r="580" spans="1:9" x14ac:dyDescent="0.15">
      <c r="A580" s="9">
        <v>579</v>
      </c>
      <c r="B580" s="10" t="s">
        <v>9</v>
      </c>
      <c r="C580" s="11" t="s">
        <v>10</v>
      </c>
      <c r="D580" s="12">
        <v>45623</v>
      </c>
      <c r="E580" s="13" t="str">
        <f>+HYPERLINK("http://trademark.i-assist.jp/data/china/image_1913th/80859638.pdf","80859638")</f>
        <v>80859638</v>
      </c>
      <c r="F580" s="11" t="s">
        <v>2421</v>
      </c>
      <c r="G580" s="11" t="s">
        <v>2422</v>
      </c>
      <c r="H580" s="11" t="s">
        <v>1281</v>
      </c>
      <c r="I580" s="12">
        <v>45546</v>
      </c>
    </row>
    <row r="581" spans="1:9" x14ac:dyDescent="0.15">
      <c r="A581" s="9">
        <v>580</v>
      </c>
      <c r="B581" s="10" t="s">
        <v>9</v>
      </c>
      <c r="C581" s="11" t="s">
        <v>10</v>
      </c>
      <c r="D581" s="12">
        <v>45623</v>
      </c>
      <c r="E581" s="13" t="str">
        <f>+HYPERLINK("http://trademark.i-assist.jp/data/china/image_1913th/80867018.pdf","80867018")</f>
        <v>80867018</v>
      </c>
      <c r="F581" s="11" t="s">
        <v>2423</v>
      </c>
      <c r="G581" s="11" t="s">
        <v>390</v>
      </c>
      <c r="H581" s="11" t="s">
        <v>1831</v>
      </c>
      <c r="I581" s="12">
        <v>45546</v>
      </c>
    </row>
    <row r="582" spans="1:9" x14ac:dyDescent="0.15">
      <c r="A582" s="9">
        <v>581</v>
      </c>
      <c r="B582" s="10" t="s">
        <v>9</v>
      </c>
      <c r="C582" s="11" t="s">
        <v>10</v>
      </c>
      <c r="D582" s="12">
        <v>45623</v>
      </c>
      <c r="E582" s="13" t="str">
        <f>+HYPERLINK("http://trademark.i-assist.jp/data/china/image_1913th/80877145.pdf","80877145")</f>
        <v>80877145</v>
      </c>
      <c r="F582" s="11" t="s">
        <v>2424</v>
      </c>
      <c r="G582" s="11" t="s">
        <v>2425</v>
      </c>
      <c r="H582" s="11" t="s">
        <v>2426</v>
      </c>
      <c r="I582" s="12">
        <v>45547</v>
      </c>
    </row>
    <row r="583" spans="1:9" x14ac:dyDescent="0.15">
      <c r="A583" s="9">
        <v>582</v>
      </c>
      <c r="B583" s="10" t="s">
        <v>9</v>
      </c>
      <c r="C583" s="11" t="s">
        <v>10</v>
      </c>
      <c r="D583" s="12">
        <v>45623</v>
      </c>
      <c r="E583" s="13" t="str">
        <f>+HYPERLINK("http://trademark.i-assist.jp/data/china/image_1913th/80879833.pdf","80879833")</f>
        <v>80879833</v>
      </c>
      <c r="F583" s="11" t="s">
        <v>2427</v>
      </c>
      <c r="G583" s="11" t="s">
        <v>391</v>
      </c>
      <c r="H583" s="11" t="s">
        <v>2428</v>
      </c>
      <c r="I583" s="12">
        <v>45547</v>
      </c>
    </row>
    <row r="584" spans="1:9" x14ac:dyDescent="0.15">
      <c r="A584" s="9">
        <v>583</v>
      </c>
      <c r="B584" s="10" t="s">
        <v>9</v>
      </c>
      <c r="C584" s="11" t="s">
        <v>10</v>
      </c>
      <c r="D584" s="12">
        <v>45623</v>
      </c>
      <c r="E584" s="13" t="str">
        <f>+HYPERLINK("http://trademark.i-assist.jp/data/china/image_1913th/80895736.pdf","80895736")</f>
        <v>80895736</v>
      </c>
      <c r="F584" s="11" t="s">
        <v>2429</v>
      </c>
      <c r="G584" s="11" t="s">
        <v>1656</v>
      </c>
      <c r="H584" s="11" t="s">
        <v>1657</v>
      </c>
      <c r="I584" s="12">
        <v>45547</v>
      </c>
    </row>
    <row r="585" spans="1:9" x14ac:dyDescent="0.15">
      <c r="A585" s="9">
        <v>584</v>
      </c>
      <c r="B585" s="10" t="s">
        <v>9</v>
      </c>
      <c r="C585" s="11" t="s">
        <v>10</v>
      </c>
      <c r="D585" s="12">
        <v>45623</v>
      </c>
      <c r="E585" s="13" t="str">
        <f>+HYPERLINK("http://trademark.i-assist.jp/data/china/image_1913th/80906471.pdf","80906471")</f>
        <v>80906471</v>
      </c>
      <c r="F585" s="11" t="s">
        <v>2430</v>
      </c>
      <c r="G585" s="11" t="s">
        <v>2431</v>
      </c>
      <c r="H585" s="11" t="s">
        <v>2432</v>
      </c>
      <c r="I585" s="12">
        <v>45548</v>
      </c>
    </row>
    <row r="586" spans="1:9" x14ac:dyDescent="0.15">
      <c r="A586" s="9">
        <v>585</v>
      </c>
      <c r="B586" s="10" t="s">
        <v>9</v>
      </c>
      <c r="C586" s="11" t="s">
        <v>10</v>
      </c>
      <c r="D586" s="12">
        <v>45623</v>
      </c>
      <c r="E586" s="13" t="str">
        <f>+HYPERLINK("http://trademark.i-assist.jp/data/china/image_1913th/80909359.pdf","80909359")</f>
        <v>80909359</v>
      </c>
      <c r="F586" s="11" t="s">
        <v>2433</v>
      </c>
      <c r="G586" s="11" t="s">
        <v>2434</v>
      </c>
      <c r="H586" s="11" t="s">
        <v>2435</v>
      </c>
      <c r="I586" s="12">
        <v>45548</v>
      </c>
    </row>
    <row r="587" spans="1:9" x14ac:dyDescent="0.15">
      <c r="A587" s="9">
        <v>586</v>
      </c>
      <c r="B587" s="10" t="s">
        <v>9</v>
      </c>
      <c r="C587" s="11" t="s">
        <v>10</v>
      </c>
      <c r="D587" s="12">
        <v>45623</v>
      </c>
      <c r="E587" s="13" t="str">
        <f>+HYPERLINK("http://trademark.i-assist.jp/data/china/image_1913th/80913602.pdf","80913602")</f>
        <v>80913602</v>
      </c>
      <c r="F587" s="11" t="s">
        <v>392</v>
      </c>
      <c r="G587" s="11" t="s">
        <v>2436</v>
      </c>
      <c r="H587" s="11" t="s">
        <v>2437</v>
      </c>
      <c r="I587" s="12">
        <v>45548</v>
      </c>
    </row>
    <row r="588" spans="1:9" x14ac:dyDescent="0.15">
      <c r="A588" s="9">
        <v>587</v>
      </c>
      <c r="B588" s="10" t="s">
        <v>9</v>
      </c>
      <c r="C588" s="11" t="s">
        <v>10</v>
      </c>
      <c r="D588" s="12">
        <v>45623</v>
      </c>
      <c r="E588" s="13" t="str">
        <f>+HYPERLINK("http://trademark.i-assist.jp/data/china/image_1913th/80922950.pdf","80922950")</f>
        <v>80922950</v>
      </c>
      <c r="F588" s="11" t="s">
        <v>393</v>
      </c>
      <c r="G588" s="11" t="s">
        <v>2438</v>
      </c>
      <c r="H588" s="11" t="s">
        <v>2439</v>
      </c>
      <c r="I588" s="12">
        <v>45548</v>
      </c>
    </row>
    <row r="589" spans="1:9" x14ac:dyDescent="0.15">
      <c r="A589" s="9">
        <v>588</v>
      </c>
      <c r="B589" s="10" t="s">
        <v>9</v>
      </c>
      <c r="C589" s="11" t="s">
        <v>10</v>
      </c>
      <c r="D589" s="12">
        <v>45623</v>
      </c>
      <c r="E589" s="13" t="str">
        <f>+HYPERLINK("http://trademark.i-assist.jp/data/china/image_1913th/80931625.pdf","80931625")</f>
        <v>80931625</v>
      </c>
      <c r="F589" s="11" t="s">
        <v>394</v>
      </c>
      <c r="G589" s="11" t="s">
        <v>2440</v>
      </c>
      <c r="H589" s="11" t="s">
        <v>2441</v>
      </c>
      <c r="I589" s="12">
        <v>45549</v>
      </c>
    </row>
    <row r="590" spans="1:9" x14ac:dyDescent="0.15">
      <c r="A590" s="9">
        <v>589</v>
      </c>
      <c r="B590" s="10" t="s">
        <v>9</v>
      </c>
      <c r="C590" s="11" t="s">
        <v>10</v>
      </c>
      <c r="D590" s="12">
        <v>45623</v>
      </c>
      <c r="E590" s="13" t="str">
        <f>+HYPERLINK("http://trademark.i-assist.jp/data/china/image_1913th/80937635.pdf","80937635")</f>
        <v>80937635</v>
      </c>
      <c r="F590" s="11" t="s">
        <v>395</v>
      </c>
      <c r="G590" s="11" t="s">
        <v>2442</v>
      </c>
      <c r="H590" s="11" t="s">
        <v>2443</v>
      </c>
      <c r="I590" s="12">
        <v>45547</v>
      </c>
    </row>
    <row r="591" spans="1:9" x14ac:dyDescent="0.15">
      <c r="A591" s="9">
        <v>590</v>
      </c>
      <c r="B591" s="10" t="s">
        <v>9</v>
      </c>
      <c r="C591" s="11" t="s">
        <v>10</v>
      </c>
      <c r="D591" s="12">
        <v>45623</v>
      </c>
      <c r="E591" s="13" t="str">
        <f>+HYPERLINK("http://trademark.i-assist.jp/data/china/image_1913th/80939528.pdf","80939528")</f>
        <v>80939528</v>
      </c>
      <c r="F591" s="11" t="s">
        <v>396</v>
      </c>
      <c r="G591" s="11" t="s">
        <v>2444</v>
      </c>
      <c r="H591" s="11" t="s">
        <v>1280</v>
      </c>
      <c r="I591" s="12">
        <v>45547</v>
      </c>
    </row>
    <row r="592" spans="1:9" x14ac:dyDescent="0.15">
      <c r="A592" s="9">
        <v>591</v>
      </c>
      <c r="B592" s="10" t="s">
        <v>9</v>
      </c>
      <c r="C592" s="11" t="s">
        <v>10</v>
      </c>
      <c r="D592" s="12">
        <v>45623</v>
      </c>
      <c r="E592" s="13" t="str">
        <f>+HYPERLINK("http://trademark.i-assist.jp/data/china/image_1913th/80952364.pdf","80952364")</f>
        <v>80952364</v>
      </c>
      <c r="F592" s="11" t="s">
        <v>1335</v>
      </c>
      <c r="G592" s="11" t="s">
        <v>2445</v>
      </c>
      <c r="H592" s="11" t="s">
        <v>2446</v>
      </c>
      <c r="I592" s="12">
        <v>45549</v>
      </c>
    </row>
    <row r="593" spans="1:9" x14ac:dyDescent="0.15">
      <c r="A593" s="9">
        <v>592</v>
      </c>
      <c r="B593" s="10" t="s">
        <v>9</v>
      </c>
      <c r="C593" s="11" t="s">
        <v>10</v>
      </c>
      <c r="D593" s="12">
        <v>45623</v>
      </c>
      <c r="E593" s="13" t="str">
        <f>+HYPERLINK("http://trademark.i-assist.jp/data/china/image_1913th/80953819.pdf","80953819")</f>
        <v>80953819</v>
      </c>
      <c r="F593" s="11" t="s">
        <v>2447</v>
      </c>
      <c r="G593" s="11" t="s">
        <v>397</v>
      </c>
      <c r="H593" s="11" t="s">
        <v>2448</v>
      </c>
      <c r="I593" s="12">
        <v>45550</v>
      </c>
    </row>
    <row r="594" spans="1:9" x14ac:dyDescent="0.15">
      <c r="A594" s="9">
        <v>593</v>
      </c>
      <c r="B594" s="10" t="s">
        <v>9</v>
      </c>
      <c r="C594" s="11" t="s">
        <v>10</v>
      </c>
      <c r="D594" s="12">
        <v>45623</v>
      </c>
      <c r="E594" s="13" t="str">
        <f>+HYPERLINK("http://trademark.i-assist.jp/data/china/image_1913th/80660130.pdf","80660130")</f>
        <v>80660130</v>
      </c>
      <c r="F594" s="11" t="s">
        <v>398</v>
      </c>
      <c r="G594" s="11" t="s">
        <v>1596</v>
      </c>
      <c r="H594" s="11" t="s">
        <v>1597</v>
      </c>
      <c r="I594" s="12">
        <v>45534</v>
      </c>
    </row>
    <row r="595" spans="1:9" x14ac:dyDescent="0.15">
      <c r="A595" s="9">
        <v>594</v>
      </c>
      <c r="B595" s="10" t="s">
        <v>9</v>
      </c>
      <c r="C595" s="11" t="s">
        <v>10</v>
      </c>
      <c r="D595" s="12">
        <v>45623</v>
      </c>
      <c r="E595" s="13" t="str">
        <f>+HYPERLINK("http://trademark.i-assist.jp/data/china/image_1913th/80666978.pdf","80666978")</f>
        <v>80666978</v>
      </c>
      <c r="F595" s="11" t="s">
        <v>2449</v>
      </c>
      <c r="G595" s="11" t="s">
        <v>2143</v>
      </c>
      <c r="H595" s="11" t="s">
        <v>1914</v>
      </c>
      <c r="I595" s="12">
        <v>45534</v>
      </c>
    </row>
    <row r="596" spans="1:9" x14ac:dyDescent="0.15">
      <c r="A596" s="9">
        <v>595</v>
      </c>
      <c r="B596" s="10" t="s">
        <v>9</v>
      </c>
      <c r="C596" s="11" t="s">
        <v>10</v>
      </c>
      <c r="D596" s="12">
        <v>45623</v>
      </c>
      <c r="E596" s="13" t="str">
        <f>+HYPERLINK("http://trademark.i-assist.jp/data/china/image_1913th/80670222.pdf","80670222")</f>
        <v>80670222</v>
      </c>
      <c r="F596" s="11" t="s">
        <v>399</v>
      </c>
      <c r="G596" s="11" t="s">
        <v>2450</v>
      </c>
      <c r="H596" s="11" t="s">
        <v>2451</v>
      </c>
      <c r="I596" s="12">
        <v>45534</v>
      </c>
    </row>
    <row r="597" spans="1:9" x14ac:dyDescent="0.15">
      <c r="A597" s="9">
        <v>596</v>
      </c>
      <c r="B597" s="10" t="s">
        <v>9</v>
      </c>
      <c r="C597" s="11" t="s">
        <v>10</v>
      </c>
      <c r="D597" s="12">
        <v>45623</v>
      </c>
      <c r="E597" s="13" t="str">
        <f>+HYPERLINK("http://trademark.i-assist.jp/data/china/image_1913th/80672355.pdf","80672355")</f>
        <v>80672355</v>
      </c>
      <c r="F597" s="11" t="s">
        <v>2452</v>
      </c>
      <c r="G597" s="11" t="s">
        <v>1893</v>
      </c>
      <c r="H597" s="11" t="s">
        <v>1302</v>
      </c>
      <c r="I597" s="12">
        <v>45534</v>
      </c>
    </row>
    <row r="598" spans="1:9" x14ac:dyDescent="0.15">
      <c r="A598" s="9">
        <v>597</v>
      </c>
      <c r="B598" s="10" t="s">
        <v>9</v>
      </c>
      <c r="C598" s="11" t="s">
        <v>10</v>
      </c>
      <c r="D598" s="12">
        <v>45623</v>
      </c>
      <c r="E598" s="13" t="str">
        <f>+HYPERLINK("http://trademark.i-assist.jp/data/china/image_1913th/71647269.pdf","71647269")</f>
        <v>71647269</v>
      </c>
      <c r="F598" s="11" t="s">
        <v>2453</v>
      </c>
      <c r="G598" s="11" t="s">
        <v>2454</v>
      </c>
      <c r="H598" s="11" t="s">
        <v>2455</v>
      </c>
      <c r="I598" s="12">
        <v>45064</v>
      </c>
    </row>
    <row r="599" spans="1:9" x14ac:dyDescent="0.15">
      <c r="A599" s="9">
        <v>598</v>
      </c>
      <c r="B599" s="10" t="s">
        <v>9</v>
      </c>
      <c r="C599" s="11" t="s">
        <v>10</v>
      </c>
      <c r="D599" s="12">
        <v>45623</v>
      </c>
      <c r="E599" s="13" t="str">
        <f>+HYPERLINK("http://trademark.i-assist.jp/data/china/image_1913th/74521857.pdf","74521857")</f>
        <v>74521857</v>
      </c>
      <c r="F599" s="11" t="s">
        <v>400</v>
      </c>
      <c r="G599" s="11" t="s">
        <v>2456</v>
      </c>
      <c r="H599" s="11" t="s">
        <v>2457</v>
      </c>
      <c r="I599" s="12">
        <v>45211</v>
      </c>
    </row>
    <row r="600" spans="1:9" x14ac:dyDescent="0.15">
      <c r="A600" s="9">
        <v>599</v>
      </c>
      <c r="B600" s="10" t="s">
        <v>9</v>
      </c>
      <c r="C600" s="11" t="s">
        <v>10</v>
      </c>
      <c r="D600" s="12">
        <v>45623</v>
      </c>
      <c r="E600" s="13" t="str">
        <f>+HYPERLINK("http://trademark.i-assist.jp/data/china/image_1913th/66329411.pdf","66329411")</f>
        <v>66329411</v>
      </c>
      <c r="F600" s="11" t="s">
        <v>2458</v>
      </c>
      <c r="G600" s="11" t="s">
        <v>1297</v>
      </c>
      <c r="H600" s="11" t="s">
        <v>1298</v>
      </c>
      <c r="I600" s="12">
        <v>44774</v>
      </c>
    </row>
    <row r="601" spans="1:9" x14ac:dyDescent="0.15">
      <c r="A601" s="9">
        <v>600</v>
      </c>
      <c r="B601" s="10" t="s">
        <v>9</v>
      </c>
      <c r="C601" s="11" t="s">
        <v>10</v>
      </c>
      <c r="D601" s="12">
        <v>45623</v>
      </c>
      <c r="E601" s="13" t="str">
        <f>+HYPERLINK("http://trademark.i-assist.jp/data/china/image_1913th/74249632.pdf","74249632")</f>
        <v>74249632</v>
      </c>
      <c r="F601" s="11" t="s">
        <v>402</v>
      </c>
      <c r="G601" s="11" t="s">
        <v>401</v>
      </c>
      <c r="H601" s="11" t="s">
        <v>2459</v>
      </c>
      <c r="I601" s="12">
        <v>45191</v>
      </c>
    </row>
    <row r="602" spans="1:9" x14ac:dyDescent="0.15">
      <c r="A602" s="9">
        <v>601</v>
      </c>
      <c r="B602" s="10" t="s">
        <v>9</v>
      </c>
      <c r="C602" s="11" t="s">
        <v>10</v>
      </c>
      <c r="D602" s="12">
        <v>45623</v>
      </c>
      <c r="E602" s="13" t="str">
        <f>+HYPERLINK("http://trademark.i-assist.jp/data/china/image_1913th/79257246.pdf","79257246")</f>
        <v>79257246</v>
      </c>
      <c r="F602" s="11" t="s">
        <v>403</v>
      </c>
      <c r="G602" s="11" t="s">
        <v>260</v>
      </c>
      <c r="H602" s="11" t="s">
        <v>2035</v>
      </c>
      <c r="I602" s="12">
        <v>45460</v>
      </c>
    </row>
    <row r="603" spans="1:9" x14ac:dyDescent="0.15">
      <c r="A603" s="9">
        <v>602</v>
      </c>
      <c r="B603" s="10" t="s">
        <v>9</v>
      </c>
      <c r="C603" s="11" t="s">
        <v>10</v>
      </c>
      <c r="D603" s="12">
        <v>45623</v>
      </c>
      <c r="E603" s="13" t="str">
        <f>+HYPERLINK("http://trademark.i-assist.jp/data/china/image_1913th/79314100.pdf","79314100")</f>
        <v>79314100</v>
      </c>
      <c r="F603" s="11" t="s">
        <v>404</v>
      </c>
      <c r="G603" s="11" t="s">
        <v>2460</v>
      </c>
      <c r="H603" s="11" t="s">
        <v>2461</v>
      </c>
      <c r="I603" s="12">
        <v>45462</v>
      </c>
    </row>
    <row r="604" spans="1:9" x14ac:dyDescent="0.15">
      <c r="A604" s="9">
        <v>603</v>
      </c>
      <c r="B604" s="10" t="s">
        <v>9</v>
      </c>
      <c r="C604" s="11" t="s">
        <v>10</v>
      </c>
      <c r="D604" s="12">
        <v>45623</v>
      </c>
      <c r="E604" s="13" t="str">
        <f>+HYPERLINK("http://trademark.i-assist.jp/data/china/image_1913th/79717749.pdf","79717749")</f>
        <v>79717749</v>
      </c>
      <c r="F604" s="11" t="s">
        <v>2462</v>
      </c>
      <c r="G604" s="11" t="s">
        <v>2463</v>
      </c>
      <c r="H604" s="11" t="s">
        <v>2464</v>
      </c>
      <c r="I604" s="12">
        <v>45483</v>
      </c>
    </row>
    <row r="605" spans="1:9" x14ac:dyDescent="0.15">
      <c r="A605" s="9">
        <v>604</v>
      </c>
      <c r="B605" s="10" t="s">
        <v>9</v>
      </c>
      <c r="C605" s="11" t="s">
        <v>10</v>
      </c>
      <c r="D605" s="12">
        <v>45623</v>
      </c>
      <c r="E605" s="13" t="str">
        <f>+HYPERLINK("http://trademark.i-assist.jp/data/china/image_1913th/79874779.pdf","79874779")</f>
        <v>79874779</v>
      </c>
      <c r="F605" s="11" t="s">
        <v>2465</v>
      </c>
      <c r="G605" s="11" t="s">
        <v>2466</v>
      </c>
      <c r="H605" s="11" t="s">
        <v>2467</v>
      </c>
      <c r="I605" s="12">
        <v>45491</v>
      </c>
    </row>
    <row r="606" spans="1:9" x14ac:dyDescent="0.15">
      <c r="A606" s="9">
        <v>605</v>
      </c>
      <c r="B606" s="10" t="s">
        <v>9</v>
      </c>
      <c r="C606" s="11" t="s">
        <v>10</v>
      </c>
      <c r="D606" s="12">
        <v>45623</v>
      </c>
      <c r="E606" s="13" t="str">
        <f>+HYPERLINK("http://trademark.i-assist.jp/data/china/image_1913th/79935594.pdf","79935594")</f>
        <v>79935594</v>
      </c>
      <c r="F606" s="11" t="s">
        <v>405</v>
      </c>
      <c r="G606" s="11" t="s">
        <v>2468</v>
      </c>
      <c r="H606" s="11" t="s">
        <v>2469</v>
      </c>
      <c r="I606" s="12">
        <v>45495</v>
      </c>
    </row>
    <row r="607" spans="1:9" x14ac:dyDescent="0.15">
      <c r="A607" s="9">
        <v>606</v>
      </c>
      <c r="B607" s="10" t="s">
        <v>9</v>
      </c>
      <c r="C607" s="11" t="s">
        <v>10</v>
      </c>
      <c r="D607" s="12">
        <v>45623</v>
      </c>
      <c r="E607" s="13" t="str">
        <f>+HYPERLINK("http://trademark.i-assist.jp/data/china/image_1913th/79954523.pdf","79954523")</f>
        <v>79954523</v>
      </c>
      <c r="F607" s="11" t="s">
        <v>2470</v>
      </c>
      <c r="G607" s="11" t="s">
        <v>2471</v>
      </c>
      <c r="H607" s="11" t="s">
        <v>1319</v>
      </c>
      <c r="I607" s="12">
        <v>45496</v>
      </c>
    </row>
    <row r="608" spans="1:9" x14ac:dyDescent="0.15">
      <c r="A608" s="9">
        <v>607</v>
      </c>
      <c r="B608" s="10" t="s">
        <v>9</v>
      </c>
      <c r="C608" s="11" t="s">
        <v>10</v>
      </c>
      <c r="D608" s="12">
        <v>45623</v>
      </c>
      <c r="E608" s="13" t="str">
        <f>+HYPERLINK("http://trademark.i-assist.jp/data/china/image_1913th/78153613.pdf","78153613")</f>
        <v>78153613</v>
      </c>
      <c r="F608" s="11" t="s">
        <v>406</v>
      </c>
      <c r="G608" s="11" t="s">
        <v>260</v>
      </c>
      <c r="H608" s="11" t="s">
        <v>2032</v>
      </c>
      <c r="I608" s="12">
        <v>45405</v>
      </c>
    </row>
    <row r="609" spans="1:9" x14ac:dyDescent="0.15">
      <c r="A609" s="9">
        <v>608</v>
      </c>
      <c r="B609" s="10" t="s">
        <v>9</v>
      </c>
      <c r="C609" s="11" t="s">
        <v>10</v>
      </c>
      <c r="D609" s="12">
        <v>45623</v>
      </c>
      <c r="E609" s="13" t="str">
        <f>+HYPERLINK("http://trademark.i-assist.jp/data/china/image_1913th/78931803.pdf","78931803")</f>
        <v>78931803</v>
      </c>
      <c r="F609" s="11" t="s">
        <v>407</v>
      </c>
      <c r="G609" s="11" t="s">
        <v>260</v>
      </c>
      <c r="H609" s="11" t="s">
        <v>2032</v>
      </c>
      <c r="I609" s="12">
        <v>45442</v>
      </c>
    </row>
    <row r="610" spans="1:9" x14ac:dyDescent="0.15">
      <c r="A610" s="9">
        <v>609</v>
      </c>
      <c r="B610" s="10" t="s">
        <v>9</v>
      </c>
      <c r="C610" s="11" t="s">
        <v>10</v>
      </c>
      <c r="D610" s="12">
        <v>45623</v>
      </c>
      <c r="E610" s="13" t="str">
        <f>+HYPERLINK("http://trademark.i-assist.jp/data/china/image_1913th/80655317.pdf","80655317")</f>
        <v>80655317</v>
      </c>
      <c r="F610" s="11" t="s">
        <v>2472</v>
      </c>
      <c r="G610" s="11" t="s">
        <v>2473</v>
      </c>
      <c r="H610" s="11" t="s">
        <v>2474</v>
      </c>
      <c r="I610" s="12">
        <v>45534</v>
      </c>
    </row>
    <row r="611" spans="1:9" x14ac:dyDescent="0.15">
      <c r="A611" s="9">
        <v>610</v>
      </c>
      <c r="B611" s="10" t="s">
        <v>9</v>
      </c>
      <c r="C611" s="11" t="s">
        <v>10</v>
      </c>
      <c r="D611" s="12">
        <v>45623</v>
      </c>
      <c r="E611" s="13" t="str">
        <f>+HYPERLINK("http://trademark.i-assist.jp/data/china/image_1913th/80661373.pdf","80661373")</f>
        <v>80661373</v>
      </c>
      <c r="F611" s="11" t="s">
        <v>2475</v>
      </c>
      <c r="G611" s="11" t="s">
        <v>2476</v>
      </c>
      <c r="H611" s="11" t="s">
        <v>2477</v>
      </c>
      <c r="I611" s="12">
        <v>45534</v>
      </c>
    </row>
    <row r="612" spans="1:9" x14ac:dyDescent="0.15">
      <c r="A612" s="9">
        <v>611</v>
      </c>
      <c r="B612" s="10" t="s">
        <v>9</v>
      </c>
      <c r="C612" s="11" t="s">
        <v>10</v>
      </c>
      <c r="D612" s="12">
        <v>45623</v>
      </c>
      <c r="E612" s="13" t="str">
        <f>+HYPERLINK("http://trademark.i-assist.jp/data/china/image_1913th/80664247.pdf","80664247")</f>
        <v>80664247</v>
      </c>
      <c r="F612" s="11" t="s">
        <v>2478</v>
      </c>
      <c r="G612" s="11" t="s">
        <v>2479</v>
      </c>
      <c r="H612" s="11" t="s">
        <v>1831</v>
      </c>
      <c r="I612" s="12">
        <v>45534</v>
      </c>
    </row>
    <row r="613" spans="1:9" x14ac:dyDescent="0.15">
      <c r="A613" s="9">
        <v>612</v>
      </c>
      <c r="B613" s="10" t="s">
        <v>9</v>
      </c>
      <c r="C613" s="11" t="s">
        <v>10</v>
      </c>
      <c r="D613" s="12">
        <v>45623</v>
      </c>
      <c r="E613" s="13" t="str">
        <f>+HYPERLINK("http://trademark.i-assist.jp/data/china/image_1913th/80667864.pdf","80667864")</f>
        <v>80667864</v>
      </c>
      <c r="F613" s="11" t="s">
        <v>408</v>
      </c>
      <c r="G613" s="11" t="s">
        <v>2480</v>
      </c>
      <c r="H613" s="11" t="s">
        <v>1282</v>
      </c>
      <c r="I613" s="12">
        <v>45534</v>
      </c>
    </row>
    <row r="614" spans="1:9" x14ac:dyDescent="0.15">
      <c r="A614" s="9">
        <v>613</v>
      </c>
      <c r="B614" s="10" t="s">
        <v>9</v>
      </c>
      <c r="C614" s="11" t="s">
        <v>10</v>
      </c>
      <c r="D614" s="12">
        <v>45623</v>
      </c>
      <c r="E614" s="13" t="str">
        <f>+HYPERLINK("http://trademark.i-assist.jp/data/china/image_1913th/80668087.pdf","80668087")</f>
        <v>80668087</v>
      </c>
      <c r="F614" s="11" t="s">
        <v>409</v>
      </c>
      <c r="G614" s="11" t="s">
        <v>2481</v>
      </c>
      <c r="H614" s="11" t="s">
        <v>1990</v>
      </c>
      <c r="I614" s="12">
        <v>45534</v>
      </c>
    </row>
    <row r="615" spans="1:9" x14ac:dyDescent="0.15">
      <c r="A615" s="9">
        <v>614</v>
      </c>
      <c r="B615" s="10" t="s">
        <v>9</v>
      </c>
      <c r="C615" s="11" t="s">
        <v>10</v>
      </c>
      <c r="D615" s="12">
        <v>45623</v>
      </c>
      <c r="E615" s="13" t="str">
        <f>+HYPERLINK("http://trademark.i-assist.jp/data/china/image_1913th/80669728.pdf","80669728")</f>
        <v>80669728</v>
      </c>
      <c r="F615" s="11" t="s">
        <v>2482</v>
      </c>
      <c r="G615" s="11" t="s">
        <v>1887</v>
      </c>
      <c r="H615" s="11" t="s">
        <v>1888</v>
      </c>
      <c r="I615" s="12">
        <v>45534</v>
      </c>
    </row>
    <row r="616" spans="1:9" x14ac:dyDescent="0.15">
      <c r="A616" s="9">
        <v>615</v>
      </c>
      <c r="B616" s="10" t="s">
        <v>9</v>
      </c>
      <c r="C616" s="11" t="s">
        <v>10</v>
      </c>
      <c r="D616" s="12">
        <v>45623</v>
      </c>
      <c r="E616" s="13" t="str">
        <f>+HYPERLINK("http://trademark.i-assist.jp/data/china/image_1913th/80672922.pdf","80672922")</f>
        <v>80672922</v>
      </c>
      <c r="F616" s="11" t="s">
        <v>411</v>
      </c>
      <c r="G616" s="11" t="s">
        <v>410</v>
      </c>
      <c r="H616" s="11" t="s">
        <v>1725</v>
      </c>
      <c r="I616" s="12">
        <v>45534</v>
      </c>
    </row>
    <row r="617" spans="1:9" x14ac:dyDescent="0.15">
      <c r="A617" s="9">
        <v>616</v>
      </c>
      <c r="B617" s="10" t="s">
        <v>9</v>
      </c>
      <c r="C617" s="11" t="s">
        <v>10</v>
      </c>
      <c r="D617" s="12">
        <v>45623</v>
      </c>
      <c r="E617" s="13" t="str">
        <f>+HYPERLINK("http://trademark.i-assist.jp/data/china/image_1913th/80674254.pdf","80674254")</f>
        <v>80674254</v>
      </c>
      <c r="F617" s="11" t="s">
        <v>2483</v>
      </c>
      <c r="G617" s="11" t="s">
        <v>2484</v>
      </c>
      <c r="H617" s="11" t="s">
        <v>2485</v>
      </c>
      <c r="I617" s="12">
        <v>45535</v>
      </c>
    </row>
    <row r="618" spans="1:9" x14ac:dyDescent="0.15">
      <c r="A618" s="9">
        <v>617</v>
      </c>
      <c r="B618" s="10" t="s">
        <v>9</v>
      </c>
      <c r="C618" s="11" t="s">
        <v>10</v>
      </c>
      <c r="D618" s="12">
        <v>45623</v>
      </c>
      <c r="E618" s="13" t="str">
        <f>+HYPERLINK("http://trademark.i-assist.jp/data/china/image_1913th/80361919.pdf","80361919")</f>
        <v>80361919</v>
      </c>
      <c r="F618" s="11" t="s">
        <v>412</v>
      </c>
      <c r="G618" s="11" t="s">
        <v>2486</v>
      </c>
      <c r="H618" s="11" t="s">
        <v>2487</v>
      </c>
      <c r="I618" s="12">
        <v>45518</v>
      </c>
    </row>
    <row r="619" spans="1:9" x14ac:dyDescent="0.15">
      <c r="A619" s="9">
        <v>618</v>
      </c>
      <c r="B619" s="10" t="s">
        <v>9</v>
      </c>
      <c r="C619" s="11" t="s">
        <v>10</v>
      </c>
      <c r="D619" s="12">
        <v>45623</v>
      </c>
      <c r="E619" s="13" t="str">
        <f>+HYPERLINK("http://trademark.i-assist.jp/data/china/image_1913th/80370179.pdf","80370179")</f>
        <v>80370179</v>
      </c>
      <c r="F619" s="11" t="s">
        <v>413</v>
      </c>
      <c r="G619" s="11" t="s">
        <v>2488</v>
      </c>
      <c r="H619" s="11" t="s">
        <v>2489</v>
      </c>
      <c r="I619" s="12">
        <v>45519</v>
      </c>
    </row>
    <row r="620" spans="1:9" x14ac:dyDescent="0.15">
      <c r="A620" s="9">
        <v>619</v>
      </c>
      <c r="B620" s="10" t="s">
        <v>9</v>
      </c>
      <c r="C620" s="11" t="s">
        <v>10</v>
      </c>
      <c r="D620" s="12">
        <v>45623</v>
      </c>
      <c r="E620" s="13" t="str">
        <f>+HYPERLINK("http://trademark.i-assist.jp/data/china/image_1913th/80375314.pdf","80375314")</f>
        <v>80375314</v>
      </c>
      <c r="F620" s="11" t="s">
        <v>1335</v>
      </c>
      <c r="G620" s="11" t="s">
        <v>2490</v>
      </c>
      <c r="H620" s="11" t="s">
        <v>1588</v>
      </c>
      <c r="I620" s="12">
        <v>45519</v>
      </c>
    </row>
    <row r="621" spans="1:9" x14ac:dyDescent="0.15">
      <c r="A621" s="9">
        <v>620</v>
      </c>
      <c r="B621" s="10" t="s">
        <v>9</v>
      </c>
      <c r="C621" s="11" t="s">
        <v>10</v>
      </c>
      <c r="D621" s="12">
        <v>45623</v>
      </c>
      <c r="E621" s="13" t="str">
        <f>+HYPERLINK("http://trademark.i-assist.jp/data/china/image_1913th/80414791.pdf","80414791")</f>
        <v>80414791</v>
      </c>
      <c r="F621" s="11" t="s">
        <v>414</v>
      </c>
      <c r="G621" s="11" t="s">
        <v>2491</v>
      </c>
      <c r="H621" s="11" t="s">
        <v>2492</v>
      </c>
      <c r="I621" s="12">
        <v>45520</v>
      </c>
    </row>
    <row r="622" spans="1:9" x14ac:dyDescent="0.15">
      <c r="A622" s="9">
        <v>621</v>
      </c>
      <c r="B622" s="10" t="s">
        <v>9</v>
      </c>
      <c r="C622" s="11" t="s">
        <v>10</v>
      </c>
      <c r="D622" s="12">
        <v>45623</v>
      </c>
      <c r="E622" s="13" t="str">
        <f>+HYPERLINK("http://trademark.i-assist.jp/data/china/image_1913th/80436232.pdf","80436232")</f>
        <v>80436232</v>
      </c>
      <c r="F622" s="11" t="s">
        <v>1335</v>
      </c>
      <c r="G622" s="11" t="s">
        <v>2493</v>
      </c>
      <c r="H622" s="11" t="s">
        <v>2494</v>
      </c>
      <c r="I622" s="12">
        <v>45523</v>
      </c>
    </row>
    <row r="623" spans="1:9" x14ac:dyDescent="0.15">
      <c r="A623" s="9">
        <v>622</v>
      </c>
      <c r="B623" s="10" t="s">
        <v>9</v>
      </c>
      <c r="C623" s="11" t="s">
        <v>10</v>
      </c>
      <c r="D623" s="12">
        <v>45623</v>
      </c>
      <c r="E623" s="13" t="str">
        <f>+HYPERLINK("http://trademark.i-assist.jp/data/china/image_1913th/80441075.pdf","80441075")</f>
        <v>80441075</v>
      </c>
      <c r="F623" s="11" t="s">
        <v>415</v>
      </c>
      <c r="G623" s="11" t="s">
        <v>1544</v>
      </c>
      <c r="H623" s="11" t="s">
        <v>1545</v>
      </c>
      <c r="I623" s="12">
        <v>45523</v>
      </c>
    </row>
    <row r="624" spans="1:9" x14ac:dyDescent="0.15">
      <c r="A624" s="9">
        <v>623</v>
      </c>
      <c r="B624" s="10" t="s">
        <v>9</v>
      </c>
      <c r="C624" s="11" t="s">
        <v>10</v>
      </c>
      <c r="D624" s="12">
        <v>45623</v>
      </c>
      <c r="E624" s="13" t="str">
        <f>+HYPERLINK("http://trademark.i-assist.jp/data/china/image_1913th/80442398.pdf","80442398")</f>
        <v>80442398</v>
      </c>
      <c r="F624" s="11" t="s">
        <v>416</v>
      </c>
      <c r="G624" s="11" t="s">
        <v>2495</v>
      </c>
      <c r="H624" s="11" t="s">
        <v>2496</v>
      </c>
      <c r="I624" s="12">
        <v>45523</v>
      </c>
    </row>
    <row r="625" spans="1:9" x14ac:dyDescent="0.15">
      <c r="A625" s="9">
        <v>624</v>
      </c>
      <c r="B625" s="10" t="s">
        <v>9</v>
      </c>
      <c r="C625" s="11" t="s">
        <v>10</v>
      </c>
      <c r="D625" s="12">
        <v>45623</v>
      </c>
      <c r="E625" s="13" t="str">
        <f>+HYPERLINK("http://trademark.i-assist.jp/data/china/image_1913th/80451619.pdf","80451619")</f>
        <v>80451619</v>
      </c>
      <c r="F625" s="11" t="s">
        <v>2497</v>
      </c>
      <c r="G625" s="11" t="s">
        <v>1338</v>
      </c>
      <c r="H625" s="11" t="s">
        <v>1339</v>
      </c>
      <c r="I625" s="12">
        <v>45524</v>
      </c>
    </row>
    <row r="626" spans="1:9" x14ac:dyDescent="0.15">
      <c r="A626" s="9">
        <v>625</v>
      </c>
      <c r="B626" s="10" t="s">
        <v>9</v>
      </c>
      <c r="C626" s="11" t="s">
        <v>10</v>
      </c>
      <c r="D626" s="12">
        <v>45623</v>
      </c>
      <c r="E626" s="13" t="str">
        <f>+HYPERLINK("http://trademark.i-assist.jp/data/china/image_1913th/80457391.pdf","80457391")</f>
        <v>80457391</v>
      </c>
      <c r="F626" s="11" t="s">
        <v>2498</v>
      </c>
      <c r="G626" s="11" t="s">
        <v>2499</v>
      </c>
      <c r="H626" s="11" t="s">
        <v>2500</v>
      </c>
      <c r="I626" s="12">
        <v>45524</v>
      </c>
    </row>
    <row r="627" spans="1:9" x14ac:dyDescent="0.15">
      <c r="A627" s="9">
        <v>626</v>
      </c>
      <c r="B627" s="10" t="s">
        <v>9</v>
      </c>
      <c r="C627" s="11" t="s">
        <v>10</v>
      </c>
      <c r="D627" s="12">
        <v>45623</v>
      </c>
      <c r="E627" s="13" t="str">
        <f>+HYPERLINK("http://trademark.i-assist.jp/data/china/image_1913th/80458959.pdf","80458959")</f>
        <v>80458959</v>
      </c>
      <c r="F627" s="11" t="s">
        <v>418</v>
      </c>
      <c r="G627" s="11" t="s">
        <v>417</v>
      </c>
      <c r="H627" s="11" t="s">
        <v>2501</v>
      </c>
      <c r="I627" s="12">
        <v>45524</v>
      </c>
    </row>
    <row r="628" spans="1:9" x14ac:dyDescent="0.15">
      <c r="A628" s="9">
        <v>627</v>
      </c>
      <c r="B628" s="10" t="s">
        <v>9</v>
      </c>
      <c r="C628" s="11" t="s">
        <v>10</v>
      </c>
      <c r="D628" s="12">
        <v>45623</v>
      </c>
      <c r="E628" s="13" t="str">
        <f>+HYPERLINK("http://trademark.i-assist.jp/data/china/image_1913th/80568821.pdf","80568821")</f>
        <v>80568821</v>
      </c>
      <c r="F628" s="11" t="s">
        <v>2502</v>
      </c>
      <c r="G628" s="11" t="s">
        <v>2503</v>
      </c>
      <c r="H628" s="11" t="s">
        <v>2504</v>
      </c>
      <c r="I628" s="12">
        <v>45530</v>
      </c>
    </row>
    <row r="629" spans="1:9" x14ac:dyDescent="0.15">
      <c r="A629" s="9">
        <v>628</v>
      </c>
      <c r="B629" s="10" t="s">
        <v>9</v>
      </c>
      <c r="C629" s="11" t="s">
        <v>10</v>
      </c>
      <c r="D629" s="12">
        <v>45623</v>
      </c>
      <c r="E629" s="13" t="str">
        <f>+HYPERLINK("http://trademark.i-assist.jp/data/china/image_1913th/80572582.pdf","80572582")</f>
        <v>80572582</v>
      </c>
      <c r="F629" s="11" t="s">
        <v>2505</v>
      </c>
      <c r="G629" s="11" t="s">
        <v>2506</v>
      </c>
      <c r="H629" s="11" t="s">
        <v>2507</v>
      </c>
      <c r="I629" s="12">
        <v>45530</v>
      </c>
    </row>
    <row r="630" spans="1:9" x14ac:dyDescent="0.15">
      <c r="A630" s="9">
        <v>629</v>
      </c>
      <c r="B630" s="10" t="s">
        <v>9</v>
      </c>
      <c r="C630" s="11" t="s">
        <v>10</v>
      </c>
      <c r="D630" s="12">
        <v>45623</v>
      </c>
      <c r="E630" s="13" t="str">
        <f>+HYPERLINK("http://trademark.i-assist.jp/data/china/image_1913th/80577688.pdf","80577688")</f>
        <v>80577688</v>
      </c>
      <c r="F630" s="11" t="s">
        <v>419</v>
      </c>
      <c r="G630" s="11" t="s">
        <v>2508</v>
      </c>
      <c r="H630" s="11" t="s">
        <v>2509</v>
      </c>
      <c r="I630" s="12">
        <v>45530</v>
      </c>
    </row>
    <row r="631" spans="1:9" x14ac:dyDescent="0.15">
      <c r="A631" s="9">
        <v>630</v>
      </c>
      <c r="B631" s="10" t="s">
        <v>9</v>
      </c>
      <c r="C631" s="11" t="s">
        <v>10</v>
      </c>
      <c r="D631" s="12">
        <v>45623</v>
      </c>
      <c r="E631" s="13" t="str">
        <f>+HYPERLINK("http://trademark.i-assist.jp/data/china/image_1913th/80585690.pdf","80585690")</f>
        <v>80585690</v>
      </c>
      <c r="F631" s="11" t="s">
        <v>2510</v>
      </c>
      <c r="G631" s="11" t="s">
        <v>2511</v>
      </c>
      <c r="H631" s="11" t="s">
        <v>2512</v>
      </c>
      <c r="I631" s="12">
        <v>45531</v>
      </c>
    </row>
    <row r="632" spans="1:9" x14ac:dyDescent="0.15">
      <c r="A632" s="9">
        <v>631</v>
      </c>
      <c r="B632" s="10" t="s">
        <v>9</v>
      </c>
      <c r="C632" s="11" t="s">
        <v>10</v>
      </c>
      <c r="D632" s="12">
        <v>45623</v>
      </c>
      <c r="E632" s="13" t="str">
        <f>+HYPERLINK("http://trademark.i-assist.jp/data/china/image_1913th/80587573.pdf","80587573")</f>
        <v>80587573</v>
      </c>
      <c r="F632" s="11" t="s">
        <v>420</v>
      </c>
      <c r="G632" s="11" t="s">
        <v>2513</v>
      </c>
      <c r="H632" s="11" t="s">
        <v>2514</v>
      </c>
      <c r="I632" s="12">
        <v>45531</v>
      </c>
    </row>
    <row r="633" spans="1:9" x14ac:dyDescent="0.15">
      <c r="A633" s="9">
        <v>632</v>
      </c>
      <c r="B633" s="10" t="s">
        <v>9</v>
      </c>
      <c r="C633" s="11" t="s">
        <v>10</v>
      </c>
      <c r="D633" s="12">
        <v>45623</v>
      </c>
      <c r="E633" s="13" t="str">
        <f>+HYPERLINK("http://trademark.i-assist.jp/data/china/image_1913th/80599310.pdf","80599310")</f>
        <v>80599310</v>
      </c>
      <c r="F633" s="11" t="s">
        <v>1335</v>
      </c>
      <c r="G633" s="11" t="s">
        <v>2515</v>
      </c>
      <c r="H633" s="11" t="s">
        <v>2516</v>
      </c>
      <c r="I633" s="12">
        <v>45531</v>
      </c>
    </row>
    <row r="634" spans="1:9" x14ac:dyDescent="0.15">
      <c r="A634" s="9">
        <v>633</v>
      </c>
      <c r="B634" s="10" t="s">
        <v>9</v>
      </c>
      <c r="C634" s="11" t="s">
        <v>10</v>
      </c>
      <c r="D634" s="12">
        <v>45623</v>
      </c>
      <c r="E634" s="13" t="str">
        <f>+HYPERLINK("http://trademark.i-assist.jp/data/china/image_1913th/80600136.pdf","80600136")</f>
        <v>80600136</v>
      </c>
      <c r="F634" s="11" t="s">
        <v>421</v>
      </c>
      <c r="G634" s="11" t="s">
        <v>2517</v>
      </c>
      <c r="H634" s="11" t="s">
        <v>1283</v>
      </c>
      <c r="I634" s="12">
        <v>45531</v>
      </c>
    </row>
    <row r="635" spans="1:9" x14ac:dyDescent="0.15">
      <c r="A635" s="9">
        <v>634</v>
      </c>
      <c r="B635" s="10" t="s">
        <v>9</v>
      </c>
      <c r="C635" s="11" t="s">
        <v>10</v>
      </c>
      <c r="D635" s="12">
        <v>45623</v>
      </c>
      <c r="E635" s="13" t="str">
        <f>+HYPERLINK("http://trademark.i-assist.jp/data/china/image_1913th/80615652.pdf","80615652")</f>
        <v>80615652</v>
      </c>
      <c r="F635" s="11" t="s">
        <v>422</v>
      </c>
      <c r="G635" s="11" t="s">
        <v>328</v>
      </c>
      <c r="H635" s="11" t="s">
        <v>1721</v>
      </c>
      <c r="I635" s="12">
        <v>45532</v>
      </c>
    </row>
    <row r="636" spans="1:9" x14ac:dyDescent="0.15">
      <c r="A636" s="9">
        <v>635</v>
      </c>
      <c r="B636" s="10" t="s">
        <v>9</v>
      </c>
      <c r="C636" s="11" t="s">
        <v>10</v>
      </c>
      <c r="D636" s="12">
        <v>45623</v>
      </c>
      <c r="E636" s="13" t="str">
        <f>+HYPERLINK("http://trademark.i-assist.jp/data/china/image_1913th/80617443.pdf","80617443")</f>
        <v>80617443</v>
      </c>
      <c r="F636" s="11" t="s">
        <v>2518</v>
      </c>
      <c r="G636" s="11" t="s">
        <v>356</v>
      </c>
      <c r="H636" s="11" t="s">
        <v>2519</v>
      </c>
      <c r="I636" s="12">
        <v>45532</v>
      </c>
    </row>
    <row r="637" spans="1:9" x14ac:dyDescent="0.15">
      <c r="A637" s="9">
        <v>636</v>
      </c>
      <c r="B637" s="10" t="s">
        <v>9</v>
      </c>
      <c r="C637" s="11" t="s">
        <v>10</v>
      </c>
      <c r="D637" s="12">
        <v>45623</v>
      </c>
      <c r="E637" s="13" t="str">
        <f>+HYPERLINK("http://trademark.i-assist.jp/data/china/image_1913th/80628236.pdf","80628236")</f>
        <v>80628236</v>
      </c>
      <c r="F637" s="11" t="s">
        <v>2520</v>
      </c>
      <c r="G637" s="11" t="s">
        <v>2521</v>
      </c>
      <c r="H637" s="11" t="s">
        <v>2522</v>
      </c>
      <c r="I637" s="12">
        <v>45533</v>
      </c>
    </row>
    <row r="638" spans="1:9" x14ac:dyDescent="0.15">
      <c r="A638" s="9">
        <v>637</v>
      </c>
      <c r="B638" s="10" t="s">
        <v>9</v>
      </c>
      <c r="C638" s="11" t="s">
        <v>10</v>
      </c>
      <c r="D638" s="12">
        <v>45623</v>
      </c>
      <c r="E638" s="13" t="str">
        <f>+HYPERLINK("http://trademark.i-assist.jp/data/china/image_1913th/80631107.pdf","80631107")</f>
        <v>80631107</v>
      </c>
      <c r="F638" s="11" t="s">
        <v>2523</v>
      </c>
      <c r="G638" s="11" t="s">
        <v>2524</v>
      </c>
      <c r="H638" s="11" t="s">
        <v>2294</v>
      </c>
      <c r="I638" s="12">
        <v>45533</v>
      </c>
    </row>
    <row r="639" spans="1:9" x14ac:dyDescent="0.15">
      <c r="A639" s="9">
        <v>638</v>
      </c>
      <c r="B639" s="10" t="s">
        <v>9</v>
      </c>
      <c r="C639" s="11" t="s">
        <v>10</v>
      </c>
      <c r="D639" s="12">
        <v>45623</v>
      </c>
      <c r="E639" s="13" t="str">
        <f>+HYPERLINK("http://trademark.i-assist.jp/data/china/image_1913th/80632391.pdf","80632391")</f>
        <v>80632391</v>
      </c>
      <c r="F639" s="11" t="s">
        <v>2525</v>
      </c>
      <c r="G639" s="11" t="s">
        <v>2526</v>
      </c>
      <c r="H639" s="11" t="s">
        <v>2239</v>
      </c>
      <c r="I639" s="12">
        <v>45533</v>
      </c>
    </row>
    <row r="640" spans="1:9" x14ac:dyDescent="0.15">
      <c r="A640" s="9">
        <v>639</v>
      </c>
      <c r="B640" s="10" t="s">
        <v>9</v>
      </c>
      <c r="C640" s="11" t="s">
        <v>10</v>
      </c>
      <c r="D640" s="12">
        <v>45623</v>
      </c>
      <c r="E640" s="13" t="str">
        <f>+HYPERLINK("http://trademark.i-assist.jp/data/china/image_1913th/80636049.pdf","80636049")</f>
        <v>80636049</v>
      </c>
      <c r="F640" s="11" t="s">
        <v>423</v>
      </c>
      <c r="G640" s="11" t="s">
        <v>2000</v>
      </c>
      <c r="H640" s="11" t="s">
        <v>2001</v>
      </c>
      <c r="I640" s="12">
        <v>45533</v>
      </c>
    </row>
    <row r="641" spans="1:9" x14ac:dyDescent="0.15">
      <c r="A641" s="9">
        <v>640</v>
      </c>
      <c r="B641" s="10" t="s">
        <v>9</v>
      </c>
      <c r="C641" s="11" t="s">
        <v>10</v>
      </c>
      <c r="D641" s="12">
        <v>45623</v>
      </c>
      <c r="E641" s="13" t="str">
        <f>+HYPERLINK("http://trademark.i-assist.jp/data/china/image_1913th/80636237.pdf","80636237")</f>
        <v>80636237</v>
      </c>
      <c r="F641" s="11" t="s">
        <v>2527</v>
      </c>
      <c r="G641" s="11" t="s">
        <v>2524</v>
      </c>
      <c r="H641" s="11" t="s">
        <v>2294</v>
      </c>
      <c r="I641" s="12">
        <v>45533</v>
      </c>
    </row>
    <row r="642" spans="1:9" x14ac:dyDescent="0.15">
      <c r="A642" s="9">
        <v>641</v>
      </c>
      <c r="B642" s="10" t="s">
        <v>9</v>
      </c>
      <c r="C642" s="11" t="s">
        <v>10</v>
      </c>
      <c r="D642" s="12">
        <v>45623</v>
      </c>
      <c r="E642" s="13" t="str">
        <f>+HYPERLINK("http://trademark.i-assist.jp/data/china/image_1913th/80636261.pdf","80636261")</f>
        <v>80636261</v>
      </c>
      <c r="F642" s="11" t="s">
        <v>424</v>
      </c>
      <c r="G642" s="11" t="s">
        <v>2528</v>
      </c>
      <c r="H642" s="11" t="s">
        <v>2529</v>
      </c>
      <c r="I642" s="12">
        <v>45533</v>
      </c>
    </row>
    <row r="643" spans="1:9" x14ac:dyDescent="0.15">
      <c r="A643" s="9">
        <v>642</v>
      </c>
      <c r="B643" s="10" t="s">
        <v>9</v>
      </c>
      <c r="C643" s="11" t="s">
        <v>10</v>
      </c>
      <c r="D643" s="12">
        <v>45623</v>
      </c>
      <c r="E643" s="13" t="str">
        <f>+HYPERLINK("http://trademark.i-assist.jp/data/china/image_1913th/80503059.pdf","80503059")</f>
        <v>80503059</v>
      </c>
      <c r="F643" s="11" t="s">
        <v>425</v>
      </c>
      <c r="G643" s="11" t="s">
        <v>2530</v>
      </c>
      <c r="H643" s="11" t="s">
        <v>2531</v>
      </c>
      <c r="I643" s="12">
        <v>45526</v>
      </c>
    </row>
    <row r="644" spans="1:9" x14ac:dyDescent="0.15">
      <c r="A644" s="9">
        <v>643</v>
      </c>
      <c r="B644" s="10" t="s">
        <v>9</v>
      </c>
      <c r="C644" s="11" t="s">
        <v>10</v>
      </c>
      <c r="D644" s="12">
        <v>45623</v>
      </c>
      <c r="E644" s="13" t="str">
        <f>+HYPERLINK("http://trademark.i-assist.jp/data/china/image_1913th/80503299.pdf","80503299")</f>
        <v>80503299</v>
      </c>
      <c r="F644" s="11" t="s">
        <v>2532</v>
      </c>
      <c r="G644" s="11" t="s">
        <v>2533</v>
      </c>
      <c r="H644" s="11" t="s">
        <v>2534</v>
      </c>
      <c r="I644" s="12">
        <v>45526</v>
      </c>
    </row>
    <row r="645" spans="1:9" x14ac:dyDescent="0.15">
      <c r="A645" s="9">
        <v>644</v>
      </c>
      <c r="B645" s="10" t="s">
        <v>9</v>
      </c>
      <c r="C645" s="11" t="s">
        <v>10</v>
      </c>
      <c r="D645" s="12">
        <v>45623</v>
      </c>
      <c r="E645" s="13" t="str">
        <f>+HYPERLINK("http://trademark.i-assist.jp/data/china/image_1913th/80523722.pdf","80523722")</f>
        <v>80523722</v>
      </c>
      <c r="F645" s="11" t="s">
        <v>426</v>
      </c>
      <c r="G645" s="11" t="s">
        <v>2535</v>
      </c>
      <c r="H645" s="11" t="s">
        <v>2344</v>
      </c>
      <c r="I645" s="12">
        <v>45527</v>
      </c>
    </row>
    <row r="646" spans="1:9" x14ac:dyDescent="0.15">
      <c r="A646" s="9">
        <v>645</v>
      </c>
      <c r="B646" s="10" t="s">
        <v>9</v>
      </c>
      <c r="C646" s="11" t="s">
        <v>10</v>
      </c>
      <c r="D646" s="12">
        <v>45623</v>
      </c>
      <c r="E646" s="13" t="str">
        <f>+HYPERLINK("http://trademark.i-assist.jp/data/china/image_1913th/80539311.pdf","80539311")</f>
        <v>80539311</v>
      </c>
      <c r="F646" s="11" t="s">
        <v>2536</v>
      </c>
      <c r="G646" s="11" t="s">
        <v>2537</v>
      </c>
      <c r="H646" s="11" t="s">
        <v>1376</v>
      </c>
      <c r="I646" s="12">
        <v>45527</v>
      </c>
    </row>
    <row r="647" spans="1:9" x14ac:dyDescent="0.15">
      <c r="A647" s="9">
        <v>646</v>
      </c>
      <c r="B647" s="10" t="s">
        <v>9</v>
      </c>
      <c r="C647" s="11" t="s">
        <v>10</v>
      </c>
      <c r="D647" s="12">
        <v>45623</v>
      </c>
      <c r="E647" s="13" t="str">
        <f>+HYPERLINK("http://trademark.i-assist.jp/data/china/image_1913th/80549380.pdf","80549380")</f>
        <v>80549380</v>
      </c>
      <c r="F647" s="11" t="s">
        <v>2538</v>
      </c>
      <c r="G647" s="11" t="s">
        <v>2539</v>
      </c>
      <c r="H647" s="11" t="s">
        <v>2540</v>
      </c>
      <c r="I647" s="12">
        <v>45528</v>
      </c>
    </row>
    <row r="648" spans="1:9" x14ac:dyDescent="0.15">
      <c r="A648" s="9">
        <v>647</v>
      </c>
      <c r="B648" s="10" t="s">
        <v>9</v>
      </c>
      <c r="C648" s="11" t="s">
        <v>10</v>
      </c>
      <c r="D648" s="12">
        <v>45623</v>
      </c>
      <c r="E648" s="13" t="str">
        <f>+HYPERLINK("http://trademark.i-assist.jp/data/china/image_1913th/79449917.pdf","79449917")</f>
        <v>79449917</v>
      </c>
      <c r="F648" s="11" t="s">
        <v>427</v>
      </c>
      <c r="G648" s="11" t="s">
        <v>2541</v>
      </c>
      <c r="H648" s="11" t="s">
        <v>1284</v>
      </c>
      <c r="I648" s="12">
        <v>45469</v>
      </c>
    </row>
    <row r="649" spans="1:9" x14ac:dyDescent="0.15">
      <c r="A649" s="9">
        <v>648</v>
      </c>
      <c r="B649" s="10" t="s">
        <v>9</v>
      </c>
      <c r="C649" s="11" t="s">
        <v>10</v>
      </c>
      <c r="D649" s="12">
        <v>45623</v>
      </c>
      <c r="E649" s="13" t="str">
        <f>+HYPERLINK("http://trademark.i-assist.jp/data/china/image_1913th/80710981.pdf","80710981")</f>
        <v>80710981</v>
      </c>
      <c r="F649" s="11" t="s">
        <v>428</v>
      </c>
      <c r="G649" s="11" t="s">
        <v>2542</v>
      </c>
      <c r="H649" s="11" t="s">
        <v>2543</v>
      </c>
      <c r="I649" s="12">
        <v>45538</v>
      </c>
    </row>
    <row r="650" spans="1:9" x14ac:dyDescent="0.15">
      <c r="A650" s="9">
        <v>649</v>
      </c>
      <c r="B650" s="10" t="s">
        <v>9</v>
      </c>
      <c r="C650" s="11" t="s">
        <v>10</v>
      </c>
      <c r="D650" s="12">
        <v>45623</v>
      </c>
      <c r="E650" s="13" t="str">
        <f>+HYPERLINK("http://trademark.i-assist.jp/data/china/image_1913th/80712904.pdf","80712904")</f>
        <v>80712904</v>
      </c>
      <c r="F650" s="11" t="s">
        <v>2544</v>
      </c>
      <c r="G650" s="11" t="s">
        <v>1367</v>
      </c>
      <c r="H650" s="11" t="s">
        <v>1567</v>
      </c>
      <c r="I650" s="12">
        <v>45538</v>
      </c>
    </row>
    <row r="651" spans="1:9" x14ac:dyDescent="0.15">
      <c r="A651" s="9">
        <v>650</v>
      </c>
      <c r="B651" s="10" t="s">
        <v>9</v>
      </c>
      <c r="C651" s="11" t="s">
        <v>10</v>
      </c>
      <c r="D651" s="12">
        <v>45623</v>
      </c>
      <c r="E651" s="13" t="str">
        <f>+HYPERLINK("http://trademark.i-assist.jp/data/china/image_1913th/80718624.pdf","80718624")</f>
        <v>80718624</v>
      </c>
      <c r="F651" s="11" t="s">
        <v>429</v>
      </c>
      <c r="G651" s="11" t="s">
        <v>2545</v>
      </c>
      <c r="H651" s="11" t="s">
        <v>2546</v>
      </c>
      <c r="I651" s="12">
        <v>45538</v>
      </c>
    </row>
    <row r="652" spans="1:9" x14ac:dyDescent="0.15">
      <c r="A652" s="9">
        <v>651</v>
      </c>
      <c r="B652" s="10" t="s">
        <v>9</v>
      </c>
      <c r="C652" s="11" t="s">
        <v>10</v>
      </c>
      <c r="D652" s="12">
        <v>45623</v>
      </c>
      <c r="E652" s="13" t="str">
        <f>+HYPERLINK("http://trademark.i-assist.jp/data/china/image_1913th/80718986.pdf","80718986")</f>
        <v>80718986</v>
      </c>
      <c r="F652" s="11" t="s">
        <v>430</v>
      </c>
      <c r="G652" s="11" t="s">
        <v>2547</v>
      </c>
      <c r="H652" s="11" t="s">
        <v>1768</v>
      </c>
      <c r="I652" s="12">
        <v>45538</v>
      </c>
    </row>
    <row r="653" spans="1:9" x14ac:dyDescent="0.15">
      <c r="A653" s="9">
        <v>652</v>
      </c>
      <c r="B653" s="10" t="s">
        <v>9</v>
      </c>
      <c r="C653" s="11" t="s">
        <v>10</v>
      </c>
      <c r="D653" s="12">
        <v>45623</v>
      </c>
      <c r="E653" s="13" t="str">
        <f>+HYPERLINK("http://trademark.i-assist.jp/data/china/image_1913th/80724565.pdf","80724565")</f>
        <v>80724565</v>
      </c>
      <c r="F653" s="11" t="s">
        <v>431</v>
      </c>
      <c r="G653" s="11" t="s">
        <v>2548</v>
      </c>
      <c r="H653" s="11" t="s">
        <v>1768</v>
      </c>
      <c r="I653" s="12">
        <v>45538</v>
      </c>
    </row>
    <row r="654" spans="1:9" x14ac:dyDescent="0.15">
      <c r="A654" s="9">
        <v>653</v>
      </c>
      <c r="B654" s="10" t="s">
        <v>9</v>
      </c>
      <c r="C654" s="11" t="s">
        <v>10</v>
      </c>
      <c r="D654" s="12">
        <v>45623</v>
      </c>
      <c r="E654" s="13" t="str">
        <f>+HYPERLINK("http://trademark.i-assist.jp/data/china/image_1913th/80726451.pdf","80726451")</f>
        <v>80726451</v>
      </c>
      <c r="F654" s="11" t="s">
        <v>433</v>
      </c>
      <c r="G654" s="11" t="s">
        <v>432</v>
      </c>
      <c r="H654" s="11" t="s">
        <v>2549</v>
      </c>
      <c r="I654" s="12">
        <v>45538</v>
      </c>
    </row>
    <row r="655" spans="1:9" x14ac:dyDescent="0.15">
      <c r="A655" s="9">
        <v>654</v>
      </c>
      <c r="B655" s="10" t="s">
        <v>9</v>
      </c>
      <c r="C655" s="11" t="s">
        <v>10</v>
      </c>
      <c r="D655" s="12">
        <v>45623</v>
      </c>
      <c r="E655" s="13" t="str">
        <f>+HYPERLINK("http://trademark.i-assist.jp/data/china/image_1913th/80726551.pdf","80726551")</f>
        <v>80726551</v>
      </c>
      <c r="F655" s="11" t="s">
        <v>2550</v>
      </c>
      <c r="G655" s="11" t="s">
        <v>42</v>
      </c>
      <c r="H655" s="11" t="s">
        <v>1423</v>
      </c>
      <c r="I655" s="12">
        <v>45538</v>
      </c>
    </row>
    <row r="656" spans="1:9" x14ac:dyDescent="0.15">
      <c r="A656" s="9">
        <v>655</v>
      </c>
      <c r="B656" s="10" t="s">
        <v>9</v>
      </c>
      <c r="C656" s="11" t="s">
        <v>10</v>
      </c>
      <c r="D656" s="12">
        <v>45623</v>
      </c>
      <c r="E656" s="13" t="str">
        <f>+HYPERLINK("http://trademark.i-assist.jp/data/china/image_1913th/80729073.pdf","80729073")</f>
        <v>80729073</v>
      </c>
      <c r="F656" s="11" t="s">
        <v>434</v>
      </c>
      <c r="G656" s="11" t="s">
        <v>2551</v>
      </c>
      <c r="H656" s="11" t="s">
        <v>2239</v>
      </c>
      <c r="I656" s="12">
        <v>45538</v>
      </c>
    </row>
    <row r="657" spans="1:9" x14ac:dyDescent="0.15">
      <c r="A657" s="9">
        <v>656</v>
      </c>
      <c r="B657" s="10" t="s">
        <v>9</v>
      </c>
      <c r="C657" s="11" t="s">
        <v>10</v>
      </c>
      <c r="D657" s="12">
        <v>45623</v>
      </c>
      <c r="E657" s="13" t="str">
        <f>+HYPERLINK("http://trademark.i-assist.jp/data/china/image_1913th/80729943.pdf","80729943")</f>
        <v>80729943</v>
      </c>
      <c r="F657" s="11" t="s">
        <v>2552</v>
      </c>
      <c r="G657" s="11" t="s">
        <v>42</v>
      </c>
      <c r="H657" s="11" t="s">
        <v>1423</v>
      </c>
      <c r="I657" s="12">
        <v>45538</v>
      </c>
    </row>
    <row r="658" spans="1:9" x14ac:dyDescent="0.15">
      <c r="A658" s="9">
        <v>657</v>
      </c>
      <c r="B658" s="10" t="s">
        <v>9</v>
      </c>
      <c r="C658" s="11" t="s">
        <v>10</v>
      </c>
      <c r="D658" s="12">
        <v>45623</v>
      </c>
      <c r="E658" s="13" t="str">
        <f>+HYPERLINK("http://trademark.i-assist.jp/data/china/image_1913th/80741162.pdf","80741162")</f>
        <v>80741162</v>
      </c>
      <c r="F658" s="11" t="s">
        <v>435</v>
      </c>
      <c r="G658" s="11" t="s">
        <v>2553</v>
      </c>
      <c r="H658" s="11" t="s">
        <v>2554</v>
      </c>
      <c r="I658" s="12">
        <v>45539</v>
      </c>
    </row>
    <row r="659" spans="1:9" x14ac:dyDescent="0.15">
      <c r="A659" s="9">
        <v>658</v>
      </c>
      <c r="B659" s="10" t="s">
        <v>9</v>
      </c>
      <c r="C659" s="11" t="s">
        <v>10</v>
      </c>
      <c r="D659" s="12">
        <v>45623</v>
      </c>
      <c r="E659" s="13" t="str">
        <f>+HYPERLINK("http://trademark.i-assist.jp/data/china/image_1913th/80742710.pdf","80742710")</f>
        <v>80742710</v>
      </c>
      <c r="F659" s="11" t="s">
        <v>436</v>
      </c>
      <c r="G659" s="11" t="s">
        <v>2555</v>
      </c>
      <c r="H659" s="11" t="s">
        <v>2556</v>
      </c>
      <c r="I659" s="12">
        <v>45539</v>
      </c>
    </row>
    <row r="660" spans="1:9" x14ac:dyDescent="0.15">
      <c r="A660" s="9">
        <v>659</v>
      </c>
      <c r="B660" s="10" t="s">
        <v>9</v>
      </c>
      <c r="C660" s="11" t="s">
        <v>10</v>
      </c>
      <c r="D660" s="12">
        <v>45623</v>
      </c>
      <c r="E660" s="13" t="str">
        <f>+HYPERLINK("http://trademark.i-assist.jp/data/china/image_1913th/80743220.pdf","80743220")</f>
        <v>80743220</v>
      </c>
      <c r="F660" s="11" t="s">
        <v>2557</v>
      </c>
      <c r="G660" s="11" t="s">
        <v>2558</v>
      </c>
      <c r="H660" s="11" t="s">
        <v>2420</v>
      </c>
      <c r="I660" s="12">
        <v>45539</v>
      </c>
    </row>
    <row r="661" spans="1:9" x14ac:dyDescent="0.15">
      <c r="A661" s="9">
        <v>660</v>
      </c>
      <c r="B661" s="10" t="s">
        <v>9</v>
      </c>
      <c r="C661" s="11" t="s">
        <v>10</v>
      </c>
      <c r="D661" s="12">
        <v>45623</v>
      </c>
      <c r="E661" s="13" t="str">
        <f>+HYPERLINK("http://trademark.i-assist.jp/data/china/image_1913th/80747439.pdf","80747439")</f>
        <v>80747439</v>
      </c>
      <c r="F661" s="11" t="s">
        <v>2559</v>
      </c>
      <c r="G661" s="11" t="s">
        <v>437</v>
      </c>
      <c r="H661" s="11" t="s">
        <v>2560</v>
      </c>
      <c r="I661" s="12">
        <v>45539</v>
      </c>
    </row>
    <row r="662" spans="1:9" x14ac:dyDescent="0.15">
      <c r="A662" s="9">
        <v>661</v>
      </c>
      <c r="B662" s="10" t="s">
        <v>9</v>
      </c>
      <c r="C662" s="11" t="s">
        <v>10</v>
      </c>
      <c r="D662" s="12">
        <v>45623</v>
      </c>
      <c r="E662" s="13" t="str">
        <f>+HYPERLINK("http://trademark.i-assist.jp/data/china/image_1913th/80753274.pdf","80753274")</f>
        <v>80753274</v>
      </c>
      <c r="F662" s="11" t="s">
        <v>2561</v>
      </c>
      <c r="G662" s="11" t="s">
        <v>2562</v>
      </c>
      <c r="H662" s="11" t="s">
        <v>2563</v>
      </c>
      <c r="I662" s="12">
        <v>45539</v>
      </c>
    </row>
    <row r="663" spans="1:9" x14ac:dyDescent="0.15">
      <c r="A663" s="9">
        <v>662</v>
      </c>
      <c r="B663" s="10" t="s">
        <v>9</v>
      </c>
      <c r="C663" s="11" t="s">
        <v>10</v>
      </c>
      <c r="D663" s="12">
        <v>45623</v>
      </c>
      <c r="E663" s="13" t="str">
        <f>+HYPERLINK("http://trademark.i-assist.jp/data/china/image_1913th/80753869.pdf","80753869")</f>
        <v>80753869</v>
      </c>
      <c r="F663" s="11" t="s">
        <v>438</v>
      </c>
      <c r="G663" s="11" t="s">
        <v>2564</v>
      </c>
      <c r="H663" s="11" t="s">
        <v>2565</v>
      </c>
      <c r="I663" s="12">
        <v>45539</v>
      </c>
    </row>
    <row r="664" spans="1:9" x14ac:dyDescent="0.15">
      <c r="A664" s="9">
        <v>663</v>
      </c>
      <c r="B664" s="10" t="s">
        <v>9</v>
      </c>
      <c r="C664" s="11" t="s">
        <v>10</v>
      </c>
      <c r="D664" s="12">
        <v>45623</v>
      </c>
      <c r="E664" s="13" t="str">
        <f>+HYPERLINK("http://trademark.i-assist.jp/data/china/image_1913th/80827240.pdf","80827240")</f>
        <v>80827240</v>
      </c>
      <c r="F664" s="11" t="s">
        <v>439</v>
      </c>
      <c r="G664" s="11" t="s">
        <v>222</v>
      </c>
      <c r="H664" s="11" t="s">
        <v>1914</v>
      </c>
      <c r="I664" s="12">
        <v>45544</v>
      </c>
    </row>
    <row r="665" spans="1:9" x14ac:dyDescent="0.15">
      <c r="A665" s="9">
        <v>664</v>
      </c>
      <c r="B665" s="10" t="s">
        <v>9</v>
      </c>
      <c r="C665" s="11" t="s">
        <v>10</v>
      </c>
      <c r="D665" s="12">
        <v>45623</v>
      </c>
      <c r="E665" s="13" t="str">
        <f>+HYPERLINK("http://trademark.i-assist.jp/data/china/image_1913th/80843648.pdf","80843648")</f>
        <v>80843648</v>
      </c>
      <c r="F665" s="11" t="s">
        <v>440</v>
      </c>
      <c r="G665" s="11" t="s">
        <v>1842</v>
      </c>
      <c r="H665" s="11" t="s">
        <v>1843</v>
      </c>
      <c r="I665" s="12">
        <v>45545</v>
      </c>
    </row>
    <row r="666" spans="1:9" x14ac:dyDescent="0.15">
      <c r="A666" s="9">
        <v>665</v>
      </c>
      <c r="B666" s="10" t="s">
        <v>9</v>
      </c>
      <c r="C666" s="11" t="s">
        <v>10</v>
      </c>
      <c r="D666" s="12">
        <v>45623</v>
      </c>
      <c r="E666" s="13" t="str">
        <f>+HYPERLINK("http://trademark.i-assist.jp/data/china/image_1913th/80855097.pdf","80855097")</f>
        <v>80855097</v>
      </c>
      <c r="F666" s="11" t="s">
        <v>441</v>
      </c>
      <c r="G666" s="11" t="s">
        <v>2566</v>
      </c>
      <c r="H666" s="11" t="s">
        <v>2567</v>
      </c>
      <c r="I666" s="12">
        <v>45545</v>
      </c>
    </row>
    <row r="667" spans="1:9" x14ac:dyDescent="0.15">
      <c r="A667" s="9">
        <v>666</v>
      </c>
      <c r="B667" s="10" t="s">
        <v>9</v>
      </c>
      <c r="C667" s="11" t="s">
        <v>10</v>
      </c>
      <c r="D667" s="12">
        <v>45623</v>
      </c>
      <c r="E667" s="13" t="str">
        <f>+HYPERLINK("http://trademark.i-assist.jp/data/china/image_1913th/80873431.pdf","80873431")</f>
        <v>80873431</v>
      </c>
      <c r="F667" s="11" t="s">
        <v>442</v>
      </c>
      <c r="G667" s="11" t="s">
        <v>2568</v>
      </c>
      <c r="H667" s="11" t="s">
        <v>2569</v>
      </c>
      <c r="I667" s="12">
        <v>45546</v>
      </c>
    </row>
    <row r="668" spans="1:9" x14ac:dyDescent="0.15">
      <c r="A668" s="9">
        <v>667</v>
      </c>
      <c r="B668" s="10" t="s">
        <v>9</v>
      </c>
      <c r="C668" s="11" t="s">
        <v>10</v>
      </c>
      <c r="D668" s="12">
        <v>45623</v>
      </c>
      <c r="E668" s="13" t="str">
        <f>+HYPERLINK("http://trademark.i-assist.jp/data/china/image_1913th/80885779.pdf","80885779")</f>
        <v>80885779</v>
      </c>
      <c r="F668" s="11" t="s">
        <v>2570</v>
      </c>
      <c r="G668" s="11" t="s">
        <v>2571</v>
      </c>
      <c r="H668" s="11" t="s">
        <v>2572</v>
      </c>
      <c r="I668" s="12">
        <v>45547</v>
      </c>
    </row>
    <row r="669" spans="1:9" x14ac:dyDescent="0.15">
      <c r="A669" s="9">
        <v>668</v>
      </c>
      <c r="B669" s="10" t="s">
        <v>9</v>
      </c>
      <c r="C669" s="11" t="s">
        <v>10</v>
      </c>
      <c r="D669" s="12">
        <v>45623</v>
      </c>
      <c r="E669" s="13" t="str">
        <f>+HYPERLINK("http://trademark.i-assist.jp/data/china/image_1913th/80891600.pdf","80891600")</f>
        <v>80891600</v>
      </c>
      <c r="F669" s="11" t="s">
        <v>443</v>
      </c>
      <c r="G669" s="11" t="s">
        <v>2573</v>
      </c>
      <c r="H669" s="11" t="s">
        <v>2574</v>
      </c>
      <c r="I669" s="12">
        <v>45547</v>
      </c>
    </row>
    <row r="670" spans="1:9" x14ac:dyDescent="0.15">
      <c r="A670" s="9">
        <v>669</v>
      </c>
      <c r="B670" s="10" t="s">
        <v>9</v>
      </c>
      <c r="C670" s="11" t="s">
        <v>10</v>
      </c>
      <c r="D670" s="12">
        <v>45623</v>
      </c>
      <c r="E670" s="13" t="str">
        <f>+HYPERLINK("http://trademark.i-assist.jp/data/china/image_1913th/80894706.pdf","80894706")</f>
        <v>80894706</v>
      </c>
      <c r="F670" s="11" t="s">
        <v>445</v>
      </c>
      <c r="G670" s="11" t="s">
        <v>444</v>
      </c>
      <c r="H670" s="11" t="s">
        <v>2575</v>
      </c>
      <c r="I670" s="12">
        <v>45547</v>
      </c>
    </row>
    <row r="671" spans="1:9" x14ac:dyDescent="0.15">
      <c r="A671" s="9">
        <v>670</v>
      </c>
      <c r="B671" s="10" t="s">
        <v>9</v>
      </c>
      <c r="C671" s="11" t="s">
        <v>10</v>
      </c>
      <c r="D671" s="12">
        <v>45623</v>
      </c>
      <c r="E671" s="13" t="str">
        <f>+HYPERLINK("http://trademark.i-assist.jp/data/china/image_1913th/80921391.pdf","80921391")</f>
        <v>80921391</v>
      </c>
      <c r="F671" s="11" t="s">
        <v>2576</v>
      </c>
      <c r="G671" s="11" t="s">
        <v>2117</v>
      </c>
      <c r="H671" s="11" t="s">
        <v>2118</v>
      </c>
      <c r="I671" s="12">
        <v>45548</v>
      </c>
    </row>
    <row r="672" spans="1:9" x14ac:dyDescent="0.15">
      <c r="A672" s="9">
        <v>671</v>
      </c>
      <c r="B672" s="10" t="s">
        <v>9</v>
      </c>
      <c r="C672" s="11" t="s">
        <v>10</v>
      </c>
      <c r="D672" s="12">
        <v>45623</v>
      </c>
      <c r="E672" s="13" t="str">
        <f>+HYPERLINK("http://trademark.i-assist.jp/data/china/image_1913th/80942798.pdf","80942798")</f>
        <v>80942798</v>
      </c>
      <c r="F672" s="11" t="s">
        <v>446</v>
      </c>
      <c r="G672" s="11" t="s">
        <v>2577</v>
      </c>
      <c r="H672" s="11" t="s">
        <v>2578</v>
      </c>
      <c r="I672" s="12">
        <v>45549</v>
      </c>
    </row>
    <row r="673" spans="1:9" x14ac:dyDescent="0.15">
      <c r="A673" s="9">
        <v>672</v>
      </c>
      <c r="B673" s="10" t="s">
        <v>9</v>
      </c>
      <c r="C673" s="11" t="s">
        <v>10</v>
      </c>
      <c r="D673" s="12">
        <v>45623</v>
      </c>
      <c r="E673" s="13" t="str">
        <f>+HYPERLINK("http://trademark.i-assist.jp/data/china/image_1913th/80949362.pdf","80949362")</f>
        <v>80949362</v>
      </c>
      <c r="F673" s="11" t="s">
        <v>2579</v>
      </c>
      <c r="G673" s="11" t="s">
        <v>2580</v>
      </c>
      <c r="H673" s="11" t="s">
        <v>1382</v>
      </c>
      <c r="I673" s="12">
        <v>45549</v>
      </c>
    </row>
    <row r="674" spans="1:9" x14ac:dyDescent="0.15">
      <c r="A674" s="9">
        <v>673</v>
      </c>
      <c r="B674" s="10" t="s">
        <v>9</v>
      </c>
      <c r="C674" s="11" t="s">
        <v>10</v>
      </c>
      <c r="D674" s="12">
        <v>45623</v>
      </c>
      <c r="E674" s="13" t="str">
        <f>+HYPERLINK("http://trademark.i-assist.jp/data/china/image_1913th/80951703.pdf","80951703")</f>
        <v>80951703</v>
      </c>
      <c r="F674" s="11" t="s">
        <v>2581</v>
      </c>
      <c r="G674" s="11" t="s">
        <v>200</v>
      </c>
      <c r="H674" s="11" t="s">
        <v>1851</v>
      </c>
      <c r="I674" s="12">
        <v>45549</v>
      </c>
    </row>
    <row r="675" spans="1:9" x14ac:dyDescent="0.15">
      <c r="A675" s="9">
        <v>674</v>
      </c>
      <c r="B675" s="10" t="s">
        <v>9</v>
      </c>
      <c r="C675" s="11" t="s">
        <v>10</v>
      </c>
      <c r="D675" s="12">
        <v>45623</v>
      </c>
      <c r="E675" s="13" t="str">
        <f>+HYPERLINK("http://trademark.i-assist.jp/data/china/image_1913th/80222701.pdf","80222701")</f>
        <v>80222701</v>
      </c>
      <c r="F675" s="11" t="s">
        <v>2582</v>
      </c>
      <c r="G675" s="11" t="s">
        <v>447</v>
      </c>
      <c r="H675" s="11" t="s">
        <v>1319</v>
      </c>
      <c r="I675" s="12">
        <v>45511</v>
      </c>
    </row>
    <row r="676" spans="1:9" x14ac:dyDescent="0.15">
      <c r="A676" s="9">
        <v>675</v>
      </c>
      <c r="B676" s="10" t="s">
        <v>9</v>
      </c>
      <c r="C676" s="11" t="s">
        <v>10</v>
      </c>
      <c r="D676" s="12">
        <v>45623</v>
      </c>
      <c r="E676" s="13" t="str">
        <f>+HYPERLINK("http://trademark.i-assist.jp/data/china/image_1913th/80265763.pdf","80265763")</f>
        <v>80265763</v>
      </c>
      <c r="F676" s="11" t="s">
        <v>448</v>
      </c>
      <c r="G676" s="11" t="s">
        <v>2583</v>
      </c>
      <c r="H676" s="11" t="s">
        <v>2584</v>
      </c>
      <c r="I676" s="12">
        <v>45512</v>
      </c>
    </row>
    <row r="677" spans="1:9" x14ac:dyDescent="0.15">
      <c r="A677" s="9">
        <v>676</v>
      </c>
      <c r="B677" s="10" t="s">
        <v>9</v>
      </c>
      <c r="C677" s="11" t="s">
        <v>10</v>
      </c>
      <c r="D677" s="12">
        <v>45623</v>
      </c>
      <c r="E677" s="13" t="str">
        <f>+HYPERLINK("http://trademark.i-assist.jp/data/china/image_1913th/80288034.pdf","80288034")</f>
        <v>80288034</v>
      </c>
      <c r="F677" s="11" t="s">
        <v>2585</v>
      </c>
      <c r="G677" s="11" t="s">
        <v>2586</v>
      </c>
      <c r="H677" s="11" t="s">
        <v>2587</v>
      </c>
      <c r="I677" s="12">
        <v>45513</v>
      </c>
    </row>
    <row r="678" spans="1:9" x14ac:dyDescent="0.15">
      <c r="A678" s="9">
        <v>677</v>
      </c>
      <c r="B678" s="10" t="s">
        <v>9</v>
      </c>
      <c r="C678" s="11" t="s">
        <v>10</v>
      </c>
      <c r="D678" s="12">
        <v>45623</v>
      </c>
      <c r="E678" s="13" t="str">
        <f>+HYPERLINK("http://trademark.i-assist.jp/data/china/image_1913th/80301193.pdf","80301193")</f>
        <v>80301193</v>
      </c>
      <c r="F678" s="11" t="s">
        <v>2588</v>
      </c>
      <c r="G678" s="11" t="s">
        <v>2589</v>
      </c>
      <c r="H678" s="11" t="s">
        <v>2590</v>
      </c>
      <c r="I678" s="12">
        <v>45516</v>
      </c>
    </row>
    <row r="679" spans="1:9" x14ac:dyDescent="0.15">
      <c r="A679" s="9">
        <v>678</v>
      </c>
      <c r="B679" s="10" t="s">
        <v>9</v>
      </c>
      <c r="C679" s="11" t="s">
        <v>10</v>
      </c>
      <c r="D679" s="12">
        <v>45623</v>
      </c>
      <c r="E679" s="13" t="str">
        <f>+HYPERLINK("http://trademark.i-assist.jp/data/china/image_1913th/80305302.pdf","80305302")</f>
        <v>80305302</v>
      </c>
      <c r="F679" s="11" t="s">
        <v>2591</v>
      </c>
      <c r="G679" s="11" t="s">
        <v>2592</v>
      </c>
      <c r="H679" s="11" t="s">
        <v>2593</v>
      </c>
      <c r="I679" s="12">
        <v>45516</v>
      </c>
    </row>
    <row r="680" spans="1:9" x14ac:dyDescent="0.15">
      <c r="A680" s="9">
        <v>679</v>
      </c>
      <c r="B680" s="10" t="s">
        <v>9</v>
      </c>
      <c r="C680" s="11" t="s">
        <v>10</v>
      </c>
      <c r="D680" s="12">
        <v>45623</v>
      </c>
      <c r="E680" s="13" t="str">
        <f>+HYPERLINK("http://trademark.i-assist.jp/data/china/image_1913th/80308583.pdf","80308583")</f>
        <v>80308583</v>
      </c>
      <c r="F680" s="11" t="s">
        <v>2594</v>
      </c>
      <c r="G680" s="11" t="s">
        <v>2595</v>
      </c>
      <c r="H680" s="11" t="s">
        <v>1731</v>
      </c>
      <c r="I680" s="12">
        <v>45516</v>
      </c>
    </row>
    <row r="681" spans="1:9" x14ac:dyDescent="0.15">
      <c r="A681" s="9">
        <v>680</v>
      </c>
      <c r="B681" s="10" t="s">
        <v>9</v>
      </c>
      <c r="C681" s="11" t="s">
        <v>10</v>
      </c>
      <c r="D681" s="12">
        <v>45623</v>
      </c>
      <c r="E681" s="13" t="str">
        <f>+HYPERLINK("http://trademark.i-assist.jp/data/china/image_1913th/80044392.pdf","80044392")</f>
        <v>80044392</v>
      </c>
      <c r="F681" s="11" t="s">
        <v>1335</v>
      </c>
      <c r="G681" s="11" t="s">
        <v>2596</v>
      </c>
      <c r="H681" s="11" t="s">
        <v>2597</v>
      </c>
      <c r="I681" s="12">
        <v>45501</v>
      </c>
    </row>
    <row r="682" spans="1:9" x14ac:dyDescent="0.15">
      <c r="A682" s="9">
        <v>681</v>
      </c>
      <c r="B682" s="10" t="s">
        <v>9</v>
      </c>
      <c r="C682" s="11" t="s">
        <v>10</v>
      </c>
      <c r="D682" s="12">
        <v>45623</v>
      </c>
      <c r="E682" s="13" t="str">
        <f>+HYPERLINK("http://trademark.i-assist.jp/data/china/image_1913th/80145974.pdf","80145974")</f>
        <v>80145974</v>
      </c>
      <c r="F682" s="11" t="s">
        <v>2598</v>
      </c>
      <c r="G682" s="11" t="s">
        <v>449</v>
      </c>
      <c r="H682" s="11" t="s">
        <v>1382</v>
      </c>
      <c r="I682" s="12">
        <v>45506</v>
      </c>
    </row>
    <row r="683" spans="1:9" x14ac:dyDescent="0.15">
      <c r="A683" s="9">
        <v>682</v>
      </c>
      <c r="B683" s="10" t="s">
        <v>9</v>
      </c>
      <c r="C683" s="11" t="s">
        <v>10</v>
      </c>
      <c r="D683" s="12">
        <v>45623</v>
      </c>
      <c r="E683" s="13" t="str">
        <f>+HYPERLINK("http://trademark.i-assist.jp/data/china/image_1913th/80181923.pdf","80181923")</f>
        <v>80181923</v>
      </c>
      <c r="F683" s="11" t="s">
        <v>2599</v>
      </c>
      <c r="G683" s="11" t="s">
        <v>2600</v>
      </c>
      <c r="H683" s="11" t="s">
        <v>2601</v>
      </c>
      <c r="I683" s="12">
        <v>45509</v>
      </c>
    </row>
    <row r="684" spans="1:9" x14ac:dyDescent="0.15">
      <c r="A684" s="9">
        <v>683</v>
      </c>
      <c r="B684" s="10" t="s">
        <v>9</v>
      </c>
      <c r="C684" s="11" t="s">
        <v>10</v>
      </c>
      <c r="D684" s="12">
        <v>45623</v>
      </c>
      <c r="E684" s="13" t="str">
        <f>+HYPERLINK("http://trademark.i-assist.jp/data/china/image_1913th/80187957.pdf","80187957")</f>
        <v>80187957</v>
      </c>
      <c r="F684" s="11" t="s">
        <v>451</v>
      </c>
      <c r="G684" s="11" t="s">
        <v>450</v>
      </c>
      <c r="H684" s="11" t="s">
        <v>1430</v>
      </c>
      <c r="I684" s="12">
        <v>45509</v>
      </c>
    </row>
    <row r="685" spans="1:9" x14ac:dyDescent="0.15">
      <c r="A685" s="9">
        <v>684</v>
      </c>
      <c r="B685" s="10" t="s">
        <v>9</v>
      </c>
      <c r="C685" s="11" t="s">
        <v>10</v>
      </c>
      <c r="D685" s="12">
        <v>45623</v>
      </c>
      <c r="E685" s="13" t="str">
        <f>+HYPERLINK("http://trademark.i-assist.jp/data/china/image_1913th/80188980.pdf","80188980")</f>
        <v>80188980</v>
      </c>
      <c r="F685" s="11" t="s">
        <v>2602</v>
      </c>
      <c r="G685" s="11" t="s">
        <v>2086</v>
      </c>
      <c r="H685" s="11" t="s">
        <v>2087</v>
      </c>
      <c r="I685" s="12">
        <v>45509</v>
      </c>
    </row>
    <row r="686" spans="1:9" x14ac:dyDescent="0.15">
      <c r="A686" s="9">
        <v>685</v>
      </c>
      <c r="B686" s="10" t="s">
        <v>9</v>
      </c>
      <c r="C686" s="11" t="s">
        <v>10</v>
      </c>
      <c r="D686" s="12">
        <v>45623</v>
      </c>
      <c r="E686" s="13" t="str">
        <f>+HYPERLINK("http://trademark.i-assist.jp/data/china/image_1913th/80757134.pdf","80757134")</f>
        <v>80757134</v>
      </c>
      <c r="F686" s="11" t="s">
        <v>452</v>
      </c>
      <c r="G686" s="11" t="s">
        <v>2603</v>
      </c>
      <c r="H686" s="11" t="s">
        <v>2604</v>
      </c>
      <c r="I686" s="12">
        <v>45540</v>
      </c>
    </row>
    <row r="687" spans="1:9" x14ac:dyDescent="0.15">
      <c r="A687" s="9">
        <v>686</v>
      </c>
      <c r="B687" s="10" t="s">
        <v>9</v>
      </c>
      <c r="C687" s="11" t="s">
        <v>10</v>
      </c>
      <c r="D687" s="12">
        <v>45623</v>
      </c>
      <c r="E687" s="13" t="str">
        <f>+HYPERLINK("http://trademark.i-assist.jp/data/china/image_1913th/80757390.pdf","80757390")</f>
        <v>80757390</v>
      </c>
      <c r="F687" s="11" t="s">
        <v>453</v>
      </c>
      <c r="G687" s="11" t="s">
        <v>2605</v>
      </c>
      <c r="H687" s="11" t="s">
        <v>2606</v>
      </c>
      <c r="I687" s="12">
        <v>45540</v>
      </c>
    </row>
    <row r="688" spans="1:9" x14ac:dyDescent="0.15">
      <c r="A688" s="9">
        <v>687</v>
      </c>
      <c r="B688" s="10" t="s">
        <v>9</v>
      </c>
      <c r="C688" s="11" t="s">
        <v>10</v>
      </c>
      <c r="D688" s="12">
        <v>45623</v>
      </c>
      <c r="E688" s="13" t="str">
        <f>+HYPERLINK("http://trademark.i-assist.jp/data/china/image_1913th/80758745.pdf","80758745")</f>
        <v>80758745</v>
      </c>
      <c r="F688" s="11" t="s">
        <v>454</v>
      </c>
      <c r="G688" s="11" t="s">
        <v>1988</v>
      </c>
      <c r="H688" s="11" t="s">
        <v>1989</v>
      </c>
      <c r="I688" s="12">
        <v>45540</v>
      </c>
    </row>
    <row r="689" spans="1:9" x14ac:dyDescent="0.15">
      <c r="A689" s="9">
        <v>688</v>
      </c>
      <c r="B689" s="10" t="s">
        <v>9</v>
      </c>
      <c r="C689" s="11" t="s">
        <v>10</v>
      </c>
      <c r="D689" s="12">
        <v>45623</v>
      </c>
      <c r="E689" s="13" t="str">
        <f>+HYPERLINK("http://trademark.i-assist.jp/data/china/image_1913th/80763663.pdf","80763663")</f>
        <v>80763663</v>
      </c>
      <c r="F689" s="11" t="s">
        <v>2607</v>
      </c>
      <c r="G689" s="11" t="s">
        <v>2608</v>
      </c>
      <c r="H689" s="11" t="s">
        <v>2609</v>
      </c>
      <c r="I689" s="12">
        <v>45540</v>
      </c>
    </row>
    <row r="690" spans="1:9" x14ac:dyDescent="0.15">
      <c r="A690" s="9">
        <v>689</v>
      </c>
      <c r="B690" s="10" t="s">
        <v>9</v>
      </c>
      <c r="C690" s="11" t="s">
        <v>10</v>
      </c>
      <c r="D690" s="12">
        <v>45623</v>
      </c>
      <c r="E690" s="13" t="str">
        <f>+HYPERLINK("http://trademark.i-assist.jp/data/china/image_1913th/80774079.pdf","80774079")</f>
        <v>80774079</v>
      </c>
      <c r="F690" s="11" t="s">
        <v>2610</v>
      </c>
      <c r="G690" s="11" t="s">
        <v>1986</v>
      </c>
      <c r="H690" s="11" t="s">
        <v>1567</v>
      </c>
      <c r="I690" s="12">
        <v>45540</v>
      </c>
    </row>
    <row r="691" spans="1:9" x14ac:dyDescent="0.15">
      <c r="A691" s="9">
        <v>690</v>
      </c>
      <c r="B691" s="10" t="s">
        <v>9</v>
      </c>
      <c r="C691" s="11" t="s">
        <v>10</v>
      </c>
      <c r="D691" s="12">
        <v>45623</v>
      </c>
      <c r="E691" s="13" t="str">
        <f>+HYPERLINK("http://trademark.i-assist.jp/data/china/image_1913th/80776197.pdf","80776197")</f>
        <v>80776197</v>
      </c>
      <c r="F691" s="11" t="s">
        <v>2611</v>
      </c>
      <c r="G691" s="11" t="s">
        <v>2612</v>
      </c>
      <c r="H691" s="11" t="s">
        <v>2613</v>
      </c>
      <c r="I691" s="12">
        <v>45540</v>
      </c>
    </row>
    <row r="692" spans="1:9" x14ac:dyDescent="0.15">
      <c r="A692" s="9">
        <v>691</v>
      </c>
      <c r="B692" s="10" t="s">
        <v>9</v>
      </c>
      <c r="C692" s="11" t="s">
        <v>10</v>
      </c>
      <c r="D692" s="12">
        <v>45623</v>
      </c>
      <c r="E692" s="13" t="str">
        <f>+HYPERLINK("http://trademark.i-assist.jp/data/china/image_1913th/80781638.pdf","80781638")</f>
        <v>80781638</v>
      </c>
      <c r="F692" s="11" t="s">
        <v>1458</v>
      </c>
      <c r="G692" s="11" t="s">
        <v>1459</v>
      </c>
      <c r="H692" s="11" t="s">
        <v>1460</v>
      </c>
      <c r="I692" s="12">
        <v>45541</v>
      </c>
    </row>
    <row r="693" spans="1:9" x14ac:dyDescent="0.15">
      <c r="A693" s="9">
        <v>692</v>
      </c>
      <c r="B693" s="10" t="s">
        <v>9</v>
      </c>
      <c r="C693" s="11" t="s">
        <v>10</v>
      </c>
      <c r="D693" s="12">
        <v>45623</v>
      </c>
      <c r="E693" s="13" t="str">
        <f>+HYPERLINK("http://trademark.i-assist.jp/data/china/image_1913th/80781637.pdf","80781637")</f>
        <v>80781637</v>
      </c>
      <c r="F693" s="11" t="s">
        <v>2614</v>
      </c>
      <c r="G693" s="11" t="s">
        <v>2615</v>
      </c>
      <c r="H693" s="11" t="s">
        <v>1666</v>
      </c>
      <c r="I693" s="12">
        <v>45541</v>
      </c>
    </row>
    <row r="694" spans="1:9" x14ac:dyDescent="0.15">
      <c r="A694" s="9">
        <v>693</v>
      </c>
      <c r="B694" s="10" t="s">
        <v>9</v>
      </c>
      <c r="C694" s="11" t="s">
        <v>10</v>
      </c>
      <c r="D694" s="12">
        <v>45623</v>
      </c>
      <c r="E694" s="13" t="str">
        <f>+HYPERLINK("http://trademark.i-assist.jp/data/china/image_1913th/80783488.pdf","80783488")</f>
        <v>80783488</v>
      </c>
      <c r="F694" s="11" t="s">
        <v>455</v>
      </c>
      <c r="G694" s="11" t="s">
        <v>2616</v>
      </c>
      <c r="H694" s="11" t="s">
        <v>2617</v>
      </c>
      <c r="I694" s="12">
        <v>45541</v>
      </c>
    </row>
    <row r="695" spans="1:9" x14ac:dyDescent="0.15">
      <c r="A695" s="9">
        <v>694</v>
      </c>
      <c r="B695" s="10" t="s">
        <v>9</v>
      </c>
      <c r="C695" s="11" t="s">
        <v>10</v>
      </c>
      <c r="D695" s="12">
        <v>45623</v>
      </c>
      <c r="E695" s="13" t="str">
        <f>+HYPERLINK("http://trademark.i-assist.jp/data/china/image_1913th/80784188.pdf","80784188")</f>
        <v>80784188</v>
      </c>
      <c r="F695" s="11" t="s">
        <v>456</v>
      </c>
      <c r="G695" s="11" t="s">
        <v>2618</v>
      </c>
      <c r="H695" s="11" t="s">
        <v>2619</v>
      </c>
      <c r="I695" s="12">
        <v>45541</v>
      </c>
    </row>
    <row r="696" spans="1:9" x14ac:dyDescent="0.15">
      <c r="A696" s="9">
        <v>695</v>
      </c>
      <c r="B696" s="10" t="s">
        <v>9</v>
      </c>
      <c r="C696" s="11" t="s">
        <v>10</v>
      </c>
      <c r="D696" s="12">
        <v>45623</v>
      </c>
      <c r="E696" s="13" t="str">
        <f>+HYPERLINK("http://trademark.i-assist.jp/data/china/image_1913th/80786918.pdf","80786918")</f>
        <v>80786918</v>
      </c>
      <c r="F696" s="11" t="s">
        <v>457</v>
      </c>
      <c r="G696" s="11" t="s">
        <v>2620</v>
      </c>
      <c r="H696" s="11" t="s">
        <v>2621</v>
      </c>
      <c r="I696" s="12">
        <v>45541</v>
      </c>
    </row>
    <row r="697" spans="1:9" x14ac:dyDescent="0.15">
      <c r="A697" s="9">
        <v>696</v>
      </c>
      <c r="B697" s="10" t="s">
        <v>9</v>
      </c>
      <c r="C697" s="11" t="s">
        <v>10</v>
      </c>
      <c r="D697" s="12">
        <v>45623</v>
      </c>
      <c r="E697" s="13" t="str">
        <f>+HYPERLINK("http://trademark.i-assist.jp/data/china/image_1913th/80791017.pdf","80791017")</f>
        <v>80791017</v>
      </c>
      <c r="F697" s="11" t="s">
        <v>2622</v>
      </c>
      <c r="G697" s="11" t="s">
        <v>458</v>
      </c>
      <c r="H697" s="11" t="s">
        <v>2623</v>
      </c>
      <c r="I697" s="12">
        <v>45541</v>
      </c>
    </row>
    <row r="698" spans="1:9" x14ac:dyDescent="0.15">
      <c r="A698" s="9">
        <v>697</v>
      </c>
      <c r="B698" s="10" t="s">
        <v>9</v>
      </c>
      <c r="C698" s="11" t="s">
        <v>10</v>
      </c>
      <c r="D698" s="12">
        <v>45623</v>
      </c>
      <c r="E698" s="13" t="str">
        <f>+HYPERLINK("http://trademark.i-assist.jp/data/china/image_1913th/80815934.pdf","80815934")</f>
        <v>80815934</v>
      </c>
      <c r="F698" s="11" t="s">
        <v>459</v>
      </c>
      <c r="G698" s="11" t="s">
        <v>2624</v>
      </c>
      <c r="H698" s="11" t="s">
        <v>2625</v>
      </c>
      <c r="I698" s="12">
        <v>45544</v>
      </c>
    </row>
    <row r="699" spans="1:9" x14ac:dyDescent="0.15">
      <c r="A699" s="9">
        <v>698</v>
      </c>
      <c r="B699" s="10" t="s">
        <v>9</v>
      </c>
      <c r="C699" s="11" t="s">
        <v>10</v>
      </c>
      <c r="D699" s="12">
        <v>45623</v>
      </c>
      <c r="E699" s="13" t="str">
        <f>+HYPERLINK("http://trademark.i-assist.jp/data/china/image_1913th/80822237.pdf","80822237")</f>
        <v>80822237</v>
      </c>
      <c r="F699" s="11" t="s">
        <v>2626</v>
      </c>
      <c r="G699" s="11" t="s">
        <v>2627</v>
      </c>
      <c r="H699" s="11" t="s">
        <v>2628</v>
      </c>
      <c r="I699" s="12">
        <v>45544</v>
      </c>
    </row>
    <row r="700" spans="1:9" x14ac:dyDescent="0.15">
      <c r="A700" s="9">
        <v>699</v>
      </c>
      <c r="B700" s="10" t="s">
        <v>9</v>
      </c>
      <c r="C700" s="11" t="s">
        <v>10</v>
      </c>
      <c r="D700" s="12">
        <v>45623</v>
      </c>
      <c r="E700" s="13" t="str">
        <f>+HYPERLINK("http://trademark.i-assist.jp/data/china/image_1913th/80684042.pdf","80684042")</f>
        <v>80684042</v>
      </c>
      <c r="F700" s="11" t="s">
        <v>2629</v>
      </c>
      <c r="G700" s="11" t="s">
        <v>2630</v>
      </c>
      <c r="H700" s="11" t="s">
        <v>1588</v>
      </c>
      <c r="I700" s="12">
        <v>45537</v>
      </c>
    </row>
    <row r="701" spans="1:9" x14ac:dyDescent="0.15">
      <c r="A701" s="9">
        <v>700</v>
      </c>
      <c r="B701" s="10" t="s">
        <v>9</v>
      </c>
      <c r="C701" s="11" t="s">
        <v>10</v>
      </c>
      <c r="D701" s="12">
        <v>45623</v>
      </c>
      <c r="E701" s="13" t="str">
        <f>+HYPERLINK("http://trademark.i-assist.jp/data/china/image_1913th/80686125.pdf","80686125")</f>
        <v>80686125</v>
      </c>
      <c r="F701" s="11" t="s">
        <v>2631</v>
      </c>
      <c r="G701" s="11" t="s">
        <v>2632</v>
      </c>
      <c r="H701" s="11" t="s">
        <v>1920</v>
      </c>
      <c r="I701" s="12">
        <v>45537</v>
      </c>
    </row>
    <row r="702" spans="1:9" x14ac:dyDescent="0.15">
      <c r="A702" s="9">
        <v>701</v>
      </c>
      <c r="B702" s="10" t="s">
        <v>9</v>
      </c>
      <c r="C702" s="11" t="s">
        <v>10</v>
      </c>
      <c r="D702" s="12">
        <v>45623</v>
      </c>
      <c r="E702" s="13" t="str">
        <f>+HYPERLINK("http://trademark.i-assist.jp/data/china/image_1913th/80689810.pdf","80689810")</f>
        <v>80689810</v>
      </c>
      <c r="F702" s="11" t="s">
        <v>461</v>
      </c>
      <c r="G702" s="11" t="s">
        <v>460</v>
      </c>
      <c r="H702" s="11" t="s">
        <v>1382</v>
      </c>
      <c r="I702" s="12">
        <v>45537</v>
      </c>
    </row>
    <row r="703" spans="1:9" x14ac:dyDescent="0.15">
      <c r="A703" s="9">
        <v>702</v>
      </c>
      <c r="B703" s="10" t="s">
        <v>9</v>
      </c>
      <c r="C703" s="11" t="s">
        <v>10</v>
      </c>
      <c r="D703" s="12">
        <v>45623</v>
      </c>
      <c r="E703" s="13" t="str">
        <f>+HYPERLINK("http://trademark.i-assist.jp/data/china/image_1913th/80693748.pdf","80693748")</f>
        <v>80693748</v>
      </c>
      <c r="F703" s="11" t="s">
        <v>462</v>
      </c>
      <c r="G703" s="11" t="s">
        <v>2633</v>
      </c>
      <c r="H703" s="11" t="s">
        <v>2634</v>
      </c>
      <c r="I703" s="12">
        <v>45537</v>
      </c>
    </row>
    <row r="704" spans="1:9" x14ac:dyDescent="0.15">
      <c r="A704" s="9">
        <v>703</v>
      </c>
      <c r="B704" s="10" t="s">
        <v>9</v>
      </c>
      <c r="C704" s="11" t="s">
        <v>10</v>
      </c>
      <c r="D704" s="12">
        <v>45623</v>
      </c>
      <c r="E704" s="13" t="str">
        <f>+HYPERLINK("http://trademark.i-assist.jp/data/china/image_1913th/80696037.pdf","80696037")</f>
        <v>80696037</v>
      </c>
      <c r="F704" s="11" t="s">
        <v>463</v>
      </c>
      <c r="G704" s="11" t="s">
        <v>2635</v>
      </c>
      <c r="H704" s="11" t="s">
        <v>2636</v>
      </c>
      <c r="I704" s="12">
        <v>45537</v>
      </c>
    </row>
    <row r="705" spans="1:9" x14ac:dyDescent="0.15">
      <c r="A705" s="9">
        <v>704</v>
      </c>
      <c r="B705" s="10" t="s">
        <v>9</v>
      </c>
      <c r="C705" s="11" t="s">
        <v>10</v>
      </c>
      <c r="D705" s="12">
        <v>45623</v>
      </c>
      <c r="E705" s="13" t="str">
        <f>+HYPERLINK("http://trademark.i-assist.jp/data/china/image_1913th/80696141.pdf","80696141")</f>
        <v>80696141</v>
      </c>
      <c r="F705" s="11" t="s">
        <v>464</v>
      </c>
      <c r="G705" s="11" t="s">
        <v>2637</v>
      </c>
      <c r="H705" s="11" t="s">
        <v>2638</v>
      </c>
      <c r="I705" s="12">
        <v>45537</v>
      </c>
    </row>
    <row r="706" spans="1:9" x14ac:dyDescent="0.15">
      <c r="A706" s="9">
        <v>705</v>
      </c>
      <c r="B706" s="10" t="s">
        <v>9</v>
      </c>
      <c r="C706" s="11" t="s">
        <v>10</v>
      </c>
      <c r="D706" s="12">
        <v>45623</v>
      </c>
      <c r="E706" s="13" t="str">
        <f>+HYPERLINK("http://trademark.i-assist.jp/data/china/image_1913th/80698281.pdf","80698281")</f>
        <v>80698281</v>
      </c>
      <c r="F706" s="11" t="s">
        <v>2639</v>
      </c>
      <c r="G706" s="11" t="s">
        <v>465</v>
      </c>
      <c r="H706" s="11" t="s">
        <v>2640</v>
      </c>
      <c r="I706" s="12">
        <v>45537</v>
      </c>
    </row>
    <row r="707" spans="1:9" x14ac:dyDescent="0.15">
      <c r="A707" s="9">
        <v>706</v>
      </c>
      <c r="B707" s="10" t="s">
        <v>9</v>
      </c>
      <c r="C707" s="11" t="s">
        <v>10</v>
      </c>
      <c r="D707" s="12">
        <v>45623</v>
      </c>
      <c r="E707" s="13" t="str">
        <f>+HYPERLINK("http://trademark.i-assist.jp/data/china/image_1913th/80699825.pdf","80699825")</f>
        <v>80699825</v>
      </c>
      <c r="F707" s="11" t="s">
        <v>466</v>
      </c>
      <c r="G707" s="11" t="s">
        <v>2641</v>
      </c>
      <c r="H707" s="11" t="s">
        <v>2642</v>
      </c>
      <c r="I707" s="12">
        <v>45537</v>
      </c>
    </row>
    <row r="708" spans="1:9" x14ac:dyDescent="0.15">
      <c r="A708" s="9">
        <v>707</v>
      </c>
      <c r="B708" s="10" t="s">
        <v>9</v>
      </c>
      <c r="C708" s="11" t="s">
        <v>10</v>
      </c>
      <c r="D708" s="12">
        <v>45623</v>
      </c>
      <c r="E708" s="13" t="str">
        <f>+HYPERLINK("http://trademark.i-assist.jp/data/china/image_1913th/80704588.pdf","80704588")</f>
        <v>80704588</v>
      </c>
      <c r="F708" s="11" t="s">
        <v>2643</v>
      </c>
      <c r="G708" s="11" t="s">
        <v>1407</v>
      </c>
      <c r="H708" s="11" t="s">
        <v>1408</v>
      </c>
      <c r="I708" s="12">
        <v>45537</v>
      </c>
    </row>
    <row r="709" spans="1:9" x14ac:dyDescent="0.15">
      <c r="A709" s="9">
        <v>708</v>
      </c>
      <c r="B709" s="10" t="s">
        <v>9</v>
      </c>
      <c r="C709" s="11" t="s">
        <v>10</v>
      </c>
      <c r="D709" s="12">
        <v>45623</v>
      </c>
      <c r="E709" s="13" t="str">
        <f>+HYPERLINK("http://trademark.i-assist.jp/data/china/image_1913th/68720292.pdf","68720292")</f>
        <v>68720292</v>
      </c>
      <c r="F709" s="11" t="s">
        <v>467</v>
      </c>
      <c r="G709" s="11" t="s">
        <v>1297</v>
      </c>
      <c r="H709" s="11" t="s">
        <v>1298</v>
      </c>
      <c r="I709" s="12">
        <v>44901</v>
      </c>
    </row>
    <row r="710" spans="1:9" x14ac:dyDescent="0.15">
      <c r="A710" s="9">
        <v>709</v>
      </c>
      <c r="B710" s="10" t="s">
        <v>9</v>
      </c>
      <c r="C710" s="11" t="s">
        <v>10</v>
      </c>
      <c r="D710" s="12">
        <v>45623</v>
      </c>
      <c r="E710" s="13" t="str">
        <f>+HYPERLINK("http://trademark.i-assist.jp/data/china/image_1913th/69585739.pdf","69585739")</f>
        <v>69585739</v>
      </c>
      <c r="F710" s="11" t="s">
        <v>468</v>
      </c>
      <c r="G710" s="11" t="s">
        <v>2644</v>
      </c>
      <c r="H710" s="11" t="s">
        <v>2645</v>
      </c>
      <c r="I710" s="12">
        <v>44972</v>
      </c>
    </row>
    <row r="711" spans="1:9" x14ac:dyDescent="0.15">
      <c r="A711" s="9">
        <v>710</v>
      </c>
      <c r="B711" s="10" t="s">
        <v>9</v>
      </c>
      <c r="C711" s="11" t="s">
        <v>10</v>
      </c>
      <c r="D711" s="12">
        <v>45623</v>
      </c>
      <c r="E711" s="13" t="str">
        <f>+HYPERLINK("http://trademark.i-assist.jp/data/china/image_1913th/74244686.pdf","74244686")</f>
        <v>74244686</v>
      </c>
      <c r="F711" s="11" t="s">
        <v>469</v>
      </c>
      <c r="G711" s="11" t="s">
        <v>401</v>
      </c>
      <c r="H711" s="11" t="s">
        <v>2459</v>
      </c>
      <c r="I711" s="12">
        <v>45191</v>
      </c>
    </row>
    <row r="712" spans="1:9" x14ac:dyDescent="0.15">
      <c r="A712" s="9">
        <v>711</v>
      </c>
      <c r="B712" s="10" t="s">
        <v>9</v>
      </c>
      <c r="C712" s="11" t="s">
        <v>10</v>
      </c>
      <c r="D712" s="12">
        <v>45623</v>
      </c>
      <c r="E712" s="13" t="str">
        <f>+HYPERLINK("http://trademark.i-assist.jp/data/china/image_1913th/74355312.pdf","74355312")</f>
        <v>74355312</v>
      </c>
      <c r="F712" s="11" t="s">
        <v>2646</v>
      </c>
      <c r="G712" s="11" t="s">
        <v>2647</v>
      </c>
      <c r="H712" s="11" t="s">
        <v>2648</v>
      </c>
      <c r="I712" s="12">
        <v>45197</v>
      </c>
    </row>
    <row r="713" spans="1:9" x14ac:dyDescent="0.15">
      <c r="A713" s="9">
        <v>712</v>
      </c>
      <c r="B713" s="10" t="s">
        <v>9</v>
      </c>
      <c r="C713" s="11" t="s">
        <v>10</v>
      </c>
      <c r="D713" s="12">
        <v>45623</v>
      </c>
      <c r="E713" s="13" t="str">
        <f>+HYPERLINK("http://trademark.i-assist.jp/data/china/image_1913th/74676109.pdf","74676109")</f>
        <v>74676109</v>
      </c>
      <c r="F713" s="11" t="s">
        <v>471</v>
      </c>
      <c r="G713" s="11" t="s">
        <v>470</v>
      </c>
      <c r="H713" s="11" t="s">
        <v>2649</v>
      </c>
      <c r="I713" s="12">
        <v>45218</v>
      </c>
    </row>
    <row r="714" spans="1:9" x14ac:dyDescent="0.15">
      <c r="A714" s="9">
        <v>713</v>
      </c>
      <c r="B714" s="10" t="s">
        <v>9</v>
      </c>
      <c r="C714" s="11" t="s">
        <v>10</v>
      </c>
      <c r="D714" s="12">
        <v>45623</v>
      </c>
      <c r="E714" s="13" t="str">
        <f>+HYPERLINK("http://trademark.i-assist.jp/data/china/image_1913th/75127713.pdf","75127713")</f>
        <v>75127713</v>
      </c>
      <c r="F714" s="11" t="s">
        <v>1335</v>
      </c>
      <c r="G714" s="11" t="s">
        <v>472</v>
      </c>
      <c r="H714" s="11" t="s">
        <v>2650</v>
      </c>
      <c r="I714" s="12">
        <v>45243</v>
      </c>
    </row>
    <row r="715" spans="1:9" x14ac:dyDescent="0.15">
      <c r="A715" s="9">
        <v>714</v>
      </c>
      <c r="B715" s="10" t="s">
        <v>9</v>
      </c>
      <c r="C715" s="11" t="s">
        <v>10</v>
      </c>
      <c r="D715" s="12">
        <v>45623</v>
      </c>
      <c r="E715" s="13" t="str">
        <f>+HYPERLINK("http://trademark.i-assist.jp/data/china/image_1913th/80611348.pdf","80611348")</f>
        <v>80611348</v>
      </c>
      <c r="F715" s="11" t="s">
        <v>2651</v>
      </c>
      <c r="G715" s="11" t="s">
        <v>2652</v>
      </c>
      <c r="H715" s="11" t="s">
        <v>2653</v>
      </c>
      <c r="I715" s="12">
        <v>45532</v>
      </c>
    </row>
    <row r="716" spans="1:9" x14ac:dyDescent="0.15">
      <c r="A716" s="9">
        <v>715</v>
      </c>
      <c r="B716" s="10" t="s">
        <v>9</v>
      </c>
      <c r="C716" s="11" t="s">
        <v>10</v>
      </c>
      <c r="D716" s="12">
        <v>45623</v>
      </c>
      <c r="E716" s="13" t="str">
        <f>+HYPERLINK("http://trademark.i-assist.jp/data/china/image_1913th/80615471.pdf","80615471")</f>
        <v>80615471</v>
      </c>
      <c r="F716" s="11" t="s">
        <v>473</v>
      </c>
      <c r="G716" s="11" t="s">
        <v>232</v>
      </c>
      <c r="H716" s="11" t="s">
        <v>1961</v>
      </c>
      <c r="I716" s="12">
        <v>45532</v>
      </c>
    </row>
    <row r="717" spans="1:9" x14ac:dyDescent="0.15">
      <c r="A717" s="9">
        <v>716</v>
      </c>
      <c r="B717" s="10" t="s">
        <v>9</v>
      </c>
      <c r="C717" s="11" t="s">
        <v>10</v>
      </c>
      <c r="D717" s="12">
        <v>45623</v>
      </c>
      <c r="E717" s="13" t="str">
        <f>+HYPERLINK("http://trademark.i-assist.jp/data/china/image_1913th/80636241.pdf","80636241")</f>
        <v>80636241</v>
      </c>
      <c r="F717" s="11" t="s">
        <v>2654</v>
      </c>
      <c r="G717" s="11" t="s">
        <v>2524</v>
      </c>
      <c r="H717" s="11" t="s">
        <v>2294</v>
      </c>
      <c r="I717" s="12">
        <v>45533</v>
      </c>
    </row>
    <row r="718" spans="1:9" x14ac:dyDescent="0.15">
      <c r="A718" s="9">
        <v>717</v>
      </c>
      <c r="B718" s="10" t="s">
        <v>9</v>
      </c>
      <c r="C718" s="11" t="s">
        <v>10</v>
      </c>
      <c r="D718" s="12">
        <v>45623</v>
      </c>
      <c r="E718" s="13" t="str">
        <f>+HYPERLINK("http://trademark.i-assist.jp/data/china/image_1913th/80636385.pdf","80636385")</f>
        <v>80636385</v>
      </c>
      <c r="F718" s="11" t="s">
        <v>474</v>
      </c>
      <c r="G718" s="11" t="s">
        <v>2655</v>
      </c>
      <c r="H718" s="11" t="s">
        <v>2656</v>
      </c>
      <c r="I718" s="12">
        <v>45533</v>
      </c>
    </row>
    <row r="719" spans="1:9" x14ac:dyDescent="0.15">
      <c r="A719" s="9">
        <v>718</v>
      </c>
      <c r="B719" s="10" t="s">
        <v>9</v>
      </c>
      <c r="C719" s="11" t="s">
        <v>10</v>
      </c>
      <c r="D719" s="12">
        <v>45623</v>
      </c>
      <c r="E719" s="13" t="str">
        <f>+HYPERLINK("http://trademark.i-assist.jp/data/china/image_1913th/80636580.pdf","80636580")</f>
        <v>80636580</v>
      </c>
      <c r="F719" s="11" t="s">
        <v>2657</v>
      </c>
      <c r="G719" s="11" t="s">
        <v>2658</v>
      </c>
      <c r="H719" s="11" t="s">
        <v>2659</v>
      </c>
      <c r="I719" s="12">
        <v>45533</v>
      </c>
    </row>
    <row r="720" spans="1:9" x14ac:dyDescent="0.15">
      <c r="A720" s="9">
        <v>719</v>
      </c>
      <c r="B720" s="10" t="s">
        <v>9</v>
      </c>
      <c r="C720" s="11" t="s">
        <v>10</v>
      </c>
      <c r="D720" s="12">
        <v>45623</v>
      </c>
      <c r="E720" s="13" t="str">
        <f>+HYPERLINK("http://trademark.i-assist.jp/data/china/image_1913th/80639690.pdf","80639690")</f>
        <v>80639690</v>
      </c>
      <c r="F720" s="11" t="s">
        <v>2660</v>
      </c>
      <c r="G720" s="11" t="s">
        <v>2661</v>
      </c>
      <c r="H720" s="11" t="s">
        <v>2344</v>
      </c>
      <c r="I720" s="12">
        <v>45533</v>
      </c>
    </row>
    <row r="721" spans="1:9" x14ac:dyDescent="0.15">
      <c r="A721" s="9">
        <v>720</v>
      </c>
      <c r="B721" s="10" t="s">
        <v>9</v>
      </c>
      <c r="C721" s="11" t="s">
        <v>10</v>
      </c>
      <c r="D721" s="12">
        <v>45623</v>
      </c>
      <c r="E721" s="13" t="str">
        <f>+HYPERLINK("http://trademark.i-assist.jp/data/china/image_1913th/80640261.pdf","80640261")</f>
        <v>80640261</v>
      </c>
      <c r="F721" s="11" t="s">
        <v>2662</v>
      </c>
      <c r="G721" s="11" t="s">
        <v>1625</v>
      </c>
      <c r="H721" s="11" t="s">
        <v>1626</v>
      </c>
      <c r="I721" s="12">
        <v>45533</v>
      </c>
    </row>
    <row r="722" spans="1:9" x14ac:dyDescent="0.15">
      <c r="A722" s="9">
        <v>721</v>
      </c>
      <c r="B722" s="10" t="s">
        <v>9</v>
      </c>
      <c r="C722" s="11" t="s">
        <v>10</v>
      </c>
      <c r="D722" s="12">
        <v>45623</v>
      </c>
      <c r="E722" s="13" t="str">
        <f>+HYPERLINK("http://trademark.i-assist.jp/data/china/image_1913th/80645933.pdf","80645933")</f>
        <v>80645933</v>
      </c>
      <c r="F722" s="11" t="s">
        <v>475</v>
      </c>
      <c r="G722" s="11" t="s">
        <v>289</v>
      </c>
      <c r="H722" s="11" t="s">
        <v>2145</v>
      </c>
      <c r="I722" s="12">
        <v>45533</v>
      </c>
    </row>
    <row r="723" spans="1:9" x14ac:dyDescent="0.15">
      <c r="A723" s="9">
        <v>722</v>
      </c>
      <c r="B723" s="10" t="s">
        <v>9</v>
      </c>
      <c r="C723" s="11" t="s">
        <v>10</v>
      </c>
      <c r="D723" s="12">
        <v>45623</v>
      </c>
      <c r="E723" s="13" t="str">
        <f>+HYPERLINK("http://trademark.i-assist.jp/data/china/image_1913th/80173818.pdf","80173818")</f>
        <v>80173818</v>
      </c>
      <c r="F723" s="11" t="s">
        <v>2663</v>
      </c>
      <c r="G723" s="11" t="s">
        <v>2664</v>
      </c>
      <c r="H723" s="11" t="s">
        <v>2665</v>
      </c>
      <c r="I723" s="12">
        <v>45509</v>
      </c>
    </row>
    <row r="724" spans="1:9" x14ac:dyDescent="0.15">
      <c r="A724" s="9">
        <v>723</v>
      </c>
      <c r="B724" s="10" t="s">
        <v>9</v>
      </c>
      <c r="C724" s="11" t="s">
        <v>10</v>
      </c>
      <c r="D724" s="12">
        <v>45623</v>
      </c>
      <c r="E724" s="13" t="str">
        <f>+HYPERLINK("http://trademark.i-assist.jp/data/china/image_1913th/80206576.pdf","80206576")</f>
        <v>80206576</v>
      </c>
      <c r="F724" s="11" t="s">
        <v>2666</v>
      </c>
      <c r="G724" s="11" t="s">
        <v>2667</v>
      </c>
      <c r="H724" s="11" t="s">
        <v>2668</v>
      </c>
      <c r="I724" s="12">
        <v>45510</v>
      </c>
    </row>
    <row r="725" spans="1:9" x14ac:dyDescent="0.15">
      <c r="A725" s="9">
        <v>724</v>
      </c>
      <c r="B725" s="10" t="s">
        <v>9</v>
      </c>
      <c r="C725" s="11" t="s">
        <v>10</v>
      </c>
      <c r="D725" s="12">
        <v>45623</v>
      </c>
      <c r="E725" s="13" t="str">
        <f>+HYPERLINK("http://trademark.i-assist.jp/data/china/image_1913th/80275813.pdf","80275813")</f>
        <v>80275813</v>
      </c>
      <c r="F725" s="11" t="s">
        <v>2669</v>
      </c>
      <c r="G725" s="11" t="s">
        <v>2670</v>
      </c>
      <c r="H725" s="11" t="s">
        <v>2671</v>
      </c>
      <c r="I725" s="12">
        <v>45513</v>
      </c>
    </row>
    <row r="726" spans="1:9" x14ac:dyDescent="0.15">
      <c r="A726" s="9">
        <v>725</v>
      </c>
      <c r="B726" s="10" t="s">
        <v>9</v>
      </c>
      <c r="C726" s="11" t="s">
        <v>10</v>
      </c>
      <c r="D726" s="12">
        <v>45623</v>
      </c>
      <c r="E726" s="13" t="str">
        <f>+HYPERLINK("http://trademark.i-assist.jp/data/china/image_1913th/80299953.pdf","80299953")</f>
        <v>80299953</v>
      </c>
      <c r="F726" s="11" t="s">
        <v>2672</v>
      </c>
      <c r="G726" s="11" t="s">
        <v>2673</v>
      </c>
      <c r="H726" s="11" t="s">
        <v>2674</v>
      </c>
      <c r="I726" s="12">
        <v>45516</v>
      </c>
    </row>
    <row r="727" spans="1:9" x14ac:dyDescent="0.15">
      <c r="A727" s="9">
        <v>726</v>
      </c>
      <c r="B727" s="10" t="s">
        <v>9</v>
      </c>
      <c r="C727" s="11" t="s">
        <v>10</v>
      </c>
      <c r="D727" s="12">
        <v>45623</v>
      </c>
      <c r="E727" s="13" t="str">
        <f>+HYPERLINK("http://trademark.i-assist.jp/data/china/image_1913th/80302029.pdf","80302029")</f>
        <v>80302029</v>
      </c>
      <c r="F727" s="11" t="s">
        <v>2675</v>
      </c>
      <c r="G727" s="11" t="s">
        <v>2676</v>
      </c>
      <c r="H727" s="11" t="s">
        <v>2677</v>
      </c>
      <c r="I727" s="12">
        <v>45516</v>
      </c>
    </row>
    <row r="728" spans="1:9" x14ac:dyDescent="0.15">
      <c r="A728" s="9">
        <v>727</v>
      </c>
      <c r="B728" s="10" t="s">
        <v>9</v>
      </c>
      <c r="C728" s="11" t="s">
        <v>10</v>
      </c>
      <c r="D728" s="12">
        <v>45623</v>
      </c>
      <c r="E728" s="13" t="str">
        <f>+HYPERLINK("http://trademark.i-assist.jp/data/china/image_1913th/80309165.pdf","80309165")</f>
        <v>80309165</v>
      </c>
      <c r="F728" s="11" t="s">
        <v>2678</v>
      </c>
      <c r="G728" s="11" t="s">
        <v>2592</v>
      </c>
      <c r="H728" s="11" t="s">
        <v>2593</v>
      </c>
      <c r="I728" s="12">
        <v>45516</v>
      </c>
    </row>
    <row r="729" spans="1:9" x14ac:dyDescent="0.15">
      <c r="A729" s="9">
        <v>728</v>
      </c>
      <c r="B729" s="10" t="s">
        <v>9</v>
      </c>
      <c r="C729" s="11" t="s">
        <v>10</v>
      </c>
      <c r="D729" s="12">
        <v>45623</v>
      </c>
      <c r="E729" s="13" t="str">
        <f>+HYPERLINK("http://trademark.i-assist.jp/data/china/image_1913th/80792376.pdf","80792376")</f>
        <v>80792376</v>
      </c>
      <c r="F729" s="11" t="s">
        <v>476</v>
      </c>
      <c r="G729" s="11" t="s">
        <v>2679</v>
      </c>
      <c r="H729" s="11" t="s">
        <v>2680</v>
      </c>
      <c r="I729" s="12">
        <v>45541</v>
      </c>
    </row>
    <row r="730" spans="1:9" x14ac:dyDescent="0.15">
      <c r="A730" s="9">
        <v>729</v>
      </c>
      <c r="B730" s="10" t="s">
        <v>9</v>
      </c>
      <c r="C730" s="11" t="s">
        <v>10</v>
      </c>
      <c r="D730" s="12">
        <v>45623</v>
      </c>
      <c r="E730" s="13" t="str">
        <f>+HYPERLINK("http://trademark.i-assist.jp/data/china/image_1913th/80794243.pdf","80794243")</f>
        <v>80794243</v>
      </c>
      <c r="F730" s="11" t="s">
        <v>1458</v>
      </c>
      <c r="G730" s="11" t="s">
        <v>1459</v>
      </c>
      <c r="H730" s="11" t="s">
        <v>1460</v>
      </c>
      <c r="I730" s="12">
        <v>45541</v>
      </c>
    </row>
    <row r="731" spans="1:9" x14ac:dyDescent="0.15">
      <c r="A731" s="9">
        <v>730</v>
      </c>
      <c r="B731" s="10" t="s">
        <v>9</v>
      </c>
      <c r="C731" s="11" t="s">
        <v>10</v>
      </c>
      <c r="D731" s="12">
        <v>45623</v>
      </c>
      <c r="E731" s="13" t="str">
        <f>+HYPERLINK("http://trademark.i-assist.jp/data/china/image_1913th/80798948.pdf","80798948")</f>
        <v>80798948</v>
      </c>
      <c r="F731" s="11" t="s">
        <v>2681</v>
      </c>
      <c r="G731" s="11" t="s">
        <v>2682</v>
      </c>
      <c r="H731" s="11" t="s">
        <v>2683</v>
      </c>
      <c r="I731" s="12">
        <v>45541</v>
      </c>
    </row>
    <row r="732" spans="1:9" x14ac:dyDescent="0.15">
      <c r="A732" s="9">
        <v>731</v>
      </c>
      <c r="B732" s="10" t="s">
        <v>9</v>
      </c>
      <c r="C732" s="11" t="s">
        <v>10</v>
      </c>
      <c r="D732" s="12">
        <v>45623</v>
      </c>
      <c r="E732" s="13" t="str">
        <f>+HYPERLINK("http://trademark.i-assist.jp/data/china/image_1913th/80811944.pdf","80811944")</f>
        <v>80811944</v>
      </c>
      <c r="F732" s="11" t="s">
        <v>2684</v>
      </c>
      <c r="G732" s="11" t="s">
        <v>2685</v>
      </c>
      <c r="H732" s="11" t="s">
        <v>2686</v>
      </c>
      <c r="I732" s="12">
        <v>45544</v>
      </c>
    </row>
    <row r="733" spans="1:9" x14ac:dyDescent="0.15">
      <c r="A733" s="9">
        <v>732</v>
      </c>
      <c r="B733" s="10" t="s">
        <v>9</v>
      </c>
      <c r="C733" s="11" t="s">
        <v>10</v>
      </c>
      <c r="D733" s="12">
        <v>45623</v>
      </c>
      <c r="E733" s="13" t="str">
        <f>+HYPERLINK("http://trademark.i-assist.jp/data/china/image_1913th/80820107.pdf","80820107")</f>
        <v>80820107</v>
      </c>
      <c r="F733" s="11" t="s">
        <v>477</v>
      </c>
      <c r="G733" s="11" t="s">
        <v>2687</v>
      </c>
      <c r="H733" s="11" t="s">
        <v>2415</v>
      </c>
      <c r="I733" s="12">
        <v>45544</v>
      </c>
    </row>
    <row r="734" spans="1:9" x14ac:dyDescent="0.15">
      <c r="A734" s="9">
        <v>733</v>
      </c>
      <c r="B734" s="10" t="s">
        <v>9</v>
      </c>
      <c r="C734" s="11" t="s">
        <v>10</v>
      </c>
      <c r="D734" s="12">
        <v>45623</v>
      </c>
      <c r="E734" s="13" t="str">
        <f>+HYPERLINK("http://trademark.i-assist.jp/data/china/image_1913th/80822233.pdf","80822233")</f>
        <v>80822233</v>
      </c>
      <c r="F734" s="11" t="s">
        <v>478</v>
      </c>
      <c r="G734" s="11" t="s">
        <v>2688</v>
      </c>
      <c r="H734" s="11" t="s">
        <v>2689</v>
      </c>
      <c r="I734" s="12">
        <v>45544</v>
      </c>
    </row>
    <row r="735" spans="1:9" x14ac:dyDescent="0.15">
      <c r="A735" s="9">
        <v>734</v>
      </c>
      <c r="B735" s="10" t="s">
        <v>9</v>
      </c>
      <c r="C735" s="11" t="s">
        <v>10</v>
      </c>
      <c r="D735" s="12">
        <v>45623</v>
      </c>
      <c r="E735" s="13" t="str">
        <f>+HYPERLINK("http://trademark.i-assist.jp/data/china/image_1913th/80914073.pdf","80914073")</f>
        <v>80914073</v>
      </c>
      <c r="F735" s="11" t="s">
        <v>2690</v>
      </c>
      <c r="G735" s="11" t="s">
        <v>2691</v>
      </c>
      <c r="H735" s="11" t="s">
        <v>2692</v>
      </c>
      <c r="I735" s="12">
        <v>45547</v>
      </c>
    </row>
    <row r="736" spans="1:9" x14ac:dyDescent="0.15">
      <c r="A736" s="9">
        <v>735</v>
      </c>
      <c r="B736" s="10" t="s">
        <v>9</v>
      </c>
      <c r="C736" s="11" t="s">
        <v>10</v>
      </c>
      <c r="D736" s="12">
        <v>45623</v>
      </c>
      <c r="E736" s="13" t="str">
        <f>+HYPERLINK("http://trademark.i-assist.jp/data/china/image_1913th/80914912.pdf","80914912")</f>
        <v>80914912</v>
      </c>
      <c r="F736" s="11" t="s">
        <v>2693</v>
      </c>
      <c r="G736" s="11" t="s">
        <v>479</v>
      </c>
      <c r="H736" s="11" t="s">
        <v>2694</v>
      </c>
      <c r="I736" s="12">
        <v>45547</v>
      </c>
    </row>
    <row r="737" spans="1:9" x14ac:dyDescent="0.15">
      <c r="A737" s="9">
        <v>736</v>
      </c>
      <c r="B737" s="10" t="s">
        <v>9</v>
      </c>
      <c r="C737" s="11" t="s">
        <v>10</v>
      </c>
      <c r="D737" s="12">
        <v>45623</v>
      </c>
      <c r="E737" s="13" t="str">
        <f>+HYPERLINK("http://trademark.i-assist.jp/data/china/image_1913th/80918725.pdf","80918725")</f>
        <v>80918725</v>
      </c>
      <c r="F737" s="11" t="s">
        <v>2695</v>
      </c>
      <c r="G737" s="11" t="s">
        <v>2696</v>
      </c>
      <c r="H737" s="11" t="s">
        <v>2697</v>
      </c>
      <c r="I737" s="12">
        <v>45548</v>
      </c>
    </row>
    <row r="738" spans="1:9" x14ac:dyDescent="0.15">
      <c r="A738" s="9">
        <v>737</v>
      </c>
      <c r="B738" s="10" t="s">
        <v>9</v>
      </c>
      <c r="C738" s="11" t="s">
        <v>10</v>
      </c>
      <c r="D738" s="12">
        <v>45623</v>
      </c>
      <c r="E738" s="13" t="str">
        <f>+HYPERLINK("http://trademark.i-assist.jp/data/china/image_1913th/80924210.pdf","80924210")</f>
        <v>80924210</v>
      </c>
      <c r="F738" s="11" t="s">
        <v>2698</v>
      </c>
      <c r="G738" s="11" t="s">
        <v>2699</v>
      </c>
      <c r="H738" s="11" t="s">
        <v>2700</v>
      </c>
      <c r="I738" s="12">
        <v>45548</v>
      </c>
    </row>
    <row r="739" spans="1:9" x14ac:dyDescent="0.15">
      <c r="A739" s="9">
        <v>738</v>
      </c>
      <c r="B739" s="10" t="s">
        <v>9</v>
      </c>
      <c r="C739" s="11" t="s">
        <v>10</v>
      </c>
      <c r="D739" s="12">
        <v>45623</v>
      </c>
      <c r="E739" s="13" t="str">
        <f>+HYPERLINK("http://trademark.i-assist.jp/data/china/image_1913th/80943671.pdf","80943671")</f>
        <v>80943671</v>
      </c>
      <c r="F739" s="11" t="s">
        <v>2701</v>
      </c>
      <c r="G739" s="11" t="s">
        <v>2702</v>
      </c>
      <c r="H739" s="11" t="s">
        <v>2703</v>
      </c>
      <c r="I739" s="12">
        <v>45549</v>
      </c>
    </row>
    <row r="740" spans="1:9" x14ac:dyDescent="0.15">
      <c r="A740" s="9">
        <v>739</v>
      </c>
      <c r="B740" s="10" t="s">
        <v>9</v>
      </c>
      <c r="C740" s="11" t="s">
        <v>10</v>
      </c>
      <c r="D740" s="12">
        <v>45623</v>
      </c>
      <c r="E740" s="13" t="str">
        <f>+HYPERLINK("http://trademark.i-assist.jp/data/china/image_1913th/80948065.pdf","80948065")</f>
        <v>80948065</v>
      </c>
      <c r="F740" s="11" t="s">
        <v>480</v>
      </c>
      <c r="G740" s="11" t="s">
        <v>2704</v>
      </c>
      <c r="H740" s="11" t="s">
        <v>2705</v>
      </c>
      <c r="I740" s="12">
        <v>45549</v>
      </c>
    </row>
    <row r="741" spans="1:9" x14ac:dyDescent="0.15">
      <c r="A741" s="9">
        <v>740</v>
      </c>
      <c r="B741" s="10" t="s">
        <v>9</v>
      </c>
      <c r="C741" s="11" t="s">
        <v>10</v>
      </c>
      <c r="D741" s="12">
        <v>45623</v>
      </c>
      <c r="E741" s="13" t="str">
        <f>+HYPERLINK("http://trademark.i-assist.jp/data/china/image_1913th/80972862.pdf","80972862")</f>
        <v>80972862</v>
      </c>
      <c r="F741" s="11" t="s">
        <v>481</v>
      </c>
      <c r="G741" s="11" t="s">
        <v>2706</v>
      </c>
      <c r="H741" s="11" t="s">
        <v>2707</v>
      </c>
      <c r="I741" s="12">
        <v>45553</v>
      </c>
    </row>
    <row r="742" spans="1:9" x14ac:dyDescent="0.15">
      <c r="A742" s="9">
        <v>741</v>
      </c>
      <c r="B742" s="10" t="s">
        <v>9</v>
      </c>
      <c r="C742" s="11" t="s">
        <v>10</v>
      </c>
      <c r="D742" s="12">
        <v>45623</v>
      </c>
      <c r="E742" s="13" t="str">
        <f>+HYPERLINK("http://trademark.i-assist.jp/data/china/image_1913th/80756786.pdf","80756786")</f>
        <v>80756786</v>
      </c>
      <c r="F742" s="11" t="s">
        <v>482</v>
      </c>
      <c r="G742" s="11" t="s">
        <v>2708</v>
      </c>
      <c r="H742" s="11" t="s">
        <v>2709</v>
      </c>
      <c r="I742" s="12">
        <v>45540</v>
      </c>
    </row>
    <row r="743" spans="1:9" x14ac:dyDescent="0.15">
      <c r="A743" s="9">
        <v>742</v>
      </c>
      <c r="B743" s="10" t="s">
        <v>9</v>
      </c>
      <c r="C743" s="11" t="s">
        <v>10</v>
      </c>
      <c r="D743" s="12">
        <v>45623</v>
      </c>
      <c r="E743" s="13" t="str">
        <f>+HYPERLINK("http://trademark.i-assist.jp/data/china/image_1913th/80757140.pdf","80757140")</f>
        <v>80757140</v>
      </c>
      <c r="F743" s="11" t="s">
        <v>484</v>
      </c>
      <c r="G743" s="11" t="s">
        <v>483</v>
      </c>
      <c r="H743" s="11" t="s">
        <v>2710</v>
      </c>
      <c r="I743" s="12">
        <v>45540</v>
      </c>
    </row>
    <row r="744" spans="1:9" x14ac:dyDescent="0.15">
      <c r="A744" s="9">
        <v>743</v>
      </c>
      <c r="B744" s="10" t="s">
        <v>9</v>
      </c>
      <c r="C744" s="11" t="s">
        <v>10</v>
      </c>
      <c r="D744" s="12">
        <v>45623</v>
      </c>
      <c r="E744" s="13" t="str">
        <f>+HYPERLINK("http://trademark.i-assist.jp/data/china/image_1913th/80761224.pdf","80761224")</f>
        <v>80761224</v>
      </c>
      <c r="F744" s="11" t="s">
        <v>485</v>
      </c>
      <c r="G744" s="11" t="s">
        <v>2711</v>
      </c>
      <c r="H744" s="11" t="s">
        <v>2712</v>
      </c>
      <c r="I744" s="12">
        <v>45540</v>
      </c>
    </row>
    <row r="745" spans="1:9" x14ac:dyDescent="0.15">
      <c r="A745" s="9">
        <v>744</v>
      </c>
      <c r="B745" s="10" t="s">
        <v>9</v>
      </c>
      <c r="C745" s="11" t="s">
        <v>10</v>
      </c>
      <c r="D745" s="12">
        <v>45623</v>
      </c>
      <c r="E745" s="13" t="str">
        <f>+HYPERLINK("http://trademark.i-assist.jp/data/china/image_1913th/80767596.pdf","80767596")</f>
        <v>80767596</v>
      </c>
      <c r="F745" s="11" t="s">
        <v>1335</v>
      </c>
      <c r="G745" s="11" t="s">
        <v>2713</v>
      </c>
      <c r="H745" s="11" t="s">
        <v>2714</v>
      </c>
      <c r="I745" s="12">
        <v>45540</v>
      </c>
    </row>
    <row r="746" spans="1:9" x14ac:dyDescent="0.15">
      <c r="A746" s="9">
        <v>745</v>
      </c>
      <c r="B746" s="10" t="s">
        <v>9</v>
      </c>
      <c r="C746" s="11" t="s">
        <v>10</v>
      </c>
      <c r="D746" s="12">
        <v>45623</v>
      </c>
      <c r="E746" s="13" t="str">
        <f>+HYPERLINK("http://trademark.i-assist.jp/data/china/image_1913th/80768835.pdf","80768835")</f>
        <v>80768835</v>
      </c>
      <c r="F746" s="11" t="s">
        <v>2715</v>
      </c>
      <c r="G746" s="11" t="s">
        <v>2716</v>
      </c>
      <c r="H746" s="11" t="s">
        <v>2717</v>
      </c>
      <c r="I746" s="12">
        <v>45540</v>
      </c>
    </row>
    <row r="747" spans="1:9" x14ac:dyDescent="0.15">
      <c r="A747" s="9">
        <v>746</v>
      </c>
      <c r="B747" s="10" t="s">
        <v>9</v>
      </c>
      <c r="C747" s="11" t="s">
        <v>10</v>
      </c>
      <c r="D747" s="12">
        <v>45623</v>
      </c>
      <c r="E747" s="13" t="str">
        <f>+HYPERLINK("http://trademark.i-assist.jp/data/china/image_1913th/80769833.pdf","80769833")</f>
        <v>80769833</v>
      </c>
      <c r="F747" s="11" t="s">
        <v>2718</v>
      </c>
      <c r="G747" s="11" t="s">
        <v>2296</v>
      </c>
      <c r="H747" s="11" t="s">
        <v>2719</v>
      </c>
      <c r="I747" s="12">
        <v>45540</v>
      </c>
    </row>
    <row r="748" spans="1:9" x14ac:dyDescent="0.15">
      <c r="A748" s="9">
        <v>747</v>
      </c>
      <c r="B748" s="10" t="s">
        <v>9</v>
      </c>
      <c r="C748" s="11" t="s">
        <v>10</v>
      </c>
      <c r="D748" s="12">
        <v>45623</v>
      </c>
      <c r="E748" s="13" t="str">
        <f>+HYPERLINK("http://trademark.i-assist.jp/data/china/image_1913th/80780635.pdf","80780635")</f>
        <v>80780635</v>
      </c>
      <c r="F748" s="11" t="s">
        <v>487</v>
      </c>
      <c r="G748" s="11" t="s">
        <v>486</v>
      </c>
      <c r="H748" s="11" t="s">
        <v>1725</v>
      </c>
      <c r="I748" s="12">
        <v>45541</v>
      </c>
    </row>
    <row r="749" spans="1:9" x14ac:dyDescent="0.15">
      <c r="A749" s="9">
        <v>748</v>
      </c>
      <c r="B749" s="10" t="s">
        <v>9</v>
      </c>
      <c r="C749" s="11" t="s">
        <v>10</v>
      </c>
      <c r="D749" s="12">
        <v>45623</v>
      </c>
      <c r="E749" s="13" t="str">
        <f>+HYPERLINK("http://trademark.i-assist.jp/data/china/image_1913th/80786312.pdf","80786312")</f>
        <v>80786312</v>
      </c>
      <c r="F749" s="11" t="s">
        <v>488</v>
      </c>
      <c r="G749" s="11" t="s">
        <v>1400</v>
      </c>
      <c r="H749" s="11" t="s">
        <v>1401</v>
      </c>
      <c r="I749" s="12">
        <v>45541</v>
      </c>
    </row>
    <row r="750" spans="1:9" x14ac:dyDescent="0.15">
      <c r="A750" s="9">
        <v>749</v>
      </c>
      <c r="B750" s="10" t="s">
        <v>9</v>
      </c>
      <c r="C750" s="11" t="s">
        <v>10</v>
      </c>
      <c r="D750" s="12">
        <v>45623</v>
      </c>
      <c r="E750" s="13" t="str">
        <f>+HYPERLINK("http://trademark.i-assist.jp/data/china/image_1913th/80786532.pdf","80786532")</f>
        <v>80786532</v>
      </c>
      <c r="F750" s="11" t="s">
        <v>2720</v>
      </c>
      <c r="G750" s="11" t="s">
        <v>1457</v>
      </c>
      <c r="H750" s="11" t="s">
        <v>1368</v>
      </c>
      <c r="I750" s="12">
        <v>45541</v>
      </c>
    </row>
    <row r="751" spans="1:9" x14ac:dyDescent="0.15">
      <c r="A751" s="9">
        <v>750</v>
      </c>
      <c r="B751" s="10" t="s">
        <v>9</v>
      </c>
      <c r="C751" s="11" t="s">
        <v>10</v>
      </c>
      <c r="D751" s="12">
        <v>45623</v>
      </c>
      <c r="E751" s="13" t="str">
        <f>+HYPERLINK("http://trademark.i-assist.jp/data/china/image_1913th/80786830.pdf","80786830")</f>
        <v>80786830</v>
      </c>
      <c r="F751" s="11" t="s">
        <v>489</v>
      </c>
      <c r="G751" s="11" t="s">
        <v>2721</v>
      </c>
      <c r="H751" s="11" t="s">
        <v>1923</v>
      </c>
      <c r="I751" s="12">
        <v>45541</v>
      </c>
    </row>
    <row r="752" spans="1:9" x14ac:dyDescent="0.15">
      <c r="A752" s="9">
        <v>751</v>
      </c>
      <c r="B752" s="10" t="s">
        <v>9</v>
      </c>
      <c r="C752" s="11" t="s">
        <v>10</v>
      </c>
      <c r="D752" s="12">
        <v>45623</v>
      </c>
      <c r="E752" s="13" t="str">
        <f>+HYPERLINK("http://trademark.i-assist.jp/data/china/image_1913th/80786921.pdf","80786921")</f>
        <v>80786921</v>
      </c>
      <c r="F752" s="11" t="s">
        <v>2722</v>
      </c>
      <c r="G752" s="11" t="s">
        <v>490</v>
      </c>
      <c r="H752" s="11" t="s">
        <v>2723</v>
      </c>
      <c r="I752" s="12">
        <v>45541</v>
      </c>
    </row>
    <row r="753" spans="1:9" x14ac:dyDescent="0.15">
      <c r="A753" s="9">
        <v>752</v>
      </c>
      <c r="B753" s="10" t="s">
        <v>9</v>
      </c>
      <c r="C753" s="11" t="s">
        <v>10</v>
      </c>
      <c r="D753" s="12">
        <v>45623</v>
      </c>
      <c r="E753" s="13" t="str">
        <f>+HYPERLINK("http://trademark.i-assist.jp/data/china/image_1913th/80657524.pdf","80657524")</f>
        <v>80657524</v>
      </c>
      <c r="F753" s="11" t="s">
        <v>2724</v>
      </c>
      <c r="G753" s="11" t="s">
        <v>2725</v>
      </c>
      <c r="H753" s="11" t="s">
        <v>2726</v>
      </c>
      <c r="I753" s="12">
        <v>45534</v>
      </c>
    </row>
    <row r="754" spans="1:9" x14ac:dyDescent="0.15">
      <c r="A754" s="9">
        <v>753</v>
      </c>
      <c r="B754" s="10" t="s">
        <v>9</v>
      </c>
      <c r="C754" s="11" t="s">
        <v>10</v>
      </c>
      <c r="D754" s="12">
        <v>45623</v>
      </c>
      <c r="E754" s="13" t="str">
        <f>+HYPERLINK("http://trademark.i-assist.jp/data/china/image_1913th/80831819.pdf","80831819")</f>
        <v>80831819</v>
      </c>
      <c r="F754" s="11" t="s">
        <v>2727</v>
      </c>
      <c r="G754" s="11" t="s">
        <v>198</v>
      </c>
      <c r="H754" s="11" t="s">
        <v>1666</v>
      </c>
      <c r="I754" s="12">
        <v>45544</v>
      </c>
    </row>
    <row r="755" spans="1:9" x14ac:dyDescent="0.15">
      <c r="A755" s="9">
        <v>754</v>
      </c>
      <c r="B755" s="10" t="s">
        <v>9</v>
      </c>
      <c r="C755" s="11" t="s">
        <v>10</v>
      </c>
      <c r="D755" s="12">
        <v>45623</v>
      </c>
      <c r="E755" s="13" t="str">
        <f>+HYPERLINK("http://trademark.i-assist.jp/data/china/image_1913th/80835425.pdf","80835425")</f>
        <v>80835425</v>
      </c>
      <c r="F755" s="11" t="s">
        <v>491</v>
      </c>
      <c r="G755" s="11" t="s">
        <v>2728</v>
      </c>
      <c r="H755" s="11" t="s">
        <v>1430</v>
      </c>
      <c r="I755" s="12">
        <v>45545</v>
      </c>
    </row>
    <row r="756" spans="1:9" x14ac:dyDescent="0.15">
      <c r="A756" s="9">
        <v>755</v>
      </c>
      <c r="B756" s="10" t="s">
        <v>9</v>
      </c>
      <c r="C756" s="11" t="s">
        <v>10</v>
      </c>
      <c r="D756" s="12">
        <v>45623</v>
      </c>
      <c r="E756" s="13" t="str">
        <f>+HYPERLINK("http://trademark.i-assist.jp/data/china/image_1913th/80844129.pdf","80844129")</f>
        <v>80844129</v>
      </c>
      <c r="F756" s="11" t="s">
        <v>492</v>
      </c>
      <c r="G756" s="11" t="s">
        <v>2729</v>
      </c>
      <c r="H756" s="11" t="s">
        <v>2420</v>
      </c>
      <c r="I756" s="12">
        <v>45545</v>
      </c>
    </row>
    <row r="757" spans="1:9" x14ac:dyDescent="0.15">
      <c r="A757" s="9">
        <v>756</v>
      </c>
      <c r="B757" s="10" t="s">
        <v>9</v>
      </c>
      <c r="C757" s="11" t="s">
        <v>10</v>
      </c>
      <c r="D757" s="12">
        <v>45623</v>
      </c>
      <c r="E757" s="13" t="str">
        <f>+HYPERLINK("http://trademark.i-assist.jp/data/china/image_1913th/80853981.pdf","80853981")</f>
        <v>80853981</v>
      </c>
      <c r="F757" s="11" t="s">
        <v>493</v>
      </c>
      <c r="G757" s="11" t="s">
        <v>2730</v>
      </c>
      <c r="H757" s="11" t="s">
        <v>2731</v>
      </c>
      <c r="I757" s="12">
        <v>45545</v>
      </c>
    </row>
    <row r="758" spans="1:9" x14ac:dyDescent="0.15">
      <c r="A758" s="9">
        <v>757</v>
      </c>
      <c r="B758" s="10" t="s">
        <v>9</v>
      </c>
      <c r="C758" s="11" t="s">
        <v>10</v>
      </c>
      <c r="D758" s="12">
        <v>45623</v>
      </c>
      <c r="E758" s="13" t="str">
        <f>+HYPERLINK("http://trademark.i-assist.jp/data/china/image_1913th/80871152.pdf","80871152")</f>
        <v>80871152</v>
      </c>
      <c r="F758" s="11" t="s">
        <v>2732</v>
      </c>
      <c r="G758" s="11" t="s">
        <v>2733</v>
      </c>
      <c r="H758" s="11" t="s">
        <v>1280</v>
      </c>
      <c r="I758" s="12">
        <v>45546</v>
      </c>
    </row>
    <row r="759" spans="1:9" x14ac:dyDescent="0.15">
      <c r="A759" s="9">
        <v>758</v>
      </c>
      <c r="B759" s="10" t="s">
        <v>9</v>
      </c>
      <c r="C759" s="11" t="s">
        <v>10</v>
      </c>
      <c r="D759" s="12">
        <v>45623</v>
      </c>
      <c r="E759" s="13" t="str">
        <f>+HYPERLINK("http://trademark.i-assist.jp/data/china/image_1913th/80882455.pdf","80882455")</f>
        <v>80882455</v>
      </c>
      <c r="F759" s="11" t="s">
        <v>2734</v>
      </c>
      <c r="G759" s="11" t="s">
        <v>494</v>
      </c>
      <c r="H759" s="11" t="s">
        <v>1302</v>
      </c>
      <c r="I759" s="12">
        <v>45547</v>
      </c>
    </row>
    <row r="760" spans="1:9" x14ac:dyDescent="0.15">
      <c r="A760" s="9">
        <v>759</v>
      </c>
      <c r="B760" s="10" t="s">
        <v>9</v>
      </c>
      <c r="C760" s="11" t="s">
        <v>10</v>
      </c>
      <c r="D760" s="12">
        <v>45623</v>
      </c>
      <c r="E760" s="13" t="str">
        <f>+HYPERLINK("http://trademark.i-assist.jp/data/china/image_1913th/80733621.pdf","80733621")</f>
        <v>80733621</v>
      </c>
      <c r="F760" s="11" t="s">
        <v>2735</v>
      </c>
      <c r="G760" s="11" t="s">
        <v>2155</v>
      </c>
      <c r="H760" s="11" t="s">
        <v>2156</v>
      </c>
      <c r="I760" s="12">
        <v>45539</v>
      </c>
    </row>
    <row r="761" spans="1:9" x14ac:dyDescent="0.15">
      <c r="A761" s="9">
        <v>760</v>
      </c>
      <c r="B761" s="10" t="s">
        <v>9</v>
      </c>
      <c r="C761" s="11" t="s">
        <v>10</v>
      </c>
      <c r="D761" s="12">
        <v>45623</v>
      </c>
      <c r="E761" s="13" t="str">
        <f>+HYPERLINK("http://trademark.i-assist.jp/data/china/image_1913th/80734670.pdf","80734670")</f>
        <v>80734670</v>
      </c>
      <c r="F761" s="11" t="s">
        <v>2736</v>
      </c>
      <c r="G761" s="11" t="s">
        <v>2737</v>
      </c>
      <c r="H761" s="11" t="s">
        <v>2738</v>
      </c>
      <c r="I761" s="12">
        <v>45539</v>
      </c>
    </row>
    <row r="762" spans="1:9" x14ac:dyDescent="0.15">
      <c r="A762" s="9">
        <v>761</v>
      </c>
      <c r="B762" s="10" t="s">
        <v>9</v>
      </c>
      <c r="C762" s="11" t="s">
        <v>10</v>
      </c>
      <c r="D762" s="12">
        <v>45623</v>
      </c>
      <c r="E762" s="13" t="str">
        <f>+HYPERLINK("http://trademark.i-assist.jp/data/china/image_1913th/80734887.pdf","80734887")</f>
        <v>80734887</v>
      </c>
      <c r="F762" s="11" t="s">
        <v>2739</v>
      </c>
      <c r="G762" s="11" t="s">
        <v>2740</v>
      </c>
      <c r="H762" s="11" t="s">
        <v>2741</v>
      </c>
      <c r="I762" s="12">
        <v>45539</v>
      </c>
    </row>
    <row r="763" spans="1:9" x14ac:dyDescent="0.15">
      <c r="A763" s="9">
        <v>762</v>
      </c>
      <c r="B763" s="10" t="s">
        <v>9</v>
      </c>
      <c r="C763" s="11" t="s">
        <v>10</v>
      </c>
      <c r="D763" s="12">
        <v>45623</v>
      </c>
      <c r="E763" s="13" t="str">
        <f>+HYPERLINK("http://trademark.i-assist.jp/data/china/image_1913th/80736139.pdf","80736139")</f>
        <v>80736139</v>
      </c>
      <c r="F763" s="11" t="s">
        <v>2742</v>
      </c>
      <c r="G763" s="11" t="s">
        <v>2743</v>
      </c>
      <c r="H763" s="11" t="s">
        <v>1588</v>
      </c>
      <c r="I763" s="12">
        <v>45539</v>
      </c>
    </row>
    <row r="764" spans="1:9" x14ac:dyDescent="0.15">
      <c r="A764" s="9">
        <v>763</v>
      </c>
      <c r="B764" s="10" t="s">
        <v>9</v>
      </c>
      <c r="C764" s="11" t="s">
        <v>10</v>
      </c>
      <c r="D764" s="12">
        <v>45623</v>
      </c>
      <c r="E764" s="13" t="str">
        <f>+HYPERLINK("http://trademark.i-assist.jp/data/china/image_1913th/80736787.pdf","80736787")</f>
        <v>80736787</v>
      </c>
      <c r="F764" s="11" t="s">
        <v>495</v>
      </c>
      <c r="G764" s="11" t="s">
        <v>2744</v>
      </c>
      <c r="H764" s="11" t="s">
        <v>1658</v>
      </c>
      <c r="I764" s="12">
        <v>45539</v>
      </c>
    </row>
    <row r="765" spans="1:9" x14ac:dyDescent="0.15">
      <c r="A765" s="9">
        <v>764</v>
      </c>
      <c r="B765" s="10" t="s">
        <v>9</v>
      </c>
      <c r="C765" s="11" t="s">
        <v>10</v>
      </c>
      <c r="D765" s="12">
        <v>45623</v>
      </c>
      <c r="E765" s="13" t="str">
        <f>+HYPERLINK("http://trademark.i-assist.jp/data/china/image_1913th/80739940.pdf","80739940")</f>
        <v>80739940</v>
      </c>
      <c r="F765" s="11" t="s">
        <v>1335</v>
      </c>
      <c r="G765" s="11" t="s">
        <v>2745</v>
      </c>
      <c r="H765" s="11" t="s">
        <v>2746</v>
      </c>
      <c r="I765" s="12">
        <v>45539</v>
      </c>
    </row>
    <row r="766" spans="1:9" x14ac:dyDescent="0.15">
      <c r="A766" s="9">
        <v>765</v>
      </c>
      <c r="B766" s="10" t="s">
        <v>9</v>
      </c>
      <c r="C766" s="11" t="s">
        <v>10</v>
      </c>
      <c r="D766" s="12">
        <v>45623</v>
      </c>
      <c r="E766" s="13" t="str">
        <f>+HYPERLINK("http://trademark.i-assist.jp/data/china/image_1913th/80741271.pdf","80741271")</f>
        <v>80741271</v>
      </c>
      <c r="F766" s="11" t="s">
        <v>496</v>
      </c>
      <c r="G766" s="11" t="s">
        <v>2747</v>
      </c>
      <c r="H766" s="11" t="s">
        <v>2748</v>
      </c>
      <c r="I766" s="12">
        <v>45539</v>
      </c>
    </row>
    <row r="767" spans="1:9" x14ac:dyDescent="0.15">
      <c r="A767" s="9">
        <v>766</v>
      </c>
      <c r="B767" s="10" t="s">
        <v>9</v>
      </c>
      <c r="C767" s="11" t="s">
        <v>10</v>
      </c>
      <c r="D767" s="12">
        <v>45623</v>
      </c>
      <c r="E767" s="13" t="str">
        <f>+HYPERLINK("http://trademark.i-assist.jp/data/china/image_1913th/80748774.pdf","80748774")</f>
        <v>80748774</v>
      </c>
      <c r="F767" s="11" t="s">
        <v>498</v>
      </c>
      <c r="G767" s="11" t="s">
        <v>497</v>
      </c>
      <c r="H767" s="11" t="s">
        <v>2749</v>
      </c>
      <c r="I767" s="12">
        <v>45539</v>
      </c>
    </row>
    <row r="768" spans="1:9" x14ac:dyDescent="0.15">
      <c r="A768" s="9">
        <v>767</v>
      </c>
      <c r="B768" s="10" t="s">
        <v>9</v>
      </c>
      <c r="C768" s="11" t="s">
        <v>10</v>
      </c>
      <c r="D768" s="12">
        <v>45623</v>
      </c>
      <c r="E768" s="13" t="str">
        <f>+HYPERLINK("http://trademark.i-assist.jp/data/china/image_1913th/80749395.pdf","80749395")</f>
        <v>80749395</v>
      </c>
      <c r="F768" s="11" t="s">
        <v>499</v>
      </c>
      <c r="G768" s="11" t="s">
        <v>1798</v>
      </c>
      <c r="H768" s="11" t="s">
        <v>1799</v>
      </c>
      <c r="I768" s="12">
        <v>45539</v>
      </c>
    </row>
    <row r="769" spans="1:9" x14ac:dyDescent="0.15">
      <c r="A769" s="9">
        <v>768</v>
      </c>
      <c r="B769" s="10" t="s">
        <v>9</v>
      </c>
      <c r="C769" s="11" t="s">
        <v>10</v>
      </c>
      <c r="D769" s="12">
        <v>45623</v>
      </c>
      <c r="E769" s="13" t="str">
        <f>+HYPERLINK("http://trademark.i-assist.jp/data/china/image_1913th/80750691.pdf","80750691")</f>
        <v>80750691</v>
      </c>
      <c r="F769" s="11" t="s">
        <v>500</v>
      </c>
      <c r="G769" s="11" t="s">
        <v>2750</v>
      </c>
      <c r="H769" s="11" t="s">
        <v>2751</v>
      </c>
      <c r="I769" s="12">
        <v>45539</v>
      </c>
    </row>
    <row r="770" spans="1:9" x14ac:dyDescent="0.15">
      <c r="A770" s="9">
        <v>769</v>
      </c>
      <c r="B770" s="10" t="s">
        <v>9</v>
      </c>
      <c r="C770" s="11" t="s">
        <v>10</v>
      </c>
      <c r="D770" s="12">
        <v>45623</v>
      </c>
      <c r="E770" s="13" t="str">
        <f>+HYPERLINK("http://trademark.i-assist.jp/data/china/image_1913th/80755487.pdf","80755487")</f>
        <v>80755487</v>
      </c>
      <c r="F770" s="11" t="s">
        <v>2752</v>
      </c>
      <c r="G770" s="11" t="s">
        <v>2753</v>
      </c>
      <c r="H770" s="11" t="s">
        <v>2754</v>
      </c>
      <c r="I770" s="12">
        <v>45540</v>
      </c>
    </row>
    <row r="771" spans="1:9" x14ac:dyDescent="0.15">
      <c r="A771" s="9">
        <v>770</v>
      </c>
      <c r="B771" s="10" t="s">
        <v>9</v>
      </c>
      <c r="C771" s="11" t="s">
        <v>10</v>
      </c>
      <c r="D771" s="12">
        <v>45623</v>
      </c>
      <c r="E771" s="13" t="str">
        <f>+HYPERLINK("http://trademark.i-assist.jp/data/china/image_1913th/80684051.pdf","80684051")</f>
        <v>80684051</v>
      </c>
      <c r="F771" s="11" t="s">
        <v>2755</v>
      </c>
      <c r="G771" s="11" t="s">
        <v>2756</v>
      </c>
      <c r="H771" s="11" t="s">
        <v>2757</v>
      </c>
      <c r="I771" s="12">
        <v>45537</v>
      </c>
    </row>
    <row r="772" spans="1:9" x14ac:dyDescent="0.15">
      <c r="A772" s="9">
        <v>771</v>
      </c>
      <c r="B772" s="10" t="s">
        <v>9</v>
      </c>
      <c r="C772" s="11" t="s">
        <v>10</v>
      </c>
      <c r="D772" s="12">
        <v>45623</v>
      </c>
      <c r="E772" s="13" t="str">
        <f>+HYPERLINK("http://trademark.i-assist.jp/data/china/image_1913th/80685830.pdf","80685830")</f>
        <v>80685830</v>
      </c>
      <c r="F772" s="11" t="s">
        <v>502</v>
      </c>
      <c r="G772" s="11" t="s">
        <v>501</v>
      </c>
      <c r="H772" s="11" t="s">
        <v>2758</v>
      </c>
      <c r="I772" s="12">
        <v>45537</v>
      </c>
    </row>
    <row r="773" spans="1:9" x14ac:dyDescent="0.15">
      <c r="A773" s="9">
        <v>772</v>
      </c>
      <c r="B773" s="10" t="s">
        <v>9</v>
      </c>
      <c r="C773" s="11" t="s">
        <v>10</v>
      </c>
      <c r="D773" s="12">
        <v>45623</v>
      </c>
      <c r="E773" s="13" t="str">
        <f>+HYPERLINK("http://trademark.i-assist.jp/data/china/image_1913th/80688102.pdf","80688102")</f>
        <v>80688102</v>
      </c>
      <c r="F773" s="11" t="s">
        <v>2759</v>
      </c>
      <c r="G773" s="11" t="s">
        <v>503</v>
      </c>
      <c r="H773" s="11" t="s">
        <v>2760</v>
      </c>
      <c r="I773" s="12">
        <v>45537</v>
      </c>
    </row>
    <row r="774" spans="1:9" x14ac:dyDescent="0.15">
      <c r="A774" s="9">
        <v>773</v>
      </c>
      <c r="B774" s="10" t="s">
        <v>9</v>
      </c>
      <c r="C774" s="11" t="s">
        <v>10</v>
      </c>
      <c r="D774" s="12">
        <v>45623</v>
      </c>
      <c r="E774" s="13" t="str">
        <f>+HYPERLINK("http://trademark.i-assist.jp/data/china/image_1913th/80689977.pdf","80689977")</f>
        <v>80689977</v>
      </c>
      <c r="F774" s="11" t="s">
        <v>504</v>
      </c>
      <c r="G774" s="11" t="s">
        <v>2761</v>
      </c>
      <c r="H774" s="11" t="s">
        <v>2762</v>
      </c>
      <c r="I774" s="12">
        <v>45537</v>
      </c>
    </row>
    <row r="775" spans="1:9" x14ac:dyDescent="0.15">
      <c r="A775" s="9">
        <v>774</v>
      </c>
      <c r="B775" s="10" t="s">
        <v>9</v>
      </c>
      <c r="C775" s="11" t="s">
        <v>10</v>
      </c>
      <c r="D775" s="12">
        <v>45623</v>
      </c>
      <c r="E775" s="13" t="str">
        <f>+HYPERLINK("http://trademark.i-assist.jp/data/china/image_1913th/80692058.pdf","80692058")</f>
        <v>80692058</v>
      </c>
      <c r="F775" s="11" t="s">
        <v>1335</v>
      </c>
      <c r="G775" s="11" t="s">
        <v>2763</v>
      </c>
      <c r="H775" s="11" t="s">
        <v>2764</v>
      </c>
      <c r="I775" s="12">
        <v>45537</v>
      </c>
    </row>
    <row r="776" spans="1:9" x14ac:dyDescent="0.15">
      <c r="A776" s="9">
        <v>775</v>
      </c>
      <c r="B776" s="10" t="s">
        <v>9</v>
      </c>
      <c r="C776" s="11" t="s">
        <v>10</v>
      </c>
      <c r="D776" s="12">
        <v>45623</v>
      </c>
      <c r="E776" s="13" t="str">
        <f>+HYPERLINK("http://trademark.i-assist.jp/data/china/image_1913th/80692355.pdf","80692355")</f>
        <v>80692355</v>
      </c>
      <c r="F776" s="11" t="s">
        <v>505</v>
      </c>
      <c r="G776" s="11" t="s">
        <v>1593</v>
      </c>
      <c r="H776" s="11" t="s">
        <v>1567</v>
      </c>
      <c r="I776" s="12">
        <v>45537</v>
      </c>
    </row>
    <row r="777" spans="1:9" x14ac:dyDescent="0.15">
      <c r="A777" s="9">
        <v>776</v>
      </c>
      <c r="B777" s="10" t="s">
        <v>9</v>
      </c>
      <c r="C777" s="11" t="s">
        <v>10</v>
      </c>
      <c r="D777" s="12">
        <v>45623</v>
      </c>
      <c r="E777" s="13" t="str">
        <f>+HYPERLINK("http://trademark.i-assist.jp/data/china/image_1913th/80696799.pdf","80696799")</f>
        <v>80696799</v>
      </c>
      <c r="F777" s="11" t="s">
        <v>2765</v>
      </c>
      <c r="G777" s="11" t="s">
        <v>506</v>
      </c>
      <c r="H777" s="11" t="s">
        <v>1592</v>
      </c>
      <c r="I777" s="12">
        <v>45537</v>
      </c>
    </row>
    <row r="778" spans="1:9" x14ac:dyDescent="0.15">
      <c r="A778" s="9">
        <v>777</v>
      </c>
      <c r="B778" s="10" t="s">
        <v>9</v>
      </c>
      <c r="C778" s="11" t="s">
        <v>10</v>
      </c>
      <c r="D778" s="12">
        <v>45623</v>
      </c>
      <c r="E778" s="13" t="str">
        <f>+HYPERLINK("http://trademark.i-assist.jp/data/china/image_1913th/80697272.pdf","80697272")</f>
        <v>80697272</v>
      </c>
      <c r="F778" s="11" t="s">
        <v>2766</v>
      </c>
      <c r="G778" s="11" t="s">
        <v>2767</v>
      </c>
      <c r="H778" s="11" t="s">
        <v>2768</v>
      </c>
      <c r="I778" s="12">
        <v>45537</v>
      </c>
    </row>
    <row r="779" spans="1:9" x14ac:dyDescent="0.15">
      <c r="A779" s="9">
        <v>778</v>
      </c>
      <c r="B779" s="10" t="s">
        <v>9</v>
      </c>
      <c r="C779" s="11" t="s">
        <v>10</v>
      </c>
      <c r="D779" s="12">
        <v>45623</v>
      </c>
      <c r="E779" s="13" t="str">
        <f>+HYPERLINK("http://trademark.i-assist.jp/data/china/image_1913th/80703477.pdf","80703477")</f>
        <v>80703477</v>
      </c>
      <c r="F779" s="11" t="s">
        <v>2769</v>
      </c>
      <c r="G779" s="11" t="s">
        <v>2770</v>
      </c>
      <c r="H779" s="11" t="s">
        <v>2771</v>
      </c>
      <c r="I779" s="12">
        <v>45537</v>
      </c>
    </row>
    <row r="780" spans="1:9" x14ac:dyDescent="0.15">
      <c r="A780" s="9">
        <v>779</v>
      </c>
      <c r="B780" s="10" t="s">
        <v>9</v>
      </c>
      <c r="C780" s="11" t="s">
        <v>10</v>
      </c>
      <c r="D780" s="12">
        <v>45623</v>
      </c>
      <c r="E780" s="13" t="str">
        <f>+HYPERLINK("http://trademark.i-assist.jp/data/china/image_1913th/79553541.pdf","79553541")</f>
        <v>79553541</v>
      </c>
      <c r="F780" s="11" t="s">
        <v>1335</v>
      </c>
      <c r="G780" s="11" t="s">
        <v>2772</v>
      </c>
      <c r="H780" s="11" t="s">
        <v>2773</v>
      </c>
      <c r="I780" s="12">
        <v>45475</v>
      </c>
    </row>
    <row r="781" spans="1:9" x14ac:dyDescent="0.15">
      <c r="A781" s="9">
        <v>780</v>
      </c>
      <c r="B781" s="10" t="s">
        <v>9</v>
      </c>
      <c r="C781" s="11" t="s">
        <v>10</v>
      </c>
      <c r="D781" s="12">
        <v>45623</v>
      </c>
      <c r="E781" s="13" t="str">
        <f>+HYPERLINK("http://trademark.i-assist.jp/data/china/image_1913th/79837583.pdf","79837583")</f>
        <v>79837583</v>
      </c>
      <c r="F781" s="11" t="s">
        <v>2774</v>
      </c>
      <c r="G781" s="11" t="s">
        <v>2775</v>
      </c>
      <c r="H781" s="11" t="s">
        <v>2776</v>
      </c>
      <c r="I781" s="12">
        <v>45490</v>
      </c>
    </row>
    <row r="782" spans="1:9" x14ac:dyDescent="0.15">
      <c r="A782" s="9">
        <v>781</v>
      </c>
      <c r="B782" s="10" t="s">
        <v>9</v>
      </c>
      <c r="C782" s="11" t="s">
        <v>10</v>
      </c>
      <c r="D782" s="12">
        <v>45623</v>
      </c>
      <c r="E782" s="13" t="str">
        <f>+HYPERLINK("http://trademark.i-assist.jp/data/china/image_1913th/79992622.pdf","79992622")</f>
        <v>79992622</v>
      </c>
      <c r="F782" s="11" t="s">
        <v>2777</v>
      </c>
      <c r="G782" s="11" t="s">
        <v>2778</v>
      </c>
      <c r="H782" s="11" t="s">
        <v>2779</v>
      </c>
      <c r="I782" s="12">
        <v>45498</v>
      </c>
    </row>
    <row r="783" spans="1:9" x14ac:dyDescent="0.15">
      <c r="A783" s="9">
        <v>782</v>
      </c>
      <c r="B783" s="10" t="s">
        <v>9</v>
      </c>
      <c r="C783" s="11" t="s">
        <v>10</v>
      </c>
      <c r="D783" s="12">
        <v>45623</v>
      </c>
      <c r="E783" s="13" t="str">
        <f>+HYPERLINK("http://trademark.i-assist.jp/data/china/image_1913th/80587422.pdf","80587422")</f>
        <v>80587422</v>
      </c>
      <c r="F783" s="11" t="s">
        <v>508</v>
      </c>
      <c r="G783" s="11" t="s">
        <v>507</v>
      </c>
      <c r="H783" s="11" t="s">
        <v>2780</v>
      </c>
      <c r="I783" s="12">
        <v>45531</v>
      </c>
    </row>
    <row r="784" spans="1:9" x14ac:dyDescent="0.15">
      <c r="A784" s="9">
        <v>783</v>
      </c>
      <c r="B784" s="10" t="s">
        <v>9</v>
      </c>
      <c r="C784" s="11" t="s">
        <v>10</v>
      </c>
      <c r="D784" s="12">
        <v>45623</v>
      </c>
      <c r="E784" s="13" t="str">
        <f>+HYPERLINK("http://trademark.i-assist.jp/data/china/image_1913th/80600337.pdf","80600337")</f>
        <v>80600337</v>
      </c>
      <c r="F784" s="11" t="s">
        <v>510</v>
      </c>
      <c r="G784" s="11" t="s">
        <v>509</v>
      </c>
      <c r="H784" s="11" t="s">
        <v>1963</v>
      </c>
      <c r="I784" s="12">
        <v>45531</v>
      </c>
    </row>
    <row r="785" spans="1:9" x14ac:dyDescent="0.15">
      <c r="A785" s="9">
        <v>784</v>
      </c>
      <c r="B785" s="10" t="s">
        <v>9</v>
      </c>
      <c r="C785" s="11" t="s">
        <v>10</v>
      </c>
      <c r="D785" s="12">
        <v>45623</v>
      </c>
      <c r="E785" s="13" t="str">
        <f>+HYPERLINK("http://trademark.i-assist.jp/data/china/image_1913th/80709945.pdf","80709945")</f>
        <v>80709945</v>
      </c>
      <c r="F785" s="11" t="s">
        <v>2781</v>
      </c>
      <c r="G785" s="11" t="s">
        <v>1947</v>
      </c>
      <c r="H785" s="11" t="s">
        <v>2782</v>
      </c>
      <c r="I785" s="12">
        <v>45538</v>
      </c>
    </row>
    <row r="786" spans="1:9" x14ac:dyDescent="0.15">
      <c r="A786" s="9">
        <v>785</v>
      </c>
      <c r="B786" s="10" t="s">
        <v>9</v>
      </c>
      <c r="C786" s="11" t="s">
        <v>10</v>
      </c>
      <c r="D786" s="12">
        <v>45623</v>
      </c>
      <c r="E786" s="13" t="str">
        <f>+HYPERLINK("http://trademark.i-assist.jp/data/china/image_1913th/80713076.pdf","80713076")</f>
        <v>80713076</v>
      </c>
      <c r="F786" s="11" t="s">
        <v>2783</v>
      </c>
      <c r="G786" s="11" t="s">
        <v>2784</v>
      </c>
      <c r="H786" s="11" t="s">
        <v>2785</v>
      </c>
      <c r="I786" s="12">
        <v>45538</v>
      </c>
    </row>
    <row r="787" spans="1:9" x14ac:dyDescent="0.15">
      <c r="A787" s="9">
        <v>786</v>
      </c>
      <c r="B787" s="10" t="s">
        <v>9</v>
      </c>
      <c r="C787" s="11" t="s">
        <v>10</v>
      </c>
      <c r="D787" s="12">
        <v>45623</v>
      </c>
      <c r="E787" s="13" t="str">
        <f>+HYPERLINK("http://trademark.i-assist.jp/data/china/image_1913th/80713563.pdf","80713563")</f>
        <v>80713563</v>
      </c>
      <c r="F787" s="11" t="s">
        <v>2786</v>
      </c>
      <c r="G787" s="11" t="s">
        <v>2787</v>
      </c>
      <c r="H787" s="11" t="s">
        <v>2788</v>
      </c>
      <c r="I787" s="12">
        <v>45538</v>
      </c>
    </row>
    <row r="788" spans="1:9" x14ac:dyDescent="0.15">
      <c r="A788" s="9">
        <v>787</v>
      </c>
      <c r="B788" s="10" t="s">
        <v>9</v>
      </c>
      <c r="C788" s="11" t="s">
        <v>10</v>
      </c>
      <c r="D788" s="12">
        <v>45623</v>
      </c>
      <c r="E788" s="13" t="str">
        <f>+HYPERLINK("http://trademark.i-assist.jp/data/china/image_1913th/80714057.pdf","80714057")</f>
        <v>80714057</v>
      </c>
      <c r="F788" s="11" t="s">
        <v>2789</v>
      </c>
      <c r="G788" s="11" t="s">
        <v>1942</v>
      </c>
      <c r="H788" s="11" t="s">
        <v>1423</v>
      </c>
      <c r="I788" s="12">
        <v>45538</v>
      </c>
    </row>
    <row r="789" spans="1:9" x14ac:dyDescent="0.15">
      <c r="A789" s="9">
        <v>788</v>
      </c>
      <c r="B789" s="10" t="s">
        <v>9</v>
      </c>
      <c r="C789" s="11" t="s">
        <v>10</v>
      </c>
      <c r="D789" s="12">
        <v>45623</v>
      </c>
      <c r="E789" s="13" t="str">
        <f>+HYPERLINK("http://trademark.i-assist.jp/data/china/image_1913th/80717172.pdf","80717172")</f>
        <v>80717172</v>
      </c>
      <c r="F789" s="11" t="s">
        <v>2790</v>
      </c>
      <c r="G789" s="11" t="s">
        <v>2791</v>
      </c>
      <c r="H789" s="11" t="s">
        <v>2792</v>
      </c>
      <c r="I789" s="12">
        <v>45538</v>
      </c>
    </row>
    <row r="790" spans="1:9" x14ac:dyDescent="0.15">
      <c r="A790" s="9">
        <v>789</v>
      </c>
      <c r="B790" s="10" t="s">
        <v>9</v>
      </c>
      <c r="C790" s="11" t="s">
        <v>10</v>
      </c>
      <c r="D790" s="12">
        <v>45623</v>
      </c>
      <c r="E790" s="13" t="str">
        <f>+HYPERLINK("http://trademark.i-assist.jp/data/china/image_1913th/80718026.pdf","80718026")</f>
        <v>80718026</v>
      </c>
      <c r="F790" s="11" t="s">
        <v>2793</v>
      </c>
      <c r="G790" s="11" t="s">
        <v>1942</v>
      </c>
      <c r="H790" s="11" t="s">
        <v>1423</v>
      </c>
      <c r="I790" s="12">
        <v>45538</v>
      </c>
    </row>
    <row r="791" spans="1:9" x14ac:dyDescent="0.15">
      <c r="A791" s="9">
        <v>790</v>
      </c>
      <c r="B791" s="10" t="s">
        <v>9</v>
      </c>
      <c r="C791" s="11" t="s">
        <v>10</v>
      </c>
      <c r="D791" s="12">
        <v>45623</v>
      </c>
      <c r="E791" s="13" t="str">
        <f>+HYPERLINK("http://trademark.i-assist.jp/data/china/image_1913th/80718941.pdf","80718941")</f>
        <v>80718941</v>
      </c>
      <c r="F791" s="11" t="s">
        <v>511</v>
      </c>
      <c r="G791" s="11" t="s">
        <v>2794</v>
      </c>
      <c r="H791" s="11" t="s">
        <v>2795</v>
      </c>
      <c r="I791" s="12">
        <v>45538</v>
      </c>
    </row>
    <row r="792" spans="1:9" x14ac:dyDescent="0.15">
      <c r="A792" s="9">
        <v>791</v>
      </c>
      <c r="B792" s="10" t="s">
        <v>9</v>
      </c>
      <c r="C792" s="11" t="s">
        <v>10</v>
      </c>
      <c r="D792" s="12">
        <v>45623</v>
      </c>
      <c r="E792" s="13" t="str">
        <f>+HYPERLINK("http://trademark.i-assist.jp/data/china/image_1913th/80719583.pdf","80719583")</f>
        <v>80719583</v>
      </c>
      <c r="F792" s="11" t="s">
        <v>2796</v>
      </c>
      <c r="G792" s="11" t="s">
        <v>2797</v>
      </c>
      <c r="H792" s="11" t="s">
        <v>2798</v>
      </c>
      <c r="I792" s="12">
        <v>45538</v>
      </c>
    </row>
    <row r="793" spans="1:9" x14ac:dyDescent="0.15">
      <c r="A793" s="9">
        <v>792</v>
      </c>
      <c r="B793" s="10" t="s">
        <v>9</v>
      </c>
      <c r="C793" s="11" t="s">
        <v>10</v>
      </c>
      <c r="D793" s="12">
        <v>45623</v>
      </c>
      <c r="E793" s="13" t="str">
        <f>+HYPERLINK("http://trademark.i-assist.jp/data/china/image_1913th/80470646.pdf","80470646")</f>
        <v>80470646</v>
      </c>
      <c r="F793" s="11" t="s">
        <v>512</v>
      </c>
      <c r="G793" s="11" t="s">
        <v>2799</v>
      </c>
      <c r="H793" s="11" t="s">
        <v>2800</v>
      </c>
      <c r="I793" s="12">
        <v>45524</v>
      </c>
    </row>
    <row r="794" spans="1:9" x14ac:dyDescent="0.15">
      <c r="A794" s="9">
        <v>793</v>
      </c>
      <c r="B794" s="10" t="s">
        <v>9</v>
      </c>
      <c r="C794" s="11" t="s">
        <v>10</v>
      </c>
      <c r="D794" s="12">
        <v>45623</v>
      </c>
      <c r="E794" s="13" t="str">
        <f>+HYPERLINK("http://trademark.i-assist.jp/data/china/image_1913th/80471156.pdf","80471156")</f>
        <v>80471156</v>
      </c>
      <c r="F794" s="11" t="s">
        <v>2801</v>
      </c>
      <c r="G794" s="11" t="s">
        <v>1326</v>
      </c>
      <c r="H794" s="11" t="s">
        <v>1327</v>
      </c>
      <c r="I794" s="12">
        <v>45524</v>
      </c>
    </row>
    <row r="795" spans="1:9" x14ac:dyDescent="0.15">
      <c r="A795" s="9">
        <v>794</v>
      </c>
      <c r="B795" s="10" t="s">
        <v>9</v>
      </c>
      <c r="C795" s="11" t="s">
        <v>10</v>
      </c>
      <c r="D795" s="12">
        <v>45623</v>
      </c>
      <c r="E795" s="13" t="str">
        <f>+HYPERLINK("http://trademark.i-assist.jp/data/china/image_1913th/80478617.pdf","80478617")</f>
        <v>80478617</v>
      </c>
      <c r="F795" s="11" t="s">
        <v>2802</v>
      </c>
      <c r="G795" s="11" t="s">
        <v>2803</v>
      </c>
      <c r="H795" s="11" t="s">
        <v>513</v>
      </c>
      <c r="I795" s="12">
        <v>45525</v>
      </c>
    </row>
    <row r="796" spans="1:9" x14ac:dyDescent="0.15">
      <c r="A796" s="9">
        <v>795</v>
      </c>
      <c r="B796" s="10" t="s">
        <v>9</v>
      </c>
      <c r="C796" s="11" t="s">
        <v>10</v>
      </c>
      <c r="D796" s="12">
        <v>45623</v>
      </c>
      <c r="E796" s="13" t="str">
        <f>+HYPERLINK("http://trademark.i-assist.jp/data/china/image_1913th/80483300.pdf","80483300")</f>
        <v>80483300</v>
      </c>
      <c r="F796" s="11" t="s">
        <v>2804</v>
      </c>
      <c r="G796" s="11" t="s">
        <v>2805</v>
      </c>
      <c r="H796" s="11" t="s">
        <v>2806</v>
      </c>
      <c r="I796" s="12">
        <v>45525</v>
      </c>
    </row>
    <row r="797" spans="1:9" x14ac:dyDescent="0.15">
      <c r="A797" s="9">
        <v>796</v>
      </c>
      <c r="B797" s="10" t="s">
        <v>9</v>
      </c>
      <c r="C797" s="11" t="s">
        <v>10</v>
      </c>
      <c r="D797" s="12">
        <v>45623</v>
      </c>
      <c r="E797" s="13" t="str">
        <f>+HYPERLINK("http://trademark.i-assist.jp/data/china/image_1913th/80495428.pdf","80495428")</f>
        <v>80495428</v>
      </c>
      <c r="F797" s="11" t="s">
        <v>514</v>
      </c>
      <c r="G797" s="11" t="s">
        <v>2807</v>
      </c>
      <c r="H797" s="11" t="s">
        <v>1280</v>
      </c>
      <c r="I797" s="12">
        <v>45525</v>
      </c>
    </row>
    <row r="798" spans="1:9" x14ac:dyDescent="0.15">
      <c r="A798" s="9">
        <v>797</v>
      </c>
      <c r="B798" s="10" t="s">
        <v>9</v>
      </c>
      <c r="C798" s="11" t="s">
        <v>10</v>
      </c>
      <c r="D798" s="12">
        <v>45623</v>
      </c>
      <c r="E798" s="13" t="str">
        <f>+HYPERLINK("http://trademark.i-assist.jp/data/china/image_1913th/80495797.pdf","80495797")</f>
        <v>80495797</v>
      </c>
      <c r="F798" s="11" t="s">
        <v>515</v>
      </c>
      <c r="G798" s="11" t="s">
        <v>2808</v>
      </c>
      <c r="H798" s="11" t="s">
        <v>2809</v>
      </c>
      <c r="I798" s="12">
        <v>45525</v>
      </c>
    </row>
    <row r="799" spans="1:9" x14ac:dyDescent="0.15">
      <c r="A799" s="9">
        <v>798</v>
      </c>
      <c r="B799" s="10" t="s">
        <v>9</v>
      </c>
      <c r="C799" s="11" t="s">
        <v>10</v>
      </c>
      <c r="D799" s="12">
        <v>45623</v>
      </c>
      <c r="E799" s="13" t="str">
        <f>+HYPERLINK("http://trademark.i-assist.jp/data/china/image_1913th/80503508.pdf","80503508")</f>
        <v>80503508</v>
      </c>
      <c r="F799" s="11" t="s">
        <v>516</v>
      </c>
      <c r="G799" s="11" t="s">
        <v>2810</v>
      </c>
      <c r="H799" s="11" t="s">
        <v>2811</v>
      </c>
      <c r="I799" s="12">
        <v>45526</v>
      </c>
    </row>
    <row r="800" spans="1:9" x14ac:dyDescent="0.15">
      <c r="A800" s="9">
        <v>799</v>
      </c>
      <c r="B800" s="10" t="s">
        <v>9</v>
      </c>
      <c r="C800" s="11" t="s">
        <v>10</v>
      </c>
      <c r="D800" s="12">
        <v>45623</v>
      </c>
      <c r="E800" s="13" t="str">
        <f>+HYPERLINK("http://trademark.i-assist.jp/data/china/image_1913th/80510530.pdf","80510530")</f>
        <v>80510530</v>
      </c>
      <c r="F800" s="11" t="s">
        <v>518</v>
      </c>
      <c r="G800" s="11" t="s">
        <v>517</v>
      </c>
      <c r="H800" s="11" t="s">
        <v>2812</v>
      </c>
      <c r="I800" s="12">
        <v>45526</v>
      </c>
    </row>
    <row r="801" spans="1:9" x14ac:dyDescent="0.15">
      <c r="A801" s="9">
        <v>800</v>
      </c>
      <c r="B801" s="10" t="s">
        <v>9</v>
      </c>
      <c r="C801" s="11" t="s">
        <v>10</v>
      </c>
      <c r="D801" s="12">
        <v>45623</v>
      </c>
      <c r="E801" s="13" t="str">
        <f>+HYPERLINK("http://trademark.i-assist.jp/data/china/image_1913th/80520421.pdf","80520421")</f>
        <v>80520421</v>
      </c>
      <c r="F801" s="11" t="s">
        <v>2813</v>
      </c>
      <c r="G801" s="11" t="s">
        <v>2814</v>
      </c>
      <c r="H801" s="11" t="s">
        <v>2815</v>
      </c>
      <c r="I801" s="12">
        <v>45526</v>
      </c>
    </row>
    <row r="802" spans="1:9" x14ac:dyDescent="0.15">
      <c r="A802" s="9">
        <v>801</v>
      </c>
      <c r="B802" s="10" t="s">
        <v>9</v>
      </c>
      <c r="C802" s="11" t="s">
        <v>10</v>
      </c>
      <c r="D802" s="12">
        <v>45623</v>
      </c>
      <c r="E802" s="13" t="str">
        <f>+HYPERLINK("http://trademark.i-assist.jp/data/china/image_1913th/80545085.pdf","80545085")</f>
        <v>80545085</v>
      </c>
      <c r="F802" s="11" t="s">
        <v>519</v>
      </c>
      <c r="G802" s="11" t="s">
        <v>2816</v>
      </c>
      <c r="H802" s="11" t="s">
        <v>2817</v>
      </c>
      <c r="I802" s="12">
        <v>45527</v>
      </c>
    </row>
    <row r="803" spans="1:9" x14ac:dyDescent="0.15">
      <c r="A803" s="9">
        <v>802</v>
      </c>
      <c r="B803" s="10" t="s">
        <v>9</v>
      </c>
      <c r="C803" s="11" t="s">
        <v>10</v>
      </c>
      <c r="D803" s="12">
        <v>45623</v>
      </c>
      <c r="E803" s="13" t="str">
        <f>+HYPERLINK("http://trademark.i-assist.jp/data/china/image_1913th/80333549.pdf","80333549")</f>
        <v>80333549</v>
      </c>
      <c r="F803" s="11" t="s">
        <v>520</v>
      </c>
      <c r="G803" s="11" t="s">
        <v>2818</v>
      </c>
      <c r="H803" s="11" t="s">
        <v>1423</v>
      </c>
      <c r="I803" s="12">
        <v>45517</v>
      </c>
    </row>
    <row r="804" spans="1:9" x14ac:dyDescent="0.15">
      <c r="A804" s="9">
        <v>803</v>
      </c>
      <c r="B804" s="10" t="s">
        <v>9</v>
      </c>
      <c r="C804" s="11" t="s">
        <v>10</v>
      </c>
      <c r="D804" s="12">
        <v>45623</v>
      </c>
      <c r="E804" s="13" t="str">
        <f>+HYPERLINK("http://trademark.i-assist.jp/data/china/image_1913th/80344688.pdf","80344688")</f>
        <v>80344688</v>
      </c>
      <c r="F804" s="11" t="s">
        <v>521</v>
      </c>
      <c r="G804" s="11" t="s">
        <v>2819</v>
      </c>
      <c r="H804" s="11" t="s">
        <v>2820</v>
      </c>
      <c r="I804" s="12">
        <v>45517</v>
      </c>
    </row>
    <row r="805" spans="1:9" x14ac:dyDescent="0.15">
      <c r="A805" s="9">
        <v>804</v>
      </c>
      <c r="B805" s="10" t="s">
        <v>9</v>
      </c>
      <c r="C805" s="11" t="s">
        <v>10</v>
      </c>
      <c r="D805" s="12">
        <v>45623</v>
      </c>
      <c r="E805" s="13" t="str">
        <f>+HYPERLINK("http://trademark.i-assist.jp/data/china/image_1913th/80345794.pdf","80345794")</f>
        <v>80345794</v>
      </c>
      <c r="F805" s="11" t="s">
        <v>522</v>
      </c>
      <c r="G805" s="11" t="s">
        <v>2821</v>
      </c>
      <c r="H805" s="11" t="s">
        <v>2822</v>
      </c>
      <c r="I805" s="12">
        <v>45517</v>
      </c>
    </row>
    <row r="806" spans="1:9" x14ac:dyDescent="0.15">
      <c r="A806" s="9">
        <v>805</v>
      </c>
      <c r="B806" s="10" t="s">
        <v>9</v>
      </c>
      <c r="C806" s="11" t="s">
        <v>10</v>
      </c>
      <c r="D806" s="12">
        <v>45623</v>
      </c>
      <c r="E806" s="13" t="str">
        <f>+HYPERLINK("http://trademark.i-assist.jp/data/china/image_1913th/80372723.pdf","80372723")</f>
        <v>80372723</v>
      </c>
      <c r="F806" s="11" t="s">
        <v>1335</v>
      </c>
      <c r="G806" s="11" t="s">
        <v>2823</v>
      </c>
      <c r="H806" s="11" t="s">
        <v>2824</v>
      </c>
      <c r="I806" s="12">
        <v>45519</v>
      </c>
    </row>
    <row r="807" spans="1:9" x14ac:dyDescent="0.15">
      <c r="A807" s="9">
        <v>806</v>
      </c>
      <c r="B807" s="10" t="s">
        <v>9</v>
      </c>
      <c r="C807" s="11" t="s">
        <v>10</v>
      </c>
      <c r="D807" s="12">
        <v>45623</v>
      </c>
      <c r="E807" s="13" t="str">
        <f>+HYPERLINK("http://trademark.i-assist.jp/data/china/image_1913th/80396418.pdf","80396418")</f>
        <v>80396418</v>
      </c>
      <c r="F807" s="11" t="s">
        <v>1335</v>
      </c>
      <c r="G807" s="11" t="s">
        <v>523</v>
      </c>
      <c r="H807" s="11" t="s">
        <v>2825</v>
      </c>
      <c r="I807" s="12">
        <v>45520</v>
      </c>
    </row>
    <row r="808" spans="1:9" x14ac:dyDescent="0.15">
      <c r="A808" s="9">
        <v>807</v>
      </c>
      <c r="B808" s="10" t="s">
        <v>9</v>
      </c>
      <c r="C808" s="11" t="s">
        <v>10</v>
      </c>
      <c r="D808" s="12">
        <v>45623</v>
      </c>
      <c r="E808" s="13" t="str">
        <f>+HYPERLINK("http://trademark.i-assist.jp/data/china/image_1913th/80410259.pdf","80410259")</f>
        <v>80410259</v>
      </c>
      <c r="F808" s="11" t="s">
        <v>2826</v>
      </c>
      <c r="G808" s="11" t="s">
        <v>2827</v>
      </c>
      <c r="H808" s="11" t="s">
        <v>2828</v>
      </c>
      <c r="I808" s="12">
        <v>45520</v>
      </c>
    </row>
    <row r="809" spans="1:9" x14ac:dyDescent="0.15">
      <c r="A809" s="9">
        <v>808</v>
      </c>
      <c r="B809" s="10" t="s">
        <v>9</v>
      </c>
      <c r="C809" s="11" t="s">
        <v>10</v>
      </c>
      <c r="D809" s="12">
        <v>45623</v>
      </c>
      <c r="E809" s="13" t="str">
        <f>+HYPERLINK("http://trademark.i-assist.jp/data/china/image_1913th/80411441.pdf","80411441")</f>
        <v>80411441</v>
      </c>
      <c r="F809" s="11" t="s">
        <v>524</v>
      </c>
      <c r="G809" s="11" t="s">
        <v>2829</v>
      </c>
      <c r="H809" s="11" t="s">
        <v>2830</v>
      </c>
      <c r="I809" s="12">
        <v>45520</v>
      </c>
    </row>
    <row r="810" spans="1:9" x14ac:dyDescent="0.15">
      <c r="A810" s="9">
        <v>809</v>
      </c>
      <c r="B810" s="10" t="s">
        <v>9</v>
      </c>
      <c r="C810" s="11" t="s">
        <v>10</v>
      </c>
      <c r="D810" s="12">
        <v>45623</v>
      </c>
      <c r="E810" s="13" t="str">
        <f>+HYPERLINK("http://trademark.i-assist.jp/data/china/image_1913th/80417156.pdf","80417156")</f>
        <v>80417156</v>
      </c>
      <c r="F810" s="11" t="s">
        <v>525</v>
      </c>
      <c r="G810" s="11" t="s">
        <v>2829</v>
      </c>
      <c r="H810" s="11" t="s">
        <v>2830</v>
      </c>
      <c r="I810" s="12">
        <v>45520</v>
      </c>
    </row>
    <row r="811" spans="1:9" x14ac:dyDescent="0.15">
      <c r="A811" s="9">
        <v>810</v>
      </c>
      <c r="B811" s="10" t="s">
        <v>9</v>
      </c>
      <c r="C811" s="11" t="s">
        <v>10</v>
      </c>
      <c r="D811" s="12">
        <v>45623</v>
      </c>
      <c r="E811" s="13" t="str">
        <f>+HYPERLINK("http://trademark.i-assist.jp/data/china/image_1913th/80433487.pdf","80433487")</f>
        <v>80433487</v>
      </c>
      <c r="F811" s="11" t="s">
        <v>2831</v>
      </c>
      <c r="G811" s="11" t="s">
        <v>2832</v>
      </c>
      <c r="H811" s="11" t="s">
        <v>2833</v>
      </c>
      <c r="I811" s="12">
        <v>45523</v>
      </c>
    </row>
    <row r="812" spans="1:9" x14ac:dyDescent="0.15">
      <c r="A812" s="9">
        <v>811</v>
      </c>
      <c r="B812" s="10" t="s">
        <v>9</v>
      </c>
      <c r="C812" s="11" t="s">
        <v>10</v>
      </c>
      <c r="D812" s="12">
        <v>45623</v>
      </c>
      <c r="E812" s="13" t="str">
        <f>+HYPERLINK("http://trademark.i-assist.jp/data/china/image_1913th/80433719.pdf","80433719")</f>
        <v>80433719</v>
      </c>
      <c r="F812" s="11" t="s">
        <v>2834</v>
      </c>
      <c r="G812" s="11" t="s">
        <v>2835</v>
      </c>
      <c r="H812" s="11" t="s">
        <v>2836</v>
      </c>
      <c r="I812" s="12">
        <v>45523</v>
      </c>
    </row>
    <row r="813" spans="1:9" x14ac:dyDescent="0.15">
      <c r="A813" s="9">
        <v>812</v>
      </c>
      <c r="B813" s="10" t="s">
        <v>9</v>
      </c>
      <c r="C813" s="11" t="s">
        <v>10</v>
      </c>
      <c r="D813" s="12">
        <v>45623</v>
      </c>
      <c r="E813" s="13" t="str">
        <f>+HYPERLINK("http://trademark.i-assist.jp/data/china/image_1913th/80450062.pdf","80450062")</f>
        <v>80450062</v>
      </c>
      <c r="F813" s="11" t="s">
        <v>2837</v>
      </c>
      <c r="G813" s="11" t="s">
        <v>2838</v>
      </c>
      <c r="H813" s="11" t="s">
        <v>2839</v>
      </c>
      <c r="I813" s="12">
        <v>45523</v>
      </c>
    </row>
    <row r="814" spans="1:9" x14ac:dyDescent="0.15">
      <c r="A814" s="9">
        <v>813</v>
      </c>
      <c r="B814" s="10" t="s">
        <v>9</v>
      </c>
      <c r="C814" s="11" t="s">
        <v>10</v>
      </c>
      <c r="D814" s="12">
        <v>45623</v>
      </c>
      <c r="E814" s="13" t="str">
        <f>+HYPERLINK("http://trademark.i-assist.jp/data/china/image_1913th/79445500.pdf","79445500")</f>
        <v>79445500</v>
      </c>
      <c r="F814" s="11" t="s">
        <v>526</v>
      </c>
      <c r="G814" s="11" t="s">
        <v>2840</v>
      </c>
      <c r="H814" s="11" t="s">
        <v>2841</v>
      </c>
      <c r="I814" s="12">
        <v>45469</v>
      </c>
    </row>
    <row r="815" spans="1:9" x14ac:dyDescent="0.15">
      <c r="A815" s="9">
        <v>814</v>
      </c>
      <c r="B815" s="10" t="s">
        <v>9</v>
      </c>
      <c r="C815" s="11" t="s">
        <v>10</v>
      </c>
      <c r="D815" s="12">
        <v>45623</v>
      </c>
      <c r="E815" s="13" t="str">
        <f>+HYPERLINK("http://trademark.i-assist.jp/data/china/image_1913th/80463593.pdf","80463593")</f>
        <v>80463593</v>
      </c>
      <c r="F815" s="11" t="s">
        <v>2842</v>
      </c>
      <c r="G815" s="11" t="s">
        <v>2843</v>
      </c>
      <c r="H815" s="11" t="s">
        <v>2844</v>
      </c>
      <c r="I815" s="12">
        <v>45524</v>
      </c>
    </row>
    <row r="816" spans="1:9" x14ac:dyDescent="0.15">
      <c r="A816" s="9">
        <v>815</v>
      </c>
      <c r="B816" s="10" t="s">
        <v>9</v>
      </c>
      <c r="C816" s="11" t="s">
        <v>10</v>
      </c>
      <c r="D816" s="12">
        <v>45623</v>
      </c>
      <c r="E816" s="13" t="str">
        <f>+HYPERLINK("http://trademark.i-assist.jp/data/china/image_1913th/80491565.pdf","80491565")</f>
        <v>80491565</v>
      </c>
      <c r="F816" s="11" t="s">
        <v>2845</v>
      </c>
      <c r="G816" s="11" t="s">
        <v>2846</v>
      </c>
      <c r="H816" s="11" t="s">
        <v>2847</v>
      </c>
      <c r="I816" s="12">
        <v>45525</v>
      </c>
    </row>
    <row r="817" spans="1:9" x14ac:dyDescent="0.15">
      <c r="A817" s="9">
        <v>816</v>
      </c>
      <c r="B817" s="10" t="s">
        <v>9</v>
      </c>
      <c r="C817" s="11" t="s">
        <v>10</v>
      </c>
      <c r="D817" s="12">
        <v>45623</v>
      </c>
      <c r="E817" s="13" t="str">
        <f>+HYPERLINK("http://trademark.i-assist.jp/data/china/image_1913th/80511681.pdf","80511681")</f>
        <v>80511681</v>
      </c>
      <c r="F817" s="11" t="s">
        <v>527</v>
      </c>
      <c r="G817" s="11" t="s">
        <v>2848</v>
      </c>
      <c r="H817" s="11" t="s">
        <v>2849</v>
      </c>
      <c r="I817" s="12">
        <v>45526</v>
      </c>
    </row>
    <row r="818" spans="1:9" x14ac:dyDescent="0.15">
      <c r="A818" s="9">
        <v>817</v>
      </c>
      <c r="B818" s="10" t="s">
        <v>9</v>
      </c>
      <c r="C818" s="11" t="s">
        <v>10</v>
      </c>
      <c r="D818" s="12">
        <v>45623</v>
      </c>
      <c r="E818" s="13" t="str">
        <f>+HYPERLINK("http://trademark.i-assist.jp/data/china/image_1913th/80518206.pdf","80518206")</f>
        <v>80518206</v>
      </c>
      <c r="F818" s="11" t="s">
        <v>2850</v>
      </c>
      <c r="G818" s="11" t="s">
        <v>266</v>
      </c>
      <c r="H818" s="11" t="s">
        <v>2066</v>
      </c>
      <c r="I818" s="12">
        <v>45526</v>
      </c>
    </row>
    <row r="819" spans="1:9" x14ac:dyDescent="0.15">
      <c r="A819" s="9">
        <v>818</v>
      </c>
      <c r="B819" s="10" t="s">
        <v>9</v>
      </c>
      <c r="C819" s="11" t="s">
        <v>10</v>
      </c>
      <c r="D819" s="12">
        <v>45623</v>
      </c>
      <c r="E819" s="13" t="str">
        <f>+HYPERLINK("http://trademark.i-assist.jp/data/china/image_1913th/80543775.pdf","80543775")</f>
        <v>80543775</v>
      </c>
      <c r="F819" s="11" t="s">
        <v>528</v>
      </c>
      <c r="G819" s="11" t="s">
        <v>2851</v>
      </c>
      <c r="H819" s="11" t="s">
        <v>2852</v>
      </c>
      <c r="I819" s="12">
        <v>45527</v>
      </c>
    </row>
    <row r="820" spans="1:9" x14ac:dyDescent="0.15">
      <c r="A820" s="9">
        <v>819</v>
      </c>
      <c r="B820" s="10" t="s">
        <v>9</v>
      </c>
      <c r="C820" s="11" t="s">
        <v>10</v>
      </c>
      <c r="D820" s="12">
        <v>45623</v>
      </c>
      <c r="E820" s="13" t="str">
        <f>+HYPERLINK("http://trademark.i-assist.jp/data/china/image_1913th/80545816.pdf","80545816")</f>
        <v>80545816</v>
      </c>
      <c r="F820" s="11" t="s">
        <v>1335</v>
      </c>
      <c r="G820" s="11" t="s">
        <v>2853</v>
      </c>
      <c r="H820" s="11" t="s">
        <v>1731</v>
      </c>
      <c r="I820" s="12">
        <v>45528</v>
      </c>
    </row>
    <row r="821" spans="1:9" x14ac:dyDescent="0.15">
      <c r="A821" s="9">
        <v>820</v>
      </c>
      <c r="B821" s="10" t="s">
        <v>9</v>
      </c>
      <c r="C821" s="11" t="s">
        <v>10</v>
      </c>
      <c r="D821" s="12">
        <v>45623</v>
      </c>
      <c r="E821" s="13" t="str">
        <f>+HYPERLINK("http://trademark.i-assist.jp/data/china/image_1913th/80546794.pdf","80546794")</f>
        <v>80546794</v>
      </c>
      <c r="F821" s="11" t="s">
        <v>2854</v>
      </c>
      <c r="G821" s="11" t="s">
        <v>2855</v>
      </c>
      <c r="H821" s="11" t="s">
        <v>1376</v>
      </c>
      <c r="I821" s="12">
        <v>45528</v>
      </c>
    </row>
    <row r="822" spans="1:9" x14ac:dyDescent="0.15">
      <c r="A822" s="9">
        <v>821</v>
      </c>
      <c r="B822" s="10" t="s">
        <v>9</v>
      </c>
      <c r="C822" s="11" t="s">
        <v>10</v>
      </c>
      <c r="D822" s="12">
        <v>45623</v>
      </c>
      <c r="E822" s="13" t="str">
        <f>+HYPERLINK("http://trademark.i-assist.jp/data/china/image_1913th/80560551.pdf","80560551")</f>
        <v>80560551</v>
      </c>
      <c r="F822" s="11" t="s">
        <v>2856</v>
      </c>
      <c r="G822" s="11" t="s">
        <v>2857</v>
      </c>
      <c r="H822" s="11" t="s">
        <v>2858</v>
      </c>
      <c r="I822" s="12">
        <v>45530</v>
      </c>
    </row>
    <row r="823" spans="1:9" x14ac:dyDescent="0.15">
      <c r="A823" s="9">
        <v>822</v>
      </c>
      <c r="B823" s="10" t="s">
        <v>9</v>
      </c>
      <c r="C823" s="11" t="s">
        <v>10</v>
      </c>
      <c r="D823" s="12">
        <v>45623</v>
      </c>
      <c r="E823" s="13" t="str">
        <f>+HYPERLINK("http://trademark.i-assist.jp/data/china/image_1913th/80582758.pdf","80582758")</f>
        <v>80582758</v>
      </c>
      <c r="F823" s="11" t="s">
        <v>1335</v>
      </c>
      <c r="G823" s="11" t="s">
        <v>2859</v>
      </c>
      <c r="H823" s="11" t="s">
        <v>2860</v>
      </c>
      <c r="I823" s="12">
        <v>45531</v>
      </c>
    </row>
    <row r="824" spans="1:9" x14ac:dyDescent="0.15">
      <c r="A824" s="9">
        <v>823</v>
      </c>
      <c r="B824" s="10" t="s">
        <v>9</v>
      </c>
      <c r="C824" s="11" t="s">
        <v>10</v>
      </c>
      <c r="D824" s="12">
        <v>45623</v>
      </c>
      <c r="E824" s="13" t="str">
        <f>+HYPERLINK("http://trademark.i-assist.jp/data/china/image_1913th/80588591.pdf","80588591")</f>
        <v>80588591</v>
      </c>
      <c r="F824" s="11" t="s">
        <v>2861</v>
      </c>
      <c r="G824" s="11" t="s">
        <v>529</v>
      </c>
      <c r="H824" s="11" t="s">
        <v>2862</v>
      </c>
      <c r="I824" s="12">
        <v>45531</v>
      </c>
    </row>
    <row r="825" spans="1:9" x14ac:dyDescent="0.15">
      <c r="A825" s="9">
        <v>824</v>
      </c>
      <c r="B825" s="10" t="s">
        <v>9</v>
      </c>
      <c r="C825" s="11" t="s">
        <v>10</v>
      </c>
      <c r="D825" s="12">
        <v>45623</v>
      </c>
      <c r="E825" s="13" t="str">
        <f>+HYPERLINK("http://trademark.i-assist.jp/data/china/image_1913th/80600287.pdf","80600287")</f>
        <v>80600287</v>
      </c>
      <c r="F825" s="11" t="s">
        <v>2863</v>
      </c>
      <c r="G825" s="11" t="s">
        <v>530</v>
      </c>
      <c r="H825" s="11" t="s">
        <v>2239</v>
      </c>
      <c r="I825" s="12">
        <v>45531</v>
      </c>
    </row>
    <row r="826" spans="1:9" x14ac:dyDescent="0.15">
      <c r="A826" s="9">
        <v>825</v>
      </c>
      <c r="B826" s="10" t="s">
        <v>9</v>
      </c>
      <c r="C826" s="11" t="s">
        <v>10</v>
      </c>
      <c r="D826" s="12">
        <v>45623</v>
      </c>
      <c r="E826" s="13" t="str">
        <f>+HYPERLINK("http://trademark.i-assist.jp/data/china/image_1913th/80601185.pdf","80601185")</f>
        <v>80601185</v>
      </c>
      <c r="F826" s="11" t="s">
        <v>2864</v>
      </c>
      <c r="G826" s="11" t="s">
        <v>2865</v>
      </c>
      <c r="H826" s="11" t="s">
        <v>2866</v>
      </c>
      <c r="I826" s="12">
        <v>45531</v>
      </c>
    </row>
    <row r="827" spans="1:9" x14ac:dyDescent="0.15">
      <c r="A827" s="9">
        <v>826</v>
      </c>
      <c r="B827" s="10" t="s">
        <v>9</v>
      </c>
      <c r="C827" s="11" t="s">
        <v>10</v>
      </c>
      <c r="D827" s="12">
        <v>45623</v>
      </c>
      <c r="E827" s="13" t="str">
        <f>+HYPERLINK("http://trademark.i-assist.jp/data/china/image_1913th/80660238.pdf","80660238")</f>
        <v>80660238</v>
      </c>
      <c r="F827" s="11" t="s">
        <v>2867</v>
      </c>
      <c r="G827" s="11" t="s">
        <v>2868</v>
      </c>
      <c r="H827" s="11" t="s">
        <v>1430</v>
      </c>
      <c r="I827" s="12">
        <v>45534</v>
      </c>
    </row>
    <row r="828" spans="1:9" x14ac:dyDescent="0.15">
      <c r="A828" s="9">
        <v>827</v>
      </c>
      <c r="B828" s="10" t="s">
        <v>9</v>
      </c>
      <c r="C828" s="11" t="s">
        <v>10</v>
      </c>
      <c r="D828" s="12">
        <v>45623</v>
      </c>
      <c r="E828" s="13" t="str">
        <f>+HYPERLINK("http://trademark.i-assist.jp/data/china/image_1913th/80668992.pdf","80668992")</f>
        <v>80668992</v>
      </c>
      <c r="F828" s="11" t="s">
        <v>531</v>
      </c>
      <c r="G828" s="11" t="s">
        <v>2869</v>
      </c>
      <c r="H828" s="11" t="s">
        <v>2870</v>
      </c>
      <c r="I828" s="12">
        <v>45534</v>
      </c>
    </row>
    <row r="829" spans="1:9" x14ac:dyDescent="0.15">
      <c r="A829" s="9">
        <v>828</v>
      </c>
      <c r="B829" s="10" t="s">
        <v>9</v>
      </c>
      <c r="C829" s="11" t="s">
        <v>10</v>
      </c>
      <c r="D829" s="12">
        <v>45623</v>
      </c>
      <c r="E829" s="13" t="str">
        <f>+HYPERLINK("http://trademark.i-assist.jp/data/china/image_1913th/80678089.pdf","80678089")</f>
        <v>80678089</v>
      </c>
      <c r="F829" s="11" t="s">
        <v>2871</v>
      </c>
      <c r="G829" s="11" t="s">
        <v>2872</v>
      </c>
      <c r="H829" s="11" t="s">
        <v>2873</v>
      </c>
      <c r="I829" s="12">
        <v>45535</v>
      </c>
    </row>
    <row r="830" spans="1:9" x14ac:dyDescent="0.15">
      <c r="A830" s="9">
        <v>829</v>
      </c>
      <c r="B830" s="10" t="s">
        <v>9</v>
      </c>
      <c r="C830" s="11" t="s">
        <v>10</v>
      </c>
      <c r="D830" s="12">
        <v>45623</v>
      </c>
      <c r="E830" s="13" t="str">
        <f>+HYPERLINK("http://trademark.i-assist.jp/data/china/image_1913th/80682701.pdf","80682701")</f>
        <v>80682701</v>
      </c>
      <c r="F830" s="11" t="s">
        <v>532</v>
      </c>
      <c r="G830" s="11" t="s">
        <v>2874</v>
      </c>
      <c r="H830" s="11" t="s">
        <v>2875</v>
      </c>
      <c r="I830" s="12">
        <v>45537</v>
      </c>
    </row>
    <row r="831" spans="1:9" x14ac:dyDescent="0.15">
      <c r="A831" s="9">
        <v>830</v>
      </c>
      <c r="B831" s="10" t="s">
        <v>9</v>
      </c>
      <c r="C831" s="11" t="s">
        <v>10</v>
      </c>
      <c r="D831" s="12">
        <v>45623</v>
      </c>
      <c r="E831" s="13" t="str">
        <f>+HYPERLINK("http://trademark.i-assist.jp/data/china/image_1913th/80620494.pdf","80620494")</f>
        <v>80620494</v>
      </c>
      <c r="F831" s="11" t="s">
        <v>533</v>
      </c>
      <c r="G831" s="11" t="s">
        <v>2876</v>
      </c>
      <c r="H831" s="11" t="s">
        <v>2877</v>
      </c>
      <c r="I831" s="12">
        <v>45532</v>
      </c>
    </row>
    <row r="832" spans="1:9" x14ac:dyDescent="0.15">
      <c r="A832" s="9">
        <v>831</v>
      </c>
      <c r="B832" s="10" t="s">
        <v>9</v>
      </c>
      <c r="C832" s="11" t="s">
        <v>10</v>
      </c>
      <c r="D832" s="12">
        <v>45623</v>
      </c>
      <c r="E832" s="13" t="str">
        <f>+HYPERLINK("http://trademark.i-assist.jp/data/china/image_1913th/80620582.pdf","80620582")</f>
        <v>80620582</v>
      </c>
      <c r="F832" s="11" t="s">
        <v>534</v>
      </c>
      <c r="G832" s="11" t="s">
        <v>163</v>
      </c>
      <c r="H832" s="11" t="s">
        <v>1721</v>
      </c>
      <c r="I832" s="12">
        <v>45532</v>
      </c>
    </row>
    <row r="833" spans="1:9" x14ac:dyDescent="0.15">
      <c r="A833" s="9">
        <v>832</v>
      </c>
      <c r="B833" s="10" t="s">
        <v>9</v>
      </c>
      <c r="C833" s="11" t="s">
        <v>10</v>
      </c>
      <c r="D833" s="12">
        <v>45623</v>
      </c>
      <c r="E833" s="13" t="str">
        <f>+HYPERLINK("http://trademark.i-assist.jp/data/china/image_1913th/80626930.pdf","80626930")</f>
        <v>80626930</v>
      </c>
      <c r="F833" s="11" t="s">
        <v>2878</v>
      </c>
      <c r="G833" s="11" t="s">
        <v>2879</v>
      </c>
      <c r="H833" s="11" t="s">
        <v>2239</v>
      </c>
      <c r="I833" s="12">
        <v>45533</v>
      </c>
    </row>
    <row r="834" spans="1:9" x14ac:dyDescent="0.15">
      <c r="A834" s="9">
        <v>833</v>
      </c>
      <c r="B834" s="10" t="s">
        <v>9</v>
      </c>
      <c r="C834" s="11" t="s">
        <v>10</v>
      </c>
      <c r="D834" s="12">
        <v>45623</v>
      </c>
      <c r="E834" s="13" t="str">
        <f>+HYPERLINK("http://trademark.i-assist.jp/data/china/image_1913th/80630843.pdf","80630843")</f>
        <v>80630843</v>
      </c>
      <c r="F834" s="11" t="s">
        <v>2880</v>
      </c>
      <c r="G834" s="11" t="s">
        <v>2881</v>
      </c>
      <c r="H834" s="11" t="s">
        <v>2680</v>
      </c>
      <c r="I834" s="12">
        <v>45533</v>
      </c>
    </row>
    <row r="835" spans="1:9" x14ac:dyDescent="0.15">
      <c r="A835" s="9">
        <v>834</v>
      </c>
      <c r="B835" s="10" t="s">
        <v>9</v>
      </c>
      <c r="C835" s="11" t="s">
        <v>10</v>
      </c>
      <c r="D835" s="12">
        <v>45623</v>
      </c>
      <c r="E835" s="13" t="str">
        <f>+HYPERLINK("http://trademark.i-assist.jp/data/china/image_1913th/80631673.pdf","80631673")</f>
        <v>80631673</v>
      </c>
      <c r="F835" s="11" t="s">
        <v>2882</v>
      </c>
      <c r="G835" s="11" t="s">
        <v>2883</v>
      </c>
      <c r="H835" s="11" t="s">
        <v>2884</v>
      </c>
      <c r="I835" s="12">
        <v>45533</v>
      </c>
    </row>
    <row r="836" spans="1:9" x14ac:dyDescent="0.15">
      <c r="A836" s="9">
        <v>835</v>
      </c>
      <c r="B836" s="10" t="s">
        <v>9</v>
      </c>
      <c r="C836" s="11" t="s">
        <v>10</v>
      </c>
      <c r="D836" s="12">
        <v>45623</v>
      </c>
      <c r="E836" s="13" t="str">
        <f>+HYPERLINK("http://trademark.i-assist.jp/data/china/image_1913th/80640614.pdf","80640614")</f>
        <v>80640614</v>
      </c>
      <c r="F836" s="11" t="s">
        <v>535</v>
      </c>
      <c r="G836" s="11" t="s">
        <v>1947</v>
      </c>
      <c r="H836" s="11" t="s">
        <v>2782</v>
      </c>
      <c r="I836" s="12">
        <v>45533</v>
      </c>
    </row>
    <row r="837" spans="1:9" x14ac:dyDescent="0.15">
      <c r="A837" s="9">
        <v>836</v>
      </c>
      <c r="B837" s="10" t="s">
        <v>9</v>
      </c>
      <c r="C837" s="11" t="s">
        <v>10</v>
      </c>
      <c r="D837" s="12">
        <v>45623</v>
      </c>
      <c r="E837" s="13" t="str">
        <f>+HYPERLINK("http://trademark.i-assist.jp/data/china/image_1913th/80646429.pdf","80646429")</f>
        <v>80646429</v>
      </c>
      <c r="F837" s="11" t="s">
        <v>536</v>
      </c>
      <c r="G837" s="11" t="s">
        <v>1388</v>
      </c>
      <c r="H837" s="11" t="s">
        <v>1389</v>
      </c>
      <c r="I837" s="12">
        <v>45533</v>
      </c>
    </row>
    <row r="838" spans="1:9" x14ac:dyDescent="0.15">
      <c r="A838" s="9">
        <v>837</v>
      </c>
      <c r="B838" s="10" t="s">
        <v>9</v>
      </c>
      <c r="C838" s="11" t="s">
        <v>10</v>
      </c>
      <c r="D838" s="12">
        <v>45623</v>
      </c>
      <c r="E838" s="13" t="str">
        <f>+HYPERLINK("http://trademark.i-assist.jp/data/china/image_1913th/80649268.pdf","80649268")</f>
        <v>80649268</v>
      </c>
      <c r="F838" s="11" t="s">
        <v>2885</v>
      </c>
      <c r="G838" s="11" t="s">
        <v>115</v>
      </c>
      <c r="H838" s="11" t="s">
        <v>1567</v>
      </c>
      <c r="I838" s="12">
        <v>45534</v>
      </c>
    </row>
    <row r="839" spans="1:9" x14ac:dyDescent="0.15">
      <c r="A839" s="9">
        <v>838</v>
      </c>
      <c r="B839" s="10" t="s">
        <v>9</v>
      </c>
      <c r="C839" s="11" t="s">
        <v>10</v>
      </c>
      <c r="D839" s="12">
        <v>45623</v>
      </c>
      <c r="E839" s="13" t="str">
        <f>+HYPERLINK("http://trademark.i-assist.jp/data/china/image_1913th/80654678.pdf","80654678")</f>
        <v>80654678</v>
      </c>
      <c r="F839" s="11" t="s">
        <v>2886</v>
      </c>
      <c r="G839" s="11" t="s">
        <v>2887</v>
      </c>
      <c r="H839" s="11" t="s">
        <v>2888</v>
      </c>
      <c r="I839" s="12">
        <v>45534</v>
      </c>
    </row>
    <row r="840" spans="1:9" x14ac:dyDescent="0.15">
      <c r="A840" s="9">
        <v>839</v>
      </c>
      <c r="B840" s="10" t="s">
        <v>9</v>
      </c>
      <c r="C840" s="11" t="s">
        <v>10</v>
      </c>
      <c r="D840" s="12">
        <v>45623</v>
      </c>
      <c r="E840" s="13" t="str">
        <f>+HYPERLINK("http://trademark.i-assist.jp/data/china/image_1913th/80134018.pdf","80134018")</f>
        <v>80134018</v>
      </c>
      <c r="F840" s="11" t="s">
        <v>537</v>
      </c>
      <c r="G840" s="11" t="s">
        <v>2889</v>
      </c>
      <c r="H840" s="11" t="s">
        <v>2890</v>
      </c>
      <c r="I840" s="12">
        <v>45505</v>
      </c>
    </row>
    <row r="841" spans="1:9" x14ac:dyDescent="0.15">
      <c r="A841" s="9">
        <v>840</v>
      </c>
      <c r="B841" s="10" t="s">
        <v>9</v>
      </c>
      <c r="C841" s="11" t="s">
        <v>10</v>
      </c>
      <c r="D841" s="12">
        <v>45623</v>
      </c>
      <c r="E841" s="13" t="str">
        <f>+HYPERLINK("http://trademark.i-assist.jp/data/china/image_1913th/80152706.pdf","80152706")</f>
        <v>80152706</v>
      </c>
      <c r="F841" s="11" t="s">
        <v>1335</v>
      </c>
      <c r="G841" s="11" t="s">
        <v>2891</v>
      </c>
      <c r="H841" s="11" t="s">
        <v>2892</v>
      </c>
      <c r="I841" s="12">
        <v>45506</v>
      </c>
    </row>
    <row r="842" spans="1:9" x14ac:dyDescent="0.15">
      <c r="A842" s="9">
        <v>841</v>
      </c>
      <c r="B842" s="10" t="s">
        <v>9</v>
      </c>
      <c r="C842" s="11" t="s">
        <v>10</v>
      </c>
      <c r="D842" s="12">
        <v>45623</v>
      </c>
      <c r="E842" s="13" t="str">
        <f>+HYPERLINK("http://trademark.i-assist.jp/data/china/image_1913th/80158205.pdf","80158205")</f>
        <v>80158205</v>
      </c>
      <c r="F842" s="11" t="s">
        <v>538</v>
      </c>
      <c r="G842" s="11" t="s">
        <v>2893</v>
      </c>
      <c r="H842" s="11" t="s">
        <v>1430</v>
      </c>
      <c r="I842" s="12">
        <v>45506</v>
      </c>
    </row>
    <row r="843" spans="1:9" x14ac:dyDescent="0.15">
      <c r="A843" s="9">
        <v>842</v>
      </c>
      <c r="B843" s="10" t="s">
        <v>9</v>
      </c>
      <c r="C843" s="11" t="s">
        <v>10</v>
      </c>
      <c r="D843" s="12">
        <v>45623</v>
      </c>
      <c r="E843" s="13" t="str">
        <f>+HYPERLINK("http://trademark.i-assist.jp/data/china/image_1913th/80169820.pdf","80169820")</f>
        <v>80169820</v>
      </c>
      <c r="F843" s="11" t="s">
        <v>2894</v>
      </c>
      <c r="G843" s="11" t="s">
        <v>2895</v>
      </c>
      <c r="H843" s="11" t="s">
        <v>2896</v>
      </c>
      <c r="I843" s="12">
        <v>45508</v>
      </c>
    </row>
    <row r="844" spans="1:9" x14ac:dyDescent="0.15">
      <c r="A844" s="9">
        <v>843</v>
      </c>
      <c r="B844" s="10" t="s">
        <v>9</v>
      </c>
      <c r="C844" s="11" t="s">
        <v>10</v>
      </c>
      <c r="D844" s="12">
        <v>45623</v>
      </c>
      <c r="E844" s="13" t="str">
        <f>+HYPERLINK("http://trademark.i-assist.jp/data/china/image_1913th/80215727.pdf","80215727")</f>
        <v>80215727</v>
      </c>
      <c r="F844" s="11" t="s">
        <v>2897</v>
      </c>
      <c r="G844" s="11" t="s">
        <v>539</v>
      </c>
      <c r="H844" s="11" t="s">
        <v>2898</v>
      </c>
      <c r="I844" s="12">
        <v>45510</v>
      </c>
    </row>
    <row r="845" spans="1:9" x14ac:dyDescent="0.15">
      <c r="A845" s="9">
        <v>844</v>
      </c>
      <c r="B845" s="10" t="s">
        <v>9</v>
      </c>
      <c r="C845" s="11" t="s">
        <v>10</v>
      </c>
      <c r="D845" s="12">
        <v>45623</v>
      </c>
      <c r="E845" s="13" t="str">
        <f>+HYPERLINK("http://trademark.i-assist.jp/data/china/image_1913th/80274952.pdf","80274952")</f>
        <v>80274952</v>
      </c>
      <c r="F845" s="11" t="s">
        <v>2899</v>
      </c>
      <c r="G845" s="11" t="s">
        <v>2900</v>
      </c>
      <c r="H845" s="11" t="s">
        <v>1285</v>
      </c>
      <c r="I845" s="12">
        <v>45513</v>
      </c>
    </row>
    <row r="846" spans="1:9" x14ac:dyDescent="0.15">
      <c r="A846" s="9">
        <v>845</v>
      </c>
      <c r="B846" s="10" t="s">
        <v>9</v>
      </c>
      <c r="C846" s="11" t="s">
        <v>10</v>
      </c>
      <c r="D846" s="12">
        <v>45623</v>
      </c>
      <c r="E846" s="13" t="str">
        <f>+HYPERLINK("http://trademark.i-assist.jp/data/china/image_1913th/80276113.pdf","80276113")</f>
        <v>80276113</v>
      </c>
      <c r="F846" s="11" t="s">
        <v>540</v>
      </c>
      <c r="G846" s="11" t="s">
        <v>2901</v>
      </c>
      <c r="H846" s="11" t="s">
        <v>2902</v>
      </c>
      <c r="I846" s="12">
        <v>45513</v>
      </c>
    </row>
    <row r="847" spans="1:9" x14ac:dyDescent="0.15">
      <c r="A847" s="9">
        <v>846</v>
      </c>
      <c r="B847" s="10" t="s">
        <v>9</v>
      </c>
      <c r="C847" s="11" t="s">
        <v>10</v>
      </c>
      <c r="D847" s="12">
        <v>45623</v>
      </c>
      <c r="E847" s="13" t="str">
        <f>+HYPERLINK("http://trademark.i-assist.jp/data/china/image_1913th/80290116.pdf","80290116")</f>
        <v>80290116</v>
      </c>
      <c r="F847" s="11" t="s">
        <v>2903</v>
      </c>
      <c r="G847" s="11" t="s">
        <v>541</v>
      </c>
      <c r="H847" s="11" t="s">
        <v>2705</v>
      </c>
      <c r="I847" s="12">
        <v>45513</v>
      </c>
    </row>
    <row r="848" spans="1:9" x14ac:dyDescent="0.15">
      <c r="A848" s="9">
        <v>847</v>
      </c>
      <c r="B848" s="10" t="s">
        <v>9</v>
      </c>
      <c r="C848" s="11" t="s">
        <v>10</v>
      </c>
      <c r="D848" s="12">
        <v>45623</v>
      </c>
      <c r="E848" s="13" t="str">
        <f>+HYPERLINK("http://trademark.i-assist.jp/data/china/image_1913th/80682885.pdf","80682885")</f>
        <v>80682885</v>
      </c>
      <c r="F848" s="11" t="s">
        <v>2904</v>
      </c>
      <c r="G848" s="11" t="s">
        <v>2905</v>
      </c>
      <c r="H848" s="11" t="s">
        <v>2906</v>
      </c>
      <c r="I848" s="12">
        <v>45537</v>
      </c>
    </row>
    <row r="849" spans="1:9" x14ac:dyDescent="0.15">
      <c r="A849" s="9">
        <v>848</v>
      </c>
      <c r="B849" s="10" t="s">
        <v>9</v>
      </c>
      <c r="C849" s="11" t="s">
        <v>10</v>
      </c>
      <c r="D849" s="12">
        <v>45623</v>
      </c>
      <c r="E849" s="13" t="str">
        <f>+HYPERLINK("http://trademark.i-assist.jp/data/china/image_1913th/80685051.pdf","80685051")</f>
        <v>80685051</v>
      </c>
      <c r="F849" s="11" t="s">
        <v>2907</v>
      </c>
      <c r="G849" s="11" t="s">
        <v>35</v>
      </c>
      <c r="H849" s="11" t="s">
        <v>1368</v>
      </c>
      <c r="I849" s="12">
        <v>45537</v>
      </c>
    </row>
    <row r="850" spans="1:9" x14ac:dyDescent="0.15">
      <c r="A850" s="9">
        <v>849</v>
      </c>
      <c r="B850" s="10" t="s">
        <v>9</v>
      </c>
      <c r="C850" s="11" t="s">
        <v>10</v>
      </c>
      <c r="D850" s="12">
        <v>45623</v>
      </c>
      <c r="E850" s="13" t="str">
        <f>+HYPERLINK("http://trademark.i-assist.jp/data/china/image_1913th/80687383.pdf","80687383")</f>
        <v>80687383</v>
      </c>
      <c r="F850" s="11" t="s">
        <v>542</v>
      </c>
      <c r="G850" s="11" t="s">
        <v>2908</v>
      </c>
      <c r="H850" s="11" t="s">
        <v>2909</v>
      </c>
      <c r="I850" s="12">
        <v>45537</v>
      </c>
    </row>
    <row r="851" spans="1:9" x14ac:dyDescent="0.15">
      <c r="A851" s="9">
        <v>850</v>
      </c>
      <c r="B851" s="10" t="s">
        <v>9</v>
      </c>
      <c r="C851" s="11" t="s">
        <v>10</v>
      </c>
      <c r="D851" s="12">
        <v>45623</v>
      </c>
      <c r="E851" s="13" t="str">
        <f>+HYPERLINK("http://trademark.i-assist.jp/data/china/image_1913th/80687679.pdf","80687679")</f>
        <v>80687679</v>
      </c>
      <c r="F851" s="11" t="s">
        <v>2910</v>
      </c>
      <c r="G851" s="11" t="s">
        <v>2911</v>
      </c>
      <c r="H851" s="11" t="s">
        <v>2912</v>
      </c>
      <c r="I851" s="12">
        <v>45537</v>
      </c>
    </row>
    <row r="852" spans="1:9" x14ac:dyDescent="0.15">
      <c r="A852" s="9">
        <v>851</v>
      </c>
      <c r="B852" s="10" t="s">
        <v>9</v>
      </c>
      <c r="C852" s="11" t="s">
        <v>10</v>
      </c>
      <c r="D852" s="12">
        <v>45623</v>
      </c>
      <c r="E852" s="13" t="str">
        <f>+HYPERLINK("http://trademark.i-assist.jp/data/china/image_1913th/80693055.pdf","80693055")</f>
        <v>80693055</v>
      </c>
      <c r="F852" s="11" t="s">
        <v>543</v>
      </c>
      <c r="G852" s="11" t="s">
        <v>2288</v>
      </c>
      <c r="H852" s="11" t="s">
        <v>2289</v>
      </c>
      <c r="I852" s="12">
        <v>45537</v>
      </c>
    </row>
    <row r="853" spans="1:9" x14ac:dyDescent="0.15">
      <c r="A853" s="9">
        <v>852</v>
      </c>
      <c r="B853" s="10" t="s">
        <v>9</v>
      </c>
      <c r="C853" s="11" t="s">
        <v>10</v>
      </c>
      <c r="D853" s="12">
        <v>45623</v>
      </c>
      <c r="E853" s="13" t="str">
        <f>+HYPERLINK("http://trademark.i-assist.jp/data/china/image_1913th/80693880.pdf","80693880")</f>
        <v>80693880</v>
      </c>
      <c r="F853" s="11" t="s">
        <v>1335</v>
      </c>
      <c r="G853" s="11" t="s">
        <v>544</v>
      </c>
      <c r="H853" s="11" t="s">
        <v>2522</v>
      </c>
      <c r="I853" s="12">
        <v>45537</v>
      </c>
    </row>
    <row r="854" spans="1:9" x14ac:dyDescent="0.15">
      <c r="A854" s="9">
        <v>853</v>
      </c>
      <c r="B854" s="10" t="s">
        <v>9</v>
      </c>
      <c r="C854" s="11" t="s">
        <v>10</v>
      </c>
      <c r="D854" s="12">
        <v>45623</v>
      </c>
      <c r="E854" s="13" t="str">
        <f>+HYPERLINK("http://trademark.i-assist.jp/data/china/image_1913th/80696084.pdf","80696084")</f>
        <v>80696084</v>
      </c>
      <c r="F854" s="11" t="s">
        <v>545</v>
      </c>
      <c r="G854" s="11" t="s">
        <v>35</v>
      </c>
      <c r="H854" s="11" t="s">
        <v>1368</v>
      </c>
      <c r="I854" s="12">
        <v>45537</v>
      </c>
    </row>
    <row r="855" spans="1:9" x14ac:dyDescent="0.15">
      <c r="A855" s="9">
        <v>854</v>
      </c>
      <c r="B855" s="10" t="s">
        <v>9</v>
      </c>
      <c r="C855" s="11" t="s">
        <v>10</v>
      </c>
      <c r="D855" s="12">
        <v>45623</v>
      </c>
      <c r="E855" s="13" t="str">
        <f>+HYPERLINK("http://trademark.i-assist.jp/data/china/image_1913th/80698349.pdf","80698349")</f>
        <v>80698349</v>
      </c>
      <c r="F855" s="11" t="s">
        <v>546</v>
      </c>
      <c r="G855" s="11" t="s">
        <v>316</v>
      </c>
      <c r="H855" s="11" t="s">
        <v>2230</v>
      </c>
      <c r="I855" s="12">
        <v>45537</v>
      </c>
    </row>
    <row r="856" spans="1:9" x14ac:dyDescent="0.15">
      <c r="A856" s="9">
        <v>855</v>
      </c>
      <c r="B856" s="10" t="s">
        <v>9</v>
      </c>
      <c r="C856" s="11" t="s">
        <v>10</v>
      </c>
      <c r="D856" s="12">
        <v>45623</v>
      </c>
      <c r="E856" s="13" t="str">
        <f>+HYPERLINK("http://trademark.i-assist.jp/data/china/image_1913th/80701165.pdf","80701165")</f>
        <v>80701165</v>
      </c>
      <c r="F856" s="11" t="s">
        <v>2913</v>
      </c>
      <c r="G856" s="11" t="s">
        <v>547</v>
      </c>
      <c r="H856" s="11" t="s">
        <v>2914</v>
      </c>
      <c r="I856" s="12">
        <v>45537</v>
      </c>
    </row>
    <row r="857" spans="1:9" x14ac:dyDescent="0.15">
      <c r="A857" s="9">
        <v>856</v>
      </c>
      <c r="B857" s="10" t="s">
        <v>9</v>
      </c>
      <c r="C857" s="11" t="s">
        <v>10</v>
      </c>
      <c r="D857" s="12">
        <v>45623</v>
      </c>
      <c r="E857" s="13" t="str">
        <f>+HYPERLINK("http://trademark.i-assist.jp/data/china/image_1913th/80702917.pdf","80702917")</f>
        <v>80702917</v>
      </c>
      <c r="F857" s="11" t="s">
        <v>2915</v>
      </c>
      <c r="G857" s="11" t="s">
        <v>2916</v>
      </c>
      <c r="H857" s="11" t="s">
        <v>2917</v>
      </c>
      <c r="I857" s="12">
        <v>45537</v>
      </c>
    </row>
    <row r="858" spans="1:9" x14ac:dyDescent="0.15">
      <c r="A858" s="9">
        <v>857</v>
      </c>
      <c r="B858" s="10" t="s">
        <v>9</v>
      </c>
      <c r="C858" s="11" t="s">
        <v>10</v>
      </c>
      <c r="D858" s="12">
        <v>45623</v>
      </c>
      <c r="E858" s="13" t="str">
        <f>+HYPERLINK("http://trademark.i-assist.jp/data/china/image_1913th/80704354.pdf","80704354")</f>
        <v>80704354</v>
      </c>
      <c r="F858" s="11" t="s">
        <v>2918</v>
      </c>
      <c r="G858" s="11" t="s">
        <v>2919</v>
      </c>
      <c r="H858" s="11" t="s">
        <v>2920</v>
      </c>
      <c r="I858" s="12">
        <v>45537</v>
      </c>
    </row>
    <row r="859" spans="1:9" x14ac:dyDescent="0.15">
      <c r="A859" s="9">
        <v>858</v>
      </c>
      <c r="B859" s="10" t="s">
        <v>9</v>
      </c>
      <c r="C859" s="11" t="s">
        <v>10</v>
      </c>
      <c r="D859" s="12">
        <v>45623</v>
      </c>
      <c r="E859" s="13" t="str">
        <f>+HYPERLINK("http://trademark.i-assist.jp/data/china/image_1913th/80704424.pdf","80704424")</f>
        <v>80704424</v>
      </c>
      <c r="F859" s="11" t="s">
        <v>1952</v>
      </c>
      <c r="G859" s="11" t="s">
        <v>1953</v>
      </c>
      <c r="H859" s="11" t="s">
        <v>1954</v>
      </c>
      <c r="I859" s="12">
        <v>45537</v>
      </c>
    </row>
    <row r="860" spans="1:9" x14ac:dyDescent="0.15">
      <c r="A860" s="9">
        <v>859</v>
      </c>
      <c r="B860" s="10" t="s">
        <v>9</v>
      </c>
      <c r="C860" s="11" t="s">
        <v>10</v>
      </c>
      <c r="D860" s="12">
        <v>45623</v>
      </c>
      <c r="E860" s="13" t="str">
        <f>+HYPERLINK("http://trademark.i-assist.jp/data/china/image_1913th/80741308.pdf","80741308")</f>
        <v>80741308</v>
      </c>
      <c r="F860" s="11" t="s">
        <v>548</v>
      </c>
      <c r="G860" s="11" t="s">
        <v>184</v>
      </c>
      <c r="H860" s="11" t="s">
        <v>1382</v>
      </c>
      <c r="I860" s="12">
        <v>45539</v>
      </c>
    </row>
    <row r="861" spans="1:9" x14ac:dyDescent="0.15">
      <c r="A861" s="9">
        <v>860</v>
      </c>
      <c r="B861" s="10" t="s">
        <v>9</v>
      </c>
      <c r="C861" s="11" t="s">
        <v>10</v>
      </c>
      <c r="D861" s="12">
        <v>45623</v>
      </c>
      <c r="E861" s="13" t="str">
        <f>+HYPERLINK("http://trademark.i-assist.jp/data/china/image_1913th/80750069.pdf","80750069")</f>
        <v>80750069</v>
      </c>
      <c r="F861" s="11" t="s">
        <v>549</v>
      </c>
      <c r="G861" s="11" t="s">
        <v>2921</v>
      </c>
      <c r="H861" s="11" t="s">
        <v>2922</v>
      </c>
      <c r="I861" s="12">
        <v>45539</v>
      </c>
    </row>
    <row r="862" spans="1:9" x14ac:dyDescent="0.15">
      <c r="A862" s="9">
        <v>861</v>
      </c>
      <c r="B862" s="10" t="s">
        <v>9</v>
      </c>
      <c r="C862" s="11" t="s">
        <v>10</v>
      </c>
      <c r="D862" s="12">
        <v>45623</v>
      </c>
      <c r="E862" s="13" t="str">
        <f>+HYPERLINK("http://trademark.i-assist.jp/data/china/image_1913th/80750738.pdf","80750738")</f>
        <v>80750738</v>
      </c>
      <c r="F862" s="11" t="s">
        <v>550</v>
      </c>
      <c r="G862" s="11" t="s">
        <v>184</v>
      </c>
      <c r="H862" s="11" t="s">
        <v>1382</v>
      </c>
      <c r="I862" s="12">
        <v>45539</v>
      </c>
    </row>
    <row r="863" spans="1:9" x14ac:dyDescent="0.15">
      <c r="A863" s="9">
        <v>862</v>
      </c>
      <c r="B863" s="10" t="s">
        <v>9</v>
      </c>
      <c r="C863" s="11" t="s">
        <v>10</v>
      </c>
      <c r="D863" s="12">
        <v>45623</v>
      </c>
      <c r="E863" s="13" t="str">
        <f>+HYPERLINK("http://trademark.i-assist.jp/data/china/image_1913th/80753607.pdf","80753607")</f>
        <v>80753607</v>
      </c>
      <c r="F863" s="11" t="s">
        <v>551</v>
      </c>
      <c r="G863" s="11" t="s">
        <v>2923</v>
      </c>
      <c r="H863" s="11" t="s">
        <v>2924</v>
      </c>
      <c r="I863" s="12">
        <v>45539</v>
      </c>
    </row>
    <row r="864" spans="1:9" x14ac:dyDescent="0.15">
      <c r="A864" s="9">
        <v>863</v>
      </c>
      <c r="B864" s="10" t="s">
        <v>9</v>
      </c>
      <c r="C864" s="11" t="s">
        <v>10</v>
      </c>
      <c r="D864" s="12">
        <v>45623</v>
      </c>
      <c r="E864" s="13" t="str">
        <f>+HYPERLINK("http://trademark.i-assist.jp/data/china/image_1913th/80755381.pdf","80755381")</f>
        <v>80755381</v>
      </c>
      <c r="F864" s="11" t="s">
        <v>2925</v>
      </c>
      <c r="G864" s="11" t="s">
        <v>2605</v>
      </c>
      <c r="H864" s="11" t="s">
        <v>2606</v>
      </c>
      <c r="I864" s="12">
        <v>45540</v>
      </c>
    </row>
    <row r="865" spans="1:9" x14ac:dyDescent="0.15">
      <c r="A865" s="9">
        <v>864</v>
      </c>
      <c r="B865" s="10" t="s">
        <v>9</v>
      </c>
      <c r="C865" s="11" t="s">
        <v>10</v>
      </c>
      <c r="D865" s="12">
        <v>45623</v>
      </c>
      <c r="E865" s="13" t="str">
        <f>+HYPERLINK("http://trademark.i-assist.jp/data/china/image_1913th/79641674.pdf","79641674")</f>
        <v>79641674</v>
      </c>
      <c r="F865" s="11" t="s">
        <v>552</v>
      </c>
      <c r="G865" s="11" t="s">
        <v>260</v>
      </c>
      <c r="H865" s="11" t="s">
        <v>2032</v>
      </c>
      <c r="I865" s="12">
        <v>45478</v>
      </c>
    </row>
    <row r="866" spans="1:9" x14ac:dyDescent="0.15">
      <c r="A866" s="9">
        <v>865</v>
      </c>
      <c r="B866" s="10" t="s">
        <v>9</v>
      </c>
      <c r="C866" s="11" t="s">
        <v>10</v>
      </c>
      <c r="D866" s="12">
        <v>45623</v>
      </c>
      <c r="E866" s="13" t="str">
        <f>+HYPERLINK("http://trademark.i-assist.jp/data/china/image_1913th/79985451.pdf","79985451")</f>
        <v>79985451</v>
      </c>
      <c r="F866" s="11" t="s">
        <v>553</v>
      </c>
      <c r="G866" s="11" t="s">
        <v>260</v>
      </c>
      <c r="H866" s="11" t="s">
        <v>2034</v>
      </c>
      <c r="I866" s="12">
        <v>45497</v>
      </c>
    </row>
    <row r="867" spans="1:9" x14ac:dyDescent="0.15">
      <c r="A867" s="9">
        <v>866</v>
      </c>
      <c r="B867" s="10" t="s">
        <v>9</v>
      </c>
      <c r="C867" s="11" t="s">
        <v>10</v>
      </c>
      <c r="D867" s="12">
        <v>45623</v>
      </c>
      <c r="E867" s="13" t="str">
        <f>+HYPERLINK("http://trademark.i-assist.jp/data/china/image_1913th/80379571.pdf","80379571")</f>
        <v>80379571</v>
      </c>
      <c r="F867" s="11" t="s">
        <v>554</v>
      </c>
      <c r="G867" s="11" t="s">
        <v>501</v>
      </c>
      <c r="H867" s="11" t="s">
        <v>2926</v>
      </c>
      <c r="I867" s="12">
        <v>45519</v>
      </c>
    </row>
    <row r="868" spans="1:9" x14ac:dyDescent="0.15">
      <c r="A868" s="9">
        <v>867</v>
      </c>
      <c r="B868" s="10" t="s">
        <v>9</v>
      </c>
      <c r="C868" s="11" t="s">
        <v>10</v>
      </c>
      <c r="D868" s="12">
        <v>45623</v>
      </c>
      <c r="E868" s="13" t="str">
        <f>+HYPERLINK("http://trademark.i-assist.jp/data/china/image_1913th/80380784.pdf","80380784")</f>
        <v>80380784</v>
      </c>
      <c r="F868" s="11" t="s">
        <v>555</v>
      </c>
      <c r="G868" s="11" t="s">
        <v>2927</v>
      </c>
      <c r="H868" s="11" t="s">
        <v>2928</v>
      </c>
      <c r="I868" s="12">
        <v>45519</v>
      </c>
    </row>
    <row r="869" spans="1:9" x14ac:dyDescent="0.15">
      <c r="A869" s="9">
        <v>868</v>
      </c>
      <c r="B869" s="10" t="s">
        <v>9</v>
      </c>
      <c r="C869" s="11" t="s">
        <v>10</v>
      </c>
      <c r="D869" s="12">
        <v>45623</v>
      </c>
      <c r="E869" s="13" t="str">
        <f>+HYPERLINK("http://trademark.i-assist.jp/data/china/image_1913th/80390597.pdf","80390597")</f>
        <v>80390597</v>
      </c>
      <c r="F869" s="11" t="s">
        <v>2929</v>
      </c>
      <c r="G869" s="11" t="s">
        <v>2930</v>
      </c>
      <c r="H869" s="11" t="s">
        <v>2931</v>
      </c>
      <c r="I869" s="12">
        <v>45519</v>
      </c>
    </row>
    <row r="870" spans="1:9" x14ac:dyDescent="0.15">
      <c r="A870" s="9">
        <v>869</v>
      </c>
      <c r="B870" s="10" t="s">
        <v>9</v>
      </c>
      <c r="C870" s="11" t="s">
        <v>10</v>
      </c>
      <c r="D870" s="12">
        <v>45623</v>
      </c>
      <c r="E870" s="13" t="str">
        <f>+HYPERLINK("http://trademark.i-assist.jp/data/china/image_1913th/80400298.pdf","80400298")</f>
        <v>80400298</v>
      </c>
      <c r="F870" s="11" t="s">
        <v>556</v>
      </c>
      <c r="G870" s="11" t="s">
        <v>2932</v>
      </c>
      <c r="H870" s="11" t="s">
        <v>2933</v>
      </c>
      <c r="I870" s="12">
        <v>45520</v>
      </c>
    </row>
    <row r="871" spans="1:9" x14ac:dyDescent="0.15">
      <c r="A871" s="9">
        <v>870</v>
      </c>
      <c r="B871" s="10" t="s">
        <v>9</v>
      </c>
      <c r="C871" s="11" t="s">
        <v>10</v>
      </c>
      <c r="D871" s="12">
        <v>45623</v>
      </c>
      <c r="E871" s="13" t="str">
        <f>+HYPERLINK("http://trademark.i-assist.jp/data/china/image_1913th/80402238.pdf","80402238")</f>
        <v>80402238</v>
      </c>
      <c r="F871" s="11" t="s">
        <v>557</v>
      </c>
      <c r="G871" s="11" t="s">
        <v>1326</v>
      </c>
      <c r="H871" s="11" t="s">
        <v>1327</v>
      </c>
      <c r="I871" s="12">
        <v>45520</v>
      </c>
    </row>
    <row r="872" spans="1:9" x14ac:dyDescent="0.15">
      <c r="A872" s="9">
        <v>871</v>
      </c>
      <c r="B872" s="10" t="s">
        <v>9</v>
      </c>
      <c r="C872" s="11" t="s">
        <v>10</v>
      </c>
      <c r="D872" s="12">
        <v>45623</v>
      </c>
      <c r="E872" s="13" t="str">
        <f>+HYPERLINK("http://trademark.i-assist.jp/data/china/image_1913th/80412597.pdf","80412597")</f>
        <v>80412597</v>
      </c>
      <c r="F872" s="11" t="s">
        <v>558</v>
      </c>
      <c r="G872" s="11" t="s">
        <v>2934</v>
      </c>
      <c r="H872" s="11" t="s">
        <v>2935</v>
      </c>
      <c r="I872" s="12">
        <v>45520</v>
      </c>
    </row>
    <row r="873" spans="1:9" x14ac:dyDescent="0.15">
      <c r="A873" s="9">
        <v>872</v>
      </c>
      <c r="B873" s="10" t="s">
        <v>9</v>
      </c>
      <c r="C873" s="11" t="s">
        <v>10</v>
      </c>
      <c r="D873" s="12">
        <v>45623</v>
      </c>
      <c r="E873" s="13" t="str">
        <f>+HYPERLINK("http://trademark.i-assist.jp/data/china/image_1913th/80433550.pdf","80433550")</f>
        <v>80433550</v>
      </c>
      <c r="F873" s="11" t="s">
        <v>2936</v>
      </c>
      <c r="G873" s="11" t="s">
        <v>2936</v>
      </c>
      <c r="H873" s="11" t="s">
        <v>2937</v>
      </c>
      <c r="I873" s="12">
        <v>45523</v>
      </c>
    </row>
    <row r="874" spans="1:9" x14ac:dyDescent="0.15">
      <c r="A874" s="9">
        <v>873</v>
      </c>
      <c r="B874" s="10" t="s">
        <v>9</v>
      </c>
      <c r="C874" s="11" t="s">
        <v>10</v>
      </c>
      <c r="D874" s="12">
        <v>45623</v>
      </c>
      <c r="E874" s="13" t="str">
        <f>+HYPERLINK("http://trademark.i-assist.jp/data/china/image_1913th/80711901.pdf","80711901")</f>
        <v>80711901</v>
      </c>
      <c r="F874" s="11" t="s">
        <v>2938</v>
      </c>
      <c r="G874" s="11" t="s">
        <v>2939</v>
      </c>
      <c r="H874" s="11" t="s">
        <v>2940</v>
      </c>
      <c r="I874" s="12">
        <v>45538</v>
      </c>
    </row>
    <row r="875" spans="1:9" x14ac:dyDescent="0.15">
      <c r="A875" s="9">
        <v>874</v>
      </c>
      <c r="B875" s="10" t="s">
        <v>9</v>
      </c>
      <c r="C875" s="11" t="s">
        <v>10</v>
      </c>
      <c r="D875" s="12">
        <v>45623</v>
      </c>
      <c r="E875" s="13" t="str">
        <f>+HYPERLINK("http://trademark.i-assist.jp/data/china/image_1913th/80712140.pdf","80712140")</f>
        <v>80712140</v>
      </c>
      <c r="F875" s="11" t="s">
        <v>2941</v>
      </c>
      <c r="G875" s="11" t="s">
        <v>42</v>
      </c>
      <c r="H875" s="11" t="s">
        <v>1423</v>
      </c>
      <c r="I875" s="12">
        <v>45538</v>
      </c>
    </row>
    <row r="876" spans="1:9" x14ac:dyDescent="0.15">
      <c r="A876" s="9">
        <v>875</v>
      </c>
      <c r="B876" s="10" t="s">
        <v>9</v>
      </c>
      <c r="C876" s="11" t="s">
        <v>10</v>
      </c>
      <c r="D876" s="12">
        <v>45623</v>
      </c>
      <c r="E876" s="13" t="str">
        <f>+HYPERLINK("http://trademark.i-assist.jp/data/china/image_1913th/80712415.pdf","80712415")</f>
        <v>80712415</v>
      </c>
      <c r="F876" s="11" t="s">
        <v>2942</v>
      </c>
      <c r="G876" s="11" t="s">
        <v>2943</v>
      </c>
      <c r="H876" s="11" t="s">
        <v>2944</v>
      </c>
      <c r="I876" s="12">
        <v>45538</v>
      </c>
    </row>
    <row r="877" spans="1:9" x14ac:dyDescent="0.15">
      <c r="A877" s="9">
        <v>876</v>
      </c>
      <c r="B877" s="10" t="s">
        <v>9</v>
      </c>
      <c r="C877" s="11" t="s">
        <v>10</v>
      </c>
      <c r="D877" s="12">
        <v>45623</v>
      </c>
      <c r="E877" s="13" t="str">
        <f>+HYPERLINK("http://trademark.i-assist.jp/data/china/image_1913th/80714878.pdf","80714878")</f>
        <v>80714878</v>
      </c>
      <c r="F877" s="11" t="s">
        <v>559</v>
      </c>
      <c r="G877" s="11" t="s">
        <v>2794</v>
      </c>
      <c r="H877" s="11" t="s">
        <v>2795</v>
      </c>
      <c r="I877" s="12">
        <v>45538</v>
      </c>
    </row>
    <row r="878" spans="1:9" x14ac:dyDescent="0.15">
      <c r="A878" s="9">
        <v>877</v>
      </c>
      <c r="B878" s="10" t="s">
        <v>9</v>
      </c>
      <c r="C878" s="11" t="s">
        <v>10</v>
      </c>
      <c r="D878" s="12">
        <v>45623</v>
      </c>
      <c r="E878" s="13" t="str">
        <f>+HYPERLINK("http://trademark.i-assist.jp/data/china/image_1913th/80715336.pdf","80715336")</f>
        <v>80715336</v>
      </c>
      <c r="F878" s="11" t="s">
        <v>2945</v>
      </c>
      <c r="G878" s="11" t="s">
        <v>560</v>
      </c>
      <c r="H878" s="11" t="s">
        <v>2946</v>
      </c>
      <c r="I878" s="12">
        <v>45538</v>
      </c>
    </row>
    <row r="879" spans="1:9" x14ac:dyDescent="0.15">
      <c r="A879" s="9">
        <v>878</v>
      </c>
      <c r="B879" s="10" t="s">
        <v>9</v>
      </c>
      <c r="C879" s="11" t="s">
        <v>10</v>
      </c>
      <c r="D879" s="12">
        <v>45623</v>
      </c>
      <c r="E879" s="13" t="str">
        <f>+HYPERLINK("http://trademark.i-assist.jp/data/china/image_1913th/80720576.pdf","80720576")</f>
        <v>80720576</v>
      </c>
      <c r="F879" s="11" t="s">
        <v>2947</v>
      </c>
      <c r="G879" s="11" t="s">
        <v>1780</v>
      </c>
      <c r="H879" s="11" t="s">
        <v>1781</v>
      </c>
      <c r="I879" s="12">
        <v>45538</v>
      </c>
    </row>
    <row r="880" spans="1:9" x14ac:dyDescent="0.15">
      <c r="A880" s="9">
        <v>879</v>
      </c>
      <c r="B880" s="10" t="s">
        <v>9</v>
      </c>
      <c r="C880" s="11" t="s">
        <v>10</v>
      </c>
      <c r="D880" s="12">
        <v>45623</v>
      </c>
      <c r="E880" s="13" t="str">
        <f>+HYPERLINK("http://trademark.i-assist.jp/data/china/image_1913th/80729746.pdf","80729746")</f>
        <v>80729746</v>
      </c>
      <c r="F880" s="11" t="s">
        <v>561</v>
      </c>
      <c r="G880" s="11" t="s">
        <v>2948</v>
      </c>
      <c r="H880" s="11" t="s">
        <v>2949</v>
      </c>
      <c r="I880" s="12">
        <v>45538</v>
      </c>
    </row>
    <row r="881" spans="1:9" x14ac:dyDescent="0.15">
      <c r="A881" s="9">
        <v>880</v>
      </c>
      <c r="B881" s="10" t="s">
        <v>9</v>
      </c>
      <c r="C881" s="11" t="s">
        <v>10</v>
      </c>
      <c r="D881" s="12">
        <v>45623</v>
      </c>
      <c r="E881" s="13" t="str">
        <f>+HYPERLINK("http://trademark.i-assist.jp/data/china/image_1913th/80730685.pdf","80730685")</f>
        <v>80730685</v>
      </c>
      <c r="F881" s="11" t="s">
        <v>2950</v>
      </c>
      <c r="G881" s="11" t="s">
        <v>2951</v>
      </c>
      <c r="H881" s="11" t="s">
        <v>2952</v>
      </c>
      <c r="I881" s="12">
        <v>45539</v>
      </c>
    </row>
    <row r="882" spans="1:9" x14ac:dyDescent="0.15">
      <c r="A882" s="9">
        <v>881</v>
      </c>
      <c r="B882" s="10" t="s">
        <v>9</v>
      </c>
      <c r="C882" s="11" t="s">
        <v>10</v>
      </c>
      <c r="D882" s="12">
        <v>45623</v>
      </c>
      <c r="E882" s="13" t="str">
        <f>+HYPERLINK("http://trademark.i-assist.jp/data/china/image_1913th/80758013.pdf","80758013")</f>
        <v>80758013</v>
      </c>
      <c r="F882" s="11" t="s">
        <v>2953</v>
      </c>
      <c r="G882" s="11" t="s">
        <v>2954</v>
      </c>
      <c r="H882" s="11" t="s">
        <v>2955</v>
      </c>
      <c r="I882" s="12">
        <v>45540</v>
      </c>
    </row>
    <row r="883" spans="1:9" x14ac:dyDescent="0.15">
      <c r="A883" s="9">
        <v>882</v>
      </c>
      <c r="B883" s="10" t="s">
        <v>9</v>
      </c>
      <c r="C883" s="11" t="s">
        <v>10</v>
      </c>
      <c r="D883" s="12">
        <v>45623</v>
      </c>
      <c r="E883" s="13" t="str">
        <f>+HYPERLINK("http://trademark.i-assist.jp/data/china/image_1913th/80762661.pdf","80762661")</f>
        <v>80762661</v>
      </c>
      <c r="F883" s="11" t="s">
        <v>562</v>
      </c>
      <c r="G883" s="11" t="s">
        <v>2956</v>
      </c>
      <c r="H883" s="11" t="s">
        <v>2957</v>
      </c>
      <c r="I883" s="12">
        <v>45540</v>
      </c>
    </row>
    <row r="884" spans="1:9" x14ac:dyDescent="0.15">
      <c r="A884" s="9">
        <v>883</v>
      </c>
      <c r="B884" s="10" t="s">
        <v>9</v>
      </c>
      <c r="C884" s="11" t="s">
        <v>10</v>
      </c>
      <c r="D884" s="12">
        <v>45623</v>
      </c>
      <c r="E884" s="13" t="str">
        <f>+HYPERLINK("http://trademark.i-assist.jp/data/china/image_1913th/80769521.pdf","80769521")</f>
        <v>80769521</v>
      </c>
      <c r="F884" s="11" t="s">
        <v>563</v>
      </c>
      <c r="G884" s="11" t="s">
        <v>2958</v>
      </c>
      <c r="H884" s="11" t="s">
        <v>2959</v>
      </c>
      <c r="I884" s="12">
        <v>45540</v>
      </c>
    </row>
    <row r="885" spans="1:9" x14ac:dyDescent="0.15">
      <c r="A885" s="9">
        <v>884</v>
      </c>
      <c r="B885" s="10" t="s">
        <v>9</v>
      </c>
      <c r="C885" s="11" t="s">
        <v>10</v>
      </c>
      <c r="D885" s="12">
        <v>45623</v>
      </c>
      <c r="E885" s="13" t="str">
        <f>+HYPERLINK("http://trademark.i-assist.jp/data/china/image_1913th/80772230.pdf","80772230")</f>
        <v>80772230</v>
      </c>
      <c r="F885" s="11" t="s">
        <v>2960</v>
      </c>
      <c r="G885" s="11" t="s">
        <v>1975</v>
      </c>
      <c r="H885" s="11" t="s">
        <v>1976</v>
      </c>
      <c r="I885" s="12">
        <v>45540</v>
      </c>
    </row>
    <row r="886" spans="1:9" x14ac:dyDescent="0.15">
      <c r="A886" s="9">
        <v>885</v>
      </c>
      <c r="B886" s="10" t="s">
        <v>9</v>
      </c>
      <c r="C886" s="11" t="s">
        <v>10</v>
      </c>
      <c r="D886" s="12">
        <v>45623</v>
      </c>
      <c r="E886" s="13" t="str">
        <f>+HYPERLINK("http://trademark.i-assist.jp/data/china/image_1913th/80775566.pdf","80775566")</f>
        <v>80775566</v>
      </c>
      <c r="F886" s="11" t="s">
        <v>565</v>
      </c>
      <c r="G886" s="11" t="s">
        <v>564</v>
      </c>
      <c r="H886" s="11" t="s">
        <v>1923</v>
      </c>
      <c r="I886" s="12">
        <v>45540</v>
      </c>
    </row>
    <row r="887" spans="1:9" x14ac:dyDescent="0.15">
      <c r="A887" s="9">
        <v>886</v>
      </c>
      <c r="B887" s="10" t="s">
        <v>9</v>
      </c>
      <c r="C887" s="11" t="s">
        <v>10</v>
      </c>
      <c r="D887" s="12">
        <v>45623</v>
      </c>
      <c r="E887" s="13" t="str">
        <f>+HYPERLINK("http://trademark.i-assist.jp/data/china/image_1913th/80776846.pdf","80776846")</f>
        <v>80776846</v>
      </c>
      <c r="F887" s="11" t="s">
        <v>567</v>
      </c>
      <c r="G887" s="11" t="s">
        <v>566</v>
      </c>
      <c r="H887" s="11" t="s">
        <v>1480</v>
      </c>
      <c r="I887" s="12">
        <v>45540</v>
      </c>
    </row>
    <row r="888" spans="1:9" x14ac:dyDescent="0.15">
      <c r="A888" s="9">
        <v>887</v>
      </c>
      <c r="B888" s="10" t="s">
        <v>9</v>
      </c>
      <c r="C888" s="11" t="s">
        <v>10</v>
      </c>
      <c r="D888" s="12">
        <v>45623</v>
      </c>
      <c r="E888" s="13" t="str">
        <f>+HYPERLINK("http://trademark.i-assist.jp/data/china/image_1913th/80782931.pdf","80782931")</f>
        <v>80782931</v>
      </c>
      <c r="F888" s="11" t="s">
        <v>2961</v>
      </c>
      <c r="G888" s="11" t="s">
        <v>2962</v>
      </c>
      <c r="H888" s="11" t="s">
        <v>1588</v>
      </c>
      <c r="I888" s="12">
        <v>45541</v>
      </c>
    </row>
    <row r="889" spans="1:9" x14ac:dyDescent="0.15">
      <c r="A889" s="9">
        <v>888</v>
      </c>
      <c r="B889" s="10" t="s">
        <v>9</v>
      </c>
      <c r="C889" s="11" t="s">
        <v>10</v>
      </c>
      <c r="D889" s="12">
        <v>45623</v>
      </c>
      <c r="E889" s="13" t="str">
        <f>+HYPERLINK("http://trademark.i-assist.jp/data/china/image_1913th/80784053.pdf","80784053")</f>
        <v>80784053</v>
      </c>
      <c r="F889" s="11" t="s">
        <v>2963</v>
      </c>
      <c r="G889" s="11" t="s">
        <v>2964</v>
      </c>
      <c r="H889" s="11" t="s">
        <v>2965</v>
      </c>
      <c r="I889" s="12">
        <v>45541</v>
      </c>
    </row>
    <row r="890" spans="1:9" x14ac:dyDescent="0.15">
      <c r="A890" s="9">
        <v>889</v>
      </c>
      <c r="B890" s="10" t="s">
        <v>9</v>
      </c>
      <c r="C890" s="11" t="s">
        <v>10</v>
      </c>
      <c r="D890" s="12">
        <v>45623</v>
      </c>
      <c r="E890" s="13" t="str">
        <f>+HYPERLINK("http://trademark.i-assist.jp/data/china/image_1913th/80784629.pdf","80784629")</f>
        <v>80784629</v>
      </c>
      <c r="F890" s="11" t="s">
        <v>2966</v>
      </c>
      <c r="G890" s="11" t="s">
        <v>486</v>
      </c>
      <c r="H890" s="11" t="s">
        <v>1725</v>
      </c>
      <c r="I890" s="12">
        <v>45541</v>
      </c>
    </row>
    <row r="891" spans="1:9" x14ac:dyDescent="0.15">
      <c r="A891" s="9">
        <v>890</v>
      </c>
      <c r="B891" s="10" t="s">
        <v>9</v>
      </c>
      <c r="C891" s="11" t="s">
        <v>10</v>
      </c>
      <c r="D891" s="12">
        <v>45623</v>
      </c>
      <c r="E891" s="13" t="str">
        <f>+HYPERLINK("http://trademark.i-assist.jp/data/china/image_1913th/80785640.pdf","80785640")</f>
        <v>80785640</v>
      </c>
      <c r="F891" s="11" t="s">
        <v>568</v>
      </c>
      <c r="G891" s="11" t="s">
        <v>2967</v>
      </c>
      <c r="H891" s="11" t="s">
        <v>2968</v>
      </c>
      <c r="I891" s="12">
        <v>45541</v>
      </c>
    </row>
    <row r="892" spans="1:9" x14ac:dyDescent="0.15">
      <c r="A892" s="9">
        <v>891</v>
      </c>
      <c r="B892" s="10" t="s">
        <v>9</v>
      </c>
      <c r="C892" s="11" t="s">
        <v>10</v>
      </c>
      <c r="D892" s="12">
        <v>45623</v>
      </c>
      <c r="E892" s="13" t="str">
        <f>+HYPERLINK("http://trademark.i-assist.jp/data/china/image_1913th/80787106.pdf","80787106")</f>
        <v>80787106</v>
      </c>
      <c r="F892" s="11" t="s">
        <v>2969</v>
      </c>
      <c r="G892" s="11" t="s">
        <v>2970</v>
      </c>
      <c r="H892" s="11" t="s">
        <v>2971</v>
      </c>
      <c r="I892" s="12">
        <v>45541</v>
      </c>
    </row>
    <row r="893" spans="1:9" x14ac:dyDescent="0.15">
      <c r="A893" s="9">
        <v>892</v>
      </c>
      <c r="B893" s="10" t="s">
        <v>9</v>
      </c>
      <c r="C893" s="11" t="s">
        <v>10</v>
      </c>
      <c r="D893" s="12">
        <v>45623</v>
      </c>
      <c r="E893" s="13" t="str">
        <f>+HYPERLINK("http://trademark.i-assist.jp/data/china/image_1913th/80829497.pdf","80829497")</f>
        <v>80829497</v>
      </c>
      <c r="F893" s="11" t="s">
        <v>569</v>
      </c>
      <c r="G893" s="11" t="s">
        <v>2687</v>
      </c>
      <c r="H893" s="11" t="s">
        <v>2415</v>
      </c>
      <c r="I893" s="12">
        <v>45544</v>
      </c>
    </row>
    <row r="894" spans="1:9" x14ac:dyDescent="0.15">
      <c r="A894" s="9">
        <v>893</v>
      </c>
      <c r="B894" s="10" t="s">
        <v>9</v>
      </c>
      <c r="C894" s="11" t="s">
        <v>10</v>
      </c>
      <c r="D894" s="12">
        <v>45623</v>
      </c>
      <c r="E894" s="13" t="str">
        <f>+HYPERLINK("http://trademark.i-assist.jp/data/china/image_1913th/80829819.pdf","80829819")</f>
        <v>80829819</v>
      </c>
      <c r="F894" s="11" t="s">
        <v>570</v>
      </c>
      <c r="G894" s="11" t="s">
        <v>2972</v>
      </c>
      <c r="H894" s="11" t="s">
        <v>2973</v>
      </c>
      <c r="I894" s="12">
        <v>45544</v>
      </c>
    </row>
    <row r="895" spans="1:9" x14ac:dyDescent="0.15">
      <c r="A895" s="9">
        <v>894</v>
      </c>
      <c r="B895" s="10" t="s">
        <v>9</v>
      </c>
      <c r="C895" s="11" t="s">
        <v>10</v>
      </c>
      <c r="D895" s="12">
        <v>45623</v>
      </c>
      <c r="E895" s="13" t="str">
        <f>+HYPERLINK("http://trademark.i-assist.jp/data/china/image_1913th/80835285.pdf","80835285")</f>
        <v>80835285</v>
      </c>
      <c r="F895" s="11" t="s">
        <v>572</v>
      </c>
      <c r="G895" s="11" t="s">
        <v>571</v>
      </c>
      <c r="H895" s="11" t="s">
        <v>2974</v>
      </c>
      <c r="I895" s="12">
        <v>45545</v>
      </c>
    </row>
    <row r="896" spans="1:9" x14ac:dyDescent="0.15">
      <c r="A896" s="9">
        <v>895</v>
      </c>
      <c r="B896" s="10" t="s">
        <v>9</v>
      </c>
      <c r="C896" s="11" t="s">
        <v>10</v>
      </c>
      <c r="D896" s="12">
        <v>45623</v>
      </c>
      <c r="E896" s="13" t="str">
        <f>+HYPERLINK("http://trademark.i-assist.jp/data/china/image_1913th/80835776.pdf","80835776")</f>
        <v>80835776</v>
      </c>
      <c r="F896" s="11" t="s">
        <v>573</v>
      </c>
      <c r="G896" s="11" t="s">
        <v>1842</v>
      </c>
      <c r="H896" s="11" t="s">
        <v>1843</v>
      </c>
      <c r="I896" s="12">
        <v>45545</v>
      </c>
    </row>
    <row r="897" spans="1:9" x14ac:dyDescent="0.15">
      <c r="A897" s="9">
        <v>896</v>
      </c>
      <c r="B897" s="10" t="s">
        <v>9</v>
      </c>
      <c r="C897" s="11" t="s">
        <v>10</v>
      </c>
      <c r="D897" s="12">
        <v>45623</v>
      </c>
      <c r="E897" s="13" t="str">
        <f>+HYPERLINK("http://trademark.i-assist.jp/data/china/image_1913th/80842612.pdf","80842612")</f>
        <v>80842612</v>
      </c>
      <c r="F897" s="11" t="s">
        <v>1335</v>
      </c>
      <c r="G897" s="11" t="s">
        <v>2975</v>
      </c>
      <c r="H897" s="11" t="s">
        <v>2976</v>
      </c>
      <c r="I897" s="12">
        <v>45545</v>
      </c>
    </row>
    <row r="898" spans="1:9" x14ac:dyDescent="0.15">
      <c r="A898" s="9">
        <v>897</v>
      </c>
      <c r="B898" s="10" t="s">
        <v>9</v>
      </c>
      <c r="C898" s="11" t="s">
        <v>10</v>
      </c>
      <c r="D898" s="12">
        <v>45623</v>
      </c>
      <c r="E898" s="13" t="str">
        <f>+HYPERLINK("http://trademark.i-assist.jp/data/china/image_1913th/80844141.pdf","80844141")</f>
        <v>80844141</v>
      </c>
      <c r="F898" s="11" t="s">
        <v>2977</v>
      </c>
      <c r="G898" s="11" t="s">
        <v>2346</v>
      </c>
      <c r="H898" s="11" t="s">
        <v>1376</v>
      </c>
      <c r="I898" s="12">
        <v>45545</v>
      </c>
    </row>
    <row r="899" spans="1:9" x14ac:dyDescent="0.15">
      <c r="A899" s="9">
        <v>898</v>
      </c>
      <c r="B899" s="10" t="s">
        <v>9</v>
      </c>
      <c r="C899" s="11" t="s">
        <v>10</v>
      </c>
      <c r="D899" s="12">
        <v>45623</v>
      </c>
      <c r="E899" s="13" t="str">
        <f>+HYPERLINK("http://trademark.i-assist.jp/data/china/image_1913th/80846420.pdf","80846420")</f>
        <v>80846420</v>
      </c>
      <c r="F899" s="11" t="s">
        <v>574</v>
      </c>
      <c r="G899" s="11" t="s">
        <v>2978</v>
      </c>
      <c r="H899" s="11" t="s">
        <v>2979</v>
      </c>
      <c r="I899" s="12">
        <v>45545</v>
      </c>
    </row>
    <row r="900" spans="1:9" x14ac:dyDescent="0.15">
      <c r="A900" s="9">
        <v>899</v>
      </c>
      <c r="B900" s="10" t="s">
        <v>9</v>
      </c>
      <c r="C900" s="11" t="s">
        <v>10</v>
      </c>
      <c r="D900" s="12">
        <v>45623</v>
      </c>
      <c r="E900" s="13" t="str">
        <f>+HYPERLINK("http://trademark.i-assist.jp/data/china/image_1913th/80899382.pdf","80899382")</f>
        <v>80899382</v>
      </c>
      <c r="F900" s="11" t="s">
        <v>2980</v>
      </c>
      <c r="G900" s="11" t="s">
        <v>1656</v>
      </c>
      <c r="H900" s="11" t="s">
        <v>1657</v>
      </c>
      <c r="I900" s="12">
        <v>45547</v>
      </c>
    </row>
    <row r="901" spans="1:9" x14ac:dyDescent="0.15">
      <c r="A901" s="9">
        <v>900</v>
      </c>
      <c r="B901" s="10" t="s">
        <v>9</v>
      </c>
      <c r="C901" s="11" t="s">
        <v>10</v>
      </c>
      <c r="D901" s="12">
        <v>45623</v>
      </c>
      <c r="E901" s="13" t="str">
        <f>+HYPERLINK("http://trademark.i-assist.jp/data/china/image_1913th/67469744.pdf","67469744")</f>
        <v>67469744</v>
      </c>
      <c r="F901" s="11" t="s">
        <v>575</v>
      </c>
      <c r="G901" s="11" t="s">
        <v>2981</v>
      </c>
      <c r="H901" s="11" t="s">
        <v>2982</v>
      </c>
      <c r="I901" s="12">
        <v>44831</v>
      </c>
    </row>
    <row r="902" spans="1:9" x14ac:dyDescent="0.15">
      <c r="A902" s="9">
        <v>901</v>
      </c>
      <c r="B902" s="10" t="s">
        <v>9</v>
      </c>
      <c r="C902" s="11" t="s">
        <v>10</v>
      </c>
      <c r="D902" s="12">
        <v>45623</v>
      </c>
      <c r="E902" s="13" t="str">
        <f>+HYPERLINK("http://trademark.i-assist.jp/data/china/image_1913th/71550794.pdf","71550794")</f>
        <v>71550794</v>
      </c>
      <c r="F902" s="11" t="s">
        <v>2983</v>
      </c>
      <c r="G902" s="11" t="s">
        <v>2984</v>
      </c>
      <c r="H902" s="11" t="s">
        <v>2985</v>
      </c>
      <c r="I902" s="12">
        <v>45061</v>
      </c>
    </row>
    <row r="903" spans="1:9" x14ac:dyDescent="0.15">
      <c r="A903" s="9">
        <v>902</v>
      </c>
      <c r="B903" s="10" t="s">
        <v>9</v>
      </c>
      <c r="C903" s="11" t="s">
        <v>10</v>
      </c>
      <c r="D903" s="12">
        <v>45623</v>
      </c>
      <c r="E903" s="13" t="str">
        <f>+HYPERLINK("http://trademark.i-assist.jp/data/china/image_1913th/74203013.pdf","74203013")</f>
        <v>74203013</v>
      </c>
      <c r="F903" s="11" t="s">
        <v>2986</v>
      </c>
      <c r="G903" s="11" t="s">
        <v>2987</v>
      </c>
      <c r="H903" s="11" t="s">
        <v>2988</v>
      </c>
      <c r="I903" s="12">
        <v>45189</v>
      </c>
    </row>
    <row r="904" spans="1:9" x14ac:dyDescent="0.15">
      <c r="A904" s="9">
        <v>903</v>
      </c>
      <c r="B904" s="10" t="s">
        <v>9</v>
      </c>
      <c r="C904" s="11" t="s">
        <v>10</v>
      </c>
      <c r="D904" s="12">
        <v>45623</v>
      </c>
      <c r="E904" s="13" t="str">
        <f>+HYPERLINK("http://trademark.i-assist.jp/data/china/image_1913th/74329763.pdf","74329763")</f>
        <v>74329763</v>
      </c>
      <c r="F904" s="11" t="s">
        <v>576</v>
      </c>
      <c r="G904" s="11" t="s">
        <v>2989</v>
      </c>
      <c r="H904" s="11" t="s">
        <v>2990</v>
      </c>
      <c r="I904" s="12">
        <v>45196</v>
      </c>
    </row>
    <row r="905" spans="1:9" x14ac:dyDescent="0.15">
      <c r="A905" s="9">
        <v>904</v>
      </c>
      <c r="B905" s="10" t="s">
        <v>9</v>
      </c>
      <c r="C905" s="11" t="s">
        <v>10</v>
      </c>
      <c r="D905" s="12">
        <v>45623</v>
      </c>
      <c r="E905" s="13" t="str">
        <f>+HYPERLINK("http://trademark.i-assist.jp/data/china/image_1913th/74564353.pdf","74564353")</f>
        <v>74564353</v>
      </c>
      <c r="F905" s="11" t="s">
        <v>578</v>
      </c>
      <c r="G905" s="11" t="s">
        <v>577</v>
      </c>
      <c r="H905" s="11" t="s">
        <v>2991</v>
      </c>
      <c r="I905" s="12">
        <v>45213</v>
      </c>
    </row>
    <row r="906" spans="1:9" x14ac:dyDescent="0.15">
      <c r="A906" s="9">
        <v>905</v>
      </c>
      <c r="B906" s="10" t="s">
        <v>9</v>
      </c>
      <c r="C906" s="11" t="s">
        <v>10</v>
      </c>
      <c r="D906" s="12">
        <v>45623</v>
      </c>
      <c r="E906" s="13" t="str">
        <f>+HYPERLINK("http://trademark.i-assist.jp/data/china/image_1913th/79245517.pdf","79245517")</f>
        <v>79245517</v>
      </c>
      <c r="F906" s="11" t="s">
        <v>407</v>
      </c>
      <c r="G906" s="11" t="s">
        <v>260</v>
      </c>
      <c r="H906" s="11" t="s">
        <v>2034</v>
      </c>
      <c r="I906" s="12">
        <v>45460</v>
      </c>
    </row>
    <row r="907" spans="1:9" x14ac:dyDescent="0.15">
      <c r="A907" s="9">
        <v>906</v>
      </c>
      <c r="B907" s="10" t="s">
        <v>9</v>
      </c>
      <c r="C907" s="11" t="s">
        <v>10</v>
      </c>
      <c r="D907" s="12">
        <v>45623</v>
      </c>
      <c r="E907" s="13" t="str">
        <f>+HYPERLINK("http://trademark.i-assist.jp/data/china/image_1913th/79268924.pdf","79268924")</f>
        <v>79268924</v>
      </c>
      <c r="F907" s="11" t="s">
        <v>579</v>
      </c>
      <c r="G907" s="11" t="s">
        <v>260</v>
      </c>
      <c r="H907" s="11" t="s">
        <v>2035</v>
      </c>
      <c r="I907" s="12">
        <v>45460</v>
      </c>
    </row>
    <row r="908" spans="1:9" x14ac:dyDescent="0.15">
      <c r="A908" s="9">
        <v>907</v>
      </c>
      <c r="B908" s="10" t="s">
        <v>9</v>
      </c>
      <c r="C908" s="11" t="s">
        <v>10</v>
      </c>
      <c r="D908" s="12">
        <v>45623</v>
      </c>
      <c r="E908" s="13" t="str">
        <f>+HYPERLINK("http://trademark.i-assist.jp/data/china/image_1913th/79281323.pdf","79281323")</f>
        <v>79281323</v>
      </c>
      <c r="F908" s="11" t="s">
        <v>2992</v>
      </c>
      <c r="G908" s="11" t="s">
        <v>1338</v>
      </c>
      <c r="H908" s="11" t="s">
        <v>1700</v>
      </c>
      <c r="I908" s="12">
        <v>45461</v>
      </c>
    </row>
    <row r="909" spans="1:9" x14ac:dyDescent="0.15">
      <c r="A909" s="9">
        <v>908</v>
      </c>
      <c r="B909" s="10" t="s">
        <v>9</v>
      </c>
      <c r="C909" s="11" t="s">
        <v>10</v>
      </c>
      <c r="D909" s="12">
        <v>45623</v>
      </c>
      <c r="E909" s="13" t="str">
        <f>+HYPERLINK("http://trademark.i-assist.jp/data/china/image_1913th/76401796.pdf","76401796")</f>
        <v>76401796</v>
      </c>
      <c r="F909" s="11" t="s">
        <v>581</v>
      </c>
      <c r="G909" s="11" t="s">
        <v>580</v>
      </c>
      <c r="H909" s="11" t="s">
        <v>2993</v>
      </c>
      <c r="I909" s="12">
        <v>45306</v>
      </c>
    </row>
    <row r="910" spans="1:9" x14ac:dyDescent="0.15">
      <c r="A910" s="9">
        <v>909</v>
      </c>
      <c r="B910" s="10" t="s">
        <v>9</v>
      </c>
      <c r="C910" s="11" t="s">
        <v>10</v>
      </c>
      <c r="D910" s="12">
        <v>45623</v>
      </c>
      <c r="E910" s="13" t="str">
        <f>+HYPERLINK("http://trademark.i-assist.jp/data/china/image_1913th/78359791.pdf","78359791")</f>
        <v>78359791</v>
      </c>
      <c r="F910" s="11" t="s">
        <v>582</v>
      </c>
      <c r="G910" s="11" t="s">
        <v>14</v>
      </c>
      <c r="H910" s="11" t="s">
        <v>2022</v>
      </c>
      <c r="I910" s="12">
        <v>45418</v>
      </c>
    </row>
    <row r="911" spans="1:9" x14ac:dyDescent="0.15">
      <c r="A911" s="9">
        <v>910</v>
      </c>
      <c r="B911" s="10" t="s">
        <v>9</v>
      </c>
      <c r="C911" s="11" t="s">
        <v>10</v>
      </c>
      <c r="D911" s="12">
        <v>45623</v>
      </c>
      <c r="E911" s="13" t="str">
        <f>+HYPERLINK("http://trademark.i-assist.jp/data/china/image_1913th/79374513.pdf","79374513")</f>
        <v>79374513</v>
      </c>
      <c r="F911" s="11" t="s">
        <v>583</v>
      </c>
      <c r="G911" s="11" t="s">
        <v>2994</v>
      </c>
      <c r="H911" s="11" t="s">
        <v>2995</v>
      </c>
      <c r="I911" s="12">
        <v>45464</v>
      </c>
    </row>
    <row r="912" spans="1:9" x14ac:dyDescent="0.15">
      <c r="A912" s="9">
        <v>911</v>
      </c>
      <c r="B912" s="10" t="s">
        <v>9</v>
      </c>
      <c r="C912" s="11" t="s">
        <v>10</v>
      </c>
      <c r="D912" s="12">
        <v>45623</v>
      </c>
      <c r="E912" s="13" t="str">
        <f>+HYPERLINK("http://trademark.i-assist.jp/data/china/image_1913th/80905944.pdf","80905944")</f>
        <v>80905944</v>
      </c>
      <c r="F912" s="11" t="s">
        <v>2996</v>
      </c>
      <c r="G912" s="11" t="s">
        <v>2997</v>
      </c>
      <c r="H912" s="11" t="s">
        <v>2998</v>
      </c>
      <c r="I912" s="12">
        <v>45548</v>
      </c>
    </row>
    <row r="913" spans="1:9" x14ac:dyDescent="0.15">
      <c r="A913" s="9">
        <v>912</v>
      </c>
      <c r="B913" s="10" t="s">
        <v>9</v>
      </c>
      <c r="C913" s="11" t="s">
        <v>10</v>
      </c>
      <c r="D913" s="12">
        <v>45623</v>
      </c>
      <c r="E913" s="13" t="str">
        <f>+HYPERLINK("http://trademark.i-assist.jp/data/china/image_1913th/80912706.pdf","80912706")</f>
        <v>80912706</v>
      </c>
      <c r="F913" s="11" t="s">
        <v>2999</v>
      </c>
      <c r="G913" s="11" t="s">
        <v>3000</v>
      </c>
      <c r="H913" s="11" t="s">
        <v>3001</v>
      </c>
      <c r="I913" s="12">
        <v>45547</v>
      </c>
    </row>
    <row r="914" spans="1:9" x14ac:dyDescent="0.15">
      <c r="A914" s="9">
        <v>913</v>
      </c>
      <c r="B914" s="10" t="s">
        <v>9</v>
      </c>
      <c r="C914" s="11" t="s">
        <v>10</v>
      </c>
      <c r="D914" s="12">
        <v>45623</v>
      </c>
      <c r="E914" s="13" t="str">
        <f>+HYPERLINK("http://trademark.i-assist.jp/data/china/image_1913th/80917778.pdf","80917778")</f>
        <v>80917778</v>
      </c>
      <c r="F914" s="11" t="s">
        <v>3002</v>
      </c>
      <c r="G914" s="11" t="s">
        <v>584</v>
      </c>
      <c r="H914" s="11" t="s">
        <v>1306</v>
      </c>
      <c r="I914" s="12">
        <v>45548</v>
      </c>
    </row>
    <row r="915" spans="1:9" x14ac:dyDescent="0.15">
      <c r="A915" s="9">
        <v>914</v>
      </c>
      <c r="B915" s="10" t="s">
        <v>9</v>
      </c>
      <c r="C915" s="11" t="s">
        <v>10</v>
      </c>
      <c r="D915" s="12">
        <v>45623</v>
      </c>
      <c r="E915" s="13" t="str">
        <f>+HYPERLINK("http://trademark.i-assist.jp/data/china/image_1913th/80923361.pdf","80923361")</f>
        <v>80923361</v>
      </c>
      <c r="F915" s="11" t="s">
        <v>3003</v>
      </c>
      <c r="G915" s="11" t="s">
        <v>2997</v>
      </c>
      <c r="H915" s="11" t="s">
        <v>2998</v>
      </c>
      <c r="I915" s="12">
        <v>45548</v>
      </c>
    </row>
    <row r="916" spans="1:9" x14ac:dyDescent="0.15">
      <c r="A916" s="9">
        <v>915</v>
      </c>
      <c r="B916" s="10" t="s">
        <v>9</v>
      </c>
      <c r="C916" s="11" t="s">
        <v>10</v>
      </c>
      <c r="D916" s="12">
        <v>45623</v>
      </c>
      <c r="E916" s="13" t="str">
        <f>+HYPERLINK("http://trademark.i-assist.jp/data/china/image_1913th/80947440.pdf","80947440")</f>
        <v>80947440</v>
      </c>
      <c r="F916" s="11" t="s">
        <v>585</v>
      </c>
      <c r="G916" s="11" t="s">
        <v>200</v>
      </c>
      <c r="H916" s="11" t="s">
        <v>3004</v>
      </c>
      <c r="I916" s="12">
        <v>45549</v>
      </c>
    </row>
    <row r="917" spans="1:9" x14ac:dyDescent="0.15">
      <c r="A917" s="9">
        <v>916</v>
      </c>
      <c r="B917" s="10" t="s">
        <v>9</v>
      </c>
      <c r="C917" s="11" t="s">
        <v>10</v>
      </c>
      <c r="D917" s="12">
        <v>45623</v>
      </c>
      <c r="E917" s="13" t="str">
        <f>+HYPERLINK("http://trademark.i-assist.jp/data/china/image_1913th/80972096.pdf","80972096")</f>
        <v>80972096</v>
      </c>
      <c r="F917" s="11" t="s">
        <v>3005</v>
      </c>
      <c r="G917" s="11" t="s">
        <v>3006</v>
      </c>
      <c r="H917" s="11" t="s">
        <v>3007</v>
      </c>
      <c r="I917" s="12">
        <v>45553</v>
      </c>
    </row>
    <row r="918" spans="1:9" x14ac:dyDescent="0.15">
      <c r="A918" s="9">
        <v>917</v>
      </c>
      <c r="B918" s="10" t="s">
        <v>9</v>
      </c>
      <c r="C918" s="11" t="s">
        <v>10</v>
      </c>
      <c r="D918" s="12">
        <v>45623</v>
      </c>
      <c r="E918" s="13" t="str">
        <f>+HYPERLINK("http://trademark.i-assist.jp/data/china/image_1913th/80794795.pdf","80794795")</f>
        <v>80794795</v>
      </c>
      <c r="F918" s="11" t="s">
        <v>1458</v>
      </c>
      <c r="G918" s="11" t="s">
        <v>1459</v>
      </c>
      <c r="H918" s="11" t="s">
        <v>1460</v>
      </c>
      <c r="I918" s="12">
        <v>45541</v>
      </c>
    </row>
    <row r="919" spans="1:9" x14ac:dyDescent="0.15">
      <c r="A919" s="9">
        <v>918</v>
      </c>
      <c r="B919" s="10" t="s">
        <v>9</v>
      </c>
      <c r="C919" s="11" t="s">
        <v>10</v>
      </c>
      <c r="D919" s="12">
        <v>45623</v>
      </c>
      <c r="E919" s="13" t="str">
        <f>+HYPERLINK("http://trademark.i-assist.jp/data/china/image_1913th/80801008.pdf","80801008")</f>
        <v>80801008</v>
      </c>
      <c r="F919" s="11" t="s">
        <v>586</v>
      </c>
      <c r="G919" s="11" t="s">
        <v>1839</v>
      </c>
      <c r="H919" s="11" t="s">
        <v>1840</v>
      </c>
      <c r="I919" s="12">
        <v>45541</v>
      </c>
    </row>
    <row r="920" spans="1:9" x14ac:dyDescent="0.15">
      <c r="A920" s="9">
        <v>919</v>
      </c>
      <c r="B920" s="10" t="s">
        <v>9</v>
      </c>
      <c r="C920" s="11" t="s">
        <v>10</v>
      </c>
      <c r="D920" s="12">
        <v>45623</v>
      </c>
      <c r="E920" s="13" t="str">
        <f>+HYPERLINK("http://trademark.i-assist.jp/data/china/image_1913th/80801474.pdf","80801474")</f>
        <v>80801474</v>
      </c>
      <c r="F920" s="11" t="s">
        <v>3008</v>
      </c>
      <c r="G920" s="11" t="s">
        <v>1534</v>
      </c>
      <c r="H920" s="11" t="s">
        <v>1535</v>
      </c>
      <c r="I920" s="12">
        <v>45542</v>
      </c>
    </row>
    <row r="921" spans="1:9" x14ac:dyDescent="0.15">
      <c r="A921" s="9">
        <v>920</v>
      </c>
      <c r="B921" s="10" t="s">
        <v>9</v>
      </c>
      <c r="C921" s="11" t="s">
        <v>10</v>
      </c>
      <c r="D921" s="12">
        <v>45623</v>
      </c>
      <c r="E921" s="13" t="str">
        <f>+HYPERLINK("http://trademark.i-assist.jp/data/china/image_1913th/80813311.pdf","80813311")</f>
        <v>80813311</v>
      </c>
      <c r="F921" s="11" t="s">
        <v>587</v>
      </c>
      <c r="G921" s="11" t="s">
        <v>1453</v>
      </c>
      <c r="H921" s="11" t="s">
        <v>1454</v>
      </c>
      <c r="I921" s="12">
        <v>45544</v>
      </c>
    </row>
    <row r="922" spans="1:9" x14ac:dyDescent="0.15">
      <c r="A922" s="9">
        <v>921</v>
      </c>
      <c r="B922" s="10" t="s">
        <v>9</v>
      </c>
      <c r="C922" s="11" t="s">
        <v>10</v>
      </c>
      <c r="D922" s="12">
        <v>45623</v>
      </c>
      <c r="E922" s="13" t="str">
        <f>+HYPERLINK("http://trademark.i-assist.jp/data/china/image_1913th/80816487.pdf","80816487")</f>
        <v>80816487</v>
      </c>
      <c r="F922" s="11" t="s">
        <v>588</v>
      </c>
      <c r="G922" s="11" t="s">
        <v>3009</v>
      </c>
      <c r="H922" s="11" t="s">
        <v>3010</v>
      </c>
      <c r="I922" s="12">
        <v>45544</v>
      </c>
    </row>
    <row r="923" spans="1:9" x14ac:dyDescent="0.15">
      <c r="A923" s="9">
        <v>922</v>
      </c>
      <c r="B923" s="10" t="s">
        <v>9</v>
      </c>
      <c r="C923" s="11" t="s">
        <v>10</v>
      </c>
      <c r="D923" s="12">
        <v>45623</v>
      </c>
      <c r="E923" s="13" t="str">
        <f>+HYPERLINK("http://trademark.i-assist.jp/data/china/image_1913th/80816788.pdf","80816788")</f>
        <v>80816788</v>
      </c>
      <c r="F923" s="11" t="s">
        <v>3011</v>
      </c>
      <c r="G923" s="11" t="s">
        <v>3012</v>
      </c>
      <c r="H923" s="11" t="s">
        <v>1286</v>
      </c>
      <c r="I923" s="12">
        <v>45544</v>
      </c>
    </row>
    <row r="924" spans="1:9" x14ac:dyDescent="0.15">
      <c r="A924" s="9">
        <v>923</v>
      </c>
      <c r="B924" s="10" t="s">
        <v>9</v>
      </c>
      <c r="C924" s="11" t="s">
        <v>10</v>
      </c>
      <c r="D924" s="12">
        <v>45623</v>
      </c>
      <c r="E924" s="13" t="str">
        <f>+HYPERLINK("http://trademark.i-assist.jp/data/china/image_1913th/80827208.pdf","80827208")</f>
        <v>80827208</v>
      </c>
      <c r="F924" s="11" t="s">
        <v>590</v>
      </c>
      <c r="G924" s="11" t="s">
        <v>589</v>
      </c>
      <c r="H924" s="11" t="s">
        <v>3013</v>
      </c>
      <c r="I924" s="12">
        <v>45544</v>
      </c>
    </row>
    <row r="925" spans="1:9" x14ac:dyDescent="0.15">
      <c r="A925" s="9">
        <v>924</v>
      </c>
      <c r="B925" s="10" t="s">
        <v>9</v>
      </c>
      <c r="C925" s="11" t="s">
        <v>10</v>
      </c>
      <c r="D925" s="12">
        <v>45623</v>
      </c>
      <c r="E925" s="13" t="str">
        <f>+HYPERLINK("http://trademark.i-assist.jp/data/china/image_1913th/52747320.pdf","52747320")</f>
        <v>52747320</v>
      </c>
      <c r="F925" s="11" t="s">
        <v>591</v>
      </c>
      <c r="G925" s="11" t="s">
        <v>1958</v>
      </c>
      <c r="H925" s="11" t="s">
        <v>1959</v>
      </c>
      <c r="I925" s="12">
        <v>44201</v>
      </c>
    </row>
    <row r="926" spans="1:9" x14ac:dyDescent="0.15">
      <c r="A926" s="9">
        <v>925</v>
      </c>
      <c r="B926" s="10" t="s">
        <v>9</v>
      </c>
      <c r="C926" s="11" t="s">
        <v>10</v>
      </c>
      <c r="D926" s="12">
        <v>45623</v>
      </c>
      <c r="E926" s="13" t="str">
        <f>+HYPERLINK("http://trademark.i-assist.jp/data/china/image_1913th/71813772.pdf","71813772")</f>
        <v>71813772</v>
      </c>
      <c r="F926" s="11" t="s">
        <v>3014</v>
      </c>
      <c r="G926" s="11" t="s">
        <v>3015</v>
      </c>
      <c r="H926" s="11" t="s">
        <v>3016</v>
      </c>
      <c r="I926" s="12">
        <v>45071</v>
      </c>
    </row>
    <row r="927" spans="1:9" x14ac:dyDescent="0.15">
      <c r="A927" s="9">
        <v>926</v>
      </c>
      <c r="B927" s="10" t="s">
        <v>9</v>
      </c>
      <c r="C927" s="11" t="s">
        <v>10</v>
      </c>
      <c r="D927" s="12">
        <v>45623</v>
      </c>
      <c r="E927" s="13" t="str">
        <f>+HYPERLINK("http://trademark.i-assist.jp/data/china/image_1913th/73696974.pdf","73696974")</f>
        <v>73696974</v>
      </c>
      <c r="F927" s="11" t="s">
        <v>3017</v>
      </c>
      <c r="G927" s="11" t="s">
        <v>3018</v>
      </c>
      <c r="H927" s="11" t="s">
        <v>3019</v>
      </c>
      <c r="I927" s="12">
        <v>45163</v>
      </c>
    </row>
    <row r="928" spans="1:9" x14ac:dyDescent="0.15">
      <c r="A928" s="9">
        <v>927</v>
      </c>
      <c r="B928" s="10" t="s">
        <v>9</v>
      </c>
      <c r="C928" s="11" t="s">
        <v>10</v>
      </c>
      <c r="D928" s="12">
        <v>45623</v>
      </c>
      <c r="E928" s="13" t="str">
        <f>+HYPERLINK("http://trademark.i-assist.jp/data/china/image_1913th/75342708.pdf","75342708")</f>
        <v>75342708</v>
      </c>
      <c r="F928" s="11" t="s">
        <v>592</v>
      </c>
      <c r="G928" s="11" t="s">
        <v>3020</v>
      </c>
      <c r="H928" s="11" t="s">
        <v>3021</v>
      </c>
      <c r="I928" s="12">
        <v>45252</v>
      </c>
    </row>
    <row r="929" spans="1:9" x14ac:dyDescent="0.15">
      <c r="A929" s="9">
        <v>928</v>
      </c>
      <c r="B929" s="10" t="s">
        <v>9</v>
      </c>
      <c r="C929" s="11" t="s">
        <v>10</v>
      </c>
      <c r="D929" s="12">
        <v>45623</v>
      </c>
      <c r="E929" s="13" t="str">
        <f>+HYPERLINK("http://trademark.i-assist.jp/data/china/image_1913th/75505237.pdf","75505237")</f>
        <v>75505237</v>
      </c>
      <c r="F929" s="11" t="s">
        <v>3022</v>
      </c>
      <c r="G929" s="11" t="s">
        <v>3023</v>
      </c>
      <c r="H929" s="11" t="s">
        <v>3024</v>
      </c>
      <c r="I929" s="12">
        <v>45260</v>
      </c>
    </row>
    <row r="930" spans="1:9" x14ac:dyDescent="0.15">
      <c r="A930" s="9">
        <v>929</v>
      </c>
      <c r="B930" s="10" t="s">
        <v>9</v>
      </c>
      <c r="C930" s="11" t="s">
        <v>10</v>
      </c>
      <c r="D930" s="12">
        <v>45623</v>
      </c>
      <c r="E930" s="13" t="str">
        <f>+HYPERLINK("http://trademark.i-assist.jp/data/china/image_1913th/79636540.pdf","79636540")</f>
        <v>79636540</v>
      </c>
      <c r="F930" s="11" t="s">
        <v>593</v>
      </c>
      <c r="G930" s="11" t="s">
        <v>3025</v>
      </c>
      <c r="H930" s="11" t="s">
        <v>3026</v>
      </c>
      <c r="I930" s="12">
        <v>45478</v>
      </c>
    </row>
    <row r="931" spans="1:9" x14ac:dyDescent="0.15">
      <c r="A931" s="9">
        <v>930</v>
      </c>
      <c r="B931" s="10" t="s">
        <v>9</v>
      </c>
      <c r="C931" s="11" t="s">
        <v>10</v>
      </c>
      <c r="D931" s="12">
        <v>45623</v>
      </c>
      <c r="E931" s="13" t="str">
        <f>+HYPERLINK("http://trademark.i-assist.jp/data/china/image_1913th/79734581.pdf","79734581")</f>
        <v>79734581</v>
      </c>
      <c r="F931" s="11" t="s">
        <v>3027</v>
      </c>
      <c r="G931" s="11" t="s">
        <v>3028</v>
      </c>
      <c r="H931" s="11" t="s">
        <v>3029</v>
      </c>
      <c r="I931" s="12">
        <v>45484</v>
      </c>
    </row>
    <row r="932" spans="1:9" x14ac:dyDescent="0.15">
      <c r="A932" s="9">
        <v>931</v>
      </c>
      <c r="B932" s="10" t="s">
        <v>9</v>
      </c>
      <c r="C932" s="11" t="s">
        <v>10</v>
      </c>
      <c r="D932" s="12">
        <v>45623</v>
      </c>
      <c r="E932" s="13" t="str">
        <f>+HYPERLINK("http://trademark.i-assist.jp/data/china/image_1913th/79778078.pdf","79778078")</f>
        <v>79778078</v>
      </c>
      <c r="F932" s="11" t="s">
        <v>3030</v>
      </c>
      <c r="G932" s="11" t="s">
        <v>3031</v>
      </c>
      <c r="H932" s="11" t="s">
        <v>3032</v>
      </c>
      <c r="I932" s="12">
        <v>45486</v>
      </c>
    </row>
    <row r="933" spans="1:9" x14ac:dyDescent="0.15">
      <c r="A933" s="9">
        <v>932</v>
      </c>
      <c r="B933" s="10" t="s">
        <v>9</v>
      </c>
      <c r="C933" s="11" t="s">
        <v>10</v>
      </c>
      <c r="D933" s="12">
        <v>45623</v>
      </c>
      <c r="E933" s="13" t="str">
        <f>+HYPERLINK("http://trademark.i-assist.jp/data/china/image_1913th/80552523.pdf","80552523")</f>
        <v>80552523</v>
      </c>
      <c r="F933" s="11" t="s">
        <v>3033</v>
      </c>
      <c r="G933" s="11" t="s">
        <v>3034</v>
      </c>
      <c r="H933" s="11" t="s">
        <v>3035</v>
      </c>
      <c r="I933" s="12">
        <v>45529</v>
      </c>
    </row>
    <row r="934" spans="1:9" x14ac:dyDescent="0.15">
      <c r="A934" s="9">
        <v>933</v>
      </c>
      <c r="B934" s="10" t="s">
        <v>9</v>
      </c>
      <c r="C934" s="11" t="s">
        <v>10</v>
      </c>
      <c r="D934" s="12">
        <v>45623</v>
      </c>
      <c r="E934" s="13" t="str">
        <f>+HYPERLINK("http://trademark.i-assist.jp/data/china/image_1913th/80553702.pdf","80553702")</f>
        <v>80553702</v>
      </c>
      <c r="F934" s="11" t="s">
        <v>594</v>
      </c>
      <c r="G934" s="11" t="s">
        <v>3036</v>
      </c>
      <c r="H934" s="11" t="s">
        <v>3037</v>
      </c>
      <c r="I934" s="12">
        <v>45529</v>
      </c>
    </row>
    <row r="935" spans="1:9" x14ac:dyDescent="0.15">
      <c r="A935" s="9">
        <v>934</v>
      </c>
      <c r="B935" s="10" t="s">
        <v>9</v>
      </c>
      <c r="C935" s="11" t="s">
        <v>10</v>
      </c>
      <c r="D935" s="12">
        <v>45623</v>
      </c>
      <c r="E935" s="13" t="str">
        <f>+HYPERLINK("http://trademark.i-assist.jp/data/china/image_1913th/80568191.pdf","80568191")</f>
        <v>80568191</v>
      </c>
      <c r="F935" s="11" t="s">
        <v>595</v>
      </c>
      <c r="G935" s="11" t="s">
        <v>3038</v>
      </c>
      <c r="H935" s="11" t="s">
        <v>3039</v>
      </c>
      <c r="I935" s="12">
        <v>45530</v>
      </c>
    </row>
    <row r="936" spans="1:9" x14ac:dyDescent="0.15">
      <c r="A936" s="9">
        <v>935</v>
      </c>
      <c r="B936" s="10" t="s">
        <v>9</v>
      </c>
      <c r="C936" s="11" t="s">
        <v>10</v>
      </c>
      <c r="D936" s="12">
        <v>45623</v>
      </c>
      <c r="E936" s="13" t="str">
        <f>+HYPERLINK("http://trademark.i-assist.jp/data/china/image_1913th/80568925.pdf","80568925")</f>
        <v>80568925</v>
      </c>
      <c r="F936" s="11" t="s">
        <v>3040</v>
      </c>
      <c r="G936" s="11" t="s">
        <v>3041</v>
      </c>
      <c r="H936" s="11" t="s">
        <v>3042</v>
      </c>
      <c r="I936" s="12">
        <v>45530</v>
      </c>
    </row>
    <row r="937" spans="1:9" x14ac:dyDescent="0.15">
      <c r="A937" s="9">
        <v>936</v>
      </c>
      <c r="B937" s="10" t="s">
        <v>9</v>
      </c>
      <c r="C937" s="11" t="s">
        <v>10</v>
      </c>
      <c r="D937" s="12">
        <v>45623</v>
      </c>
      <c r="E937" s="13" t="str">
        <f>+HYPERLINK("http://trademark.i-assist.jp/data/china/image_1913th/80575097.pdf","80575097")</f>
        <v>80575097</v>
      </c>
      <c r="F937" s="11" t="s">
        <v>596</v>
      </c>
      <c r="G937" s="11" t="s">
        <v>3043</v>
      </c>
      <c r="H937" s="11" t="s">
        <v>3044</v>
      </c>
      <c r="I937" s="12">
        <v>45530</v>
      </c>
    </row>
    <row r="938" spans="1:9" x14ac:dyDescent="0.15">
      <c r="A938" s="9">
        <v>937</v>
      </c>
      <c r="B938" s="10" t="s">
        <v>9</v>
      </c>
      <c r="C938" s="11" t="s">
        <v>10</v>
      </c>
      <c r="D938" s="12">
        <v>45623</v>
      </c>
      <c r="E938" s="13" t="str">
        <f>+HYPERLINK("http://trademark.i-assist.jp/data/china/image_1913th/80578138.pdf","80578138")</f>
        <v>80578138</v>
      </c>
      <c r="F938" s="11" t="s">
        <v>3045</v>
      </c>
      <c r="G938" s="11" t="s">
        <v>3046</v>
      </c>
      <c r="H938" s="11" t="s">
        <v>1916</v>
      </c>
      <c r="I938" s="12">
        <v>45531</v>
      </c>
    </row>
    <row r="939" spans="1:9" x14ac:dyDescent="0.15">
      <c r="A939" s="9">
        <v>938</v>
      </c>
      <c r="B939" s="10" t="s">
        <v>9</v>
      </c>
      <c r="C939" s="11" t="s">
        <v>10</v>
      </c>
      <c r="D939" s="12">
        <v>45623</v>
      </c>
      <c r="E939" s="13" t="str">
        <f>+HYPERLINK("http://trademark.i-assist.jp/data/china/image_1913th/80587214.pdf","80587214")</f>
        <v>80587214</v>
      </c>
      <c r="F939" s="11" t="s">
        <v>597</v>
      </c>
      <c r="G939" s="11" t="s">
        <v>3047</v>
      </c>
      <c r="H939" s="11" t="s">
        <v>3048</v>
      </c>
      <c r="I939" s="12">
        <v>45531</v>
      </c>
    </row>
    <row r="940" spans="1:9" x14ac:dyDescent="0.15">
      <c r="A940" s="9">
        <v>939</v>
      </c>
      <c r="B940" s="10" t="s">
        <v>9</v>
      </c>
      <c r="C940" s="11" t="s">
        <v>10</v>
      </c>
      <c r="D940" s="12">
        <v>45623</v>
      </c>
      <c r="E940" s="13" t="str">
        <f>+HYPERLINK("http://trademark.i-assist.jp/data/china/image_1913th/80587308.pdf","80587308")</f>
        <v>80587308</v>
      </c>
      <c r="F940" s="11" t="s">
        <v>3049</v>
      </c>
      <c r="G940" s="11" t="s">
        <v>3050</v>
      </c>
      <c r="H940" s="11" t="s">
        <v>3051</v>
      </c>
      <c r="I940" s="12">
        <v>45531</v>
      </c>
    </row>
    <row r="941" spans="1:9" x14ac:dyDescent="0.15">
      <c r="A941" s="9">
        <v>940</v>
      </c>
      <c r="B941" s="10" t="s">
        <v>9</v>
      </c>
      <c r="C941" s="11" t="s">
        <v>10</v>
      </c>
      <c r="D941" s="12">
        <v>45623</v>
      </c>
      <c r="E941" s="13" t="str">
        <f>+HYPERLINK("http://trademark.i-assist.jp/data/china/image_1913th/80590059.pdf","80590059")</f>
        <v>80590059</v>
      </c>
      <c r="F941" s="11" t="s">
        <v>3052</v>
      </c>
      <c r="G941" s="11" t="s">
        <v>3053</v>
      </c>
      <c r="H941" s="11" t="s">
        <v>3054</v>
      </c>
      <c r="I941" s="12">
        <v>45531</v>
      </c>
    </row>
    <row r="942" spans="1:9" x14ac:dyDescent="0.15">
      <c r="A942" s="9">
        <v>941</v>
      </c>
      <c r="B942" s="10" t="s">
        <v>9</v>
      </c>
      <c r="C942" s="11" t="s">
        <v>10</v>
      </c>
      <c r="D942" s="12">
        <v>45623</v>
      </c>
      <c r="E942" s="13" t="str">
        <f>+HYPERLINK("http://trademark.i-assist.jp/data/china/image_1913th/80592289.pdf","80592289")</f>
        <v>80592289</v>
      </c>
      <c r="F942" s="11" t="s">
        <v>3055</v>
      </c>
      <c r="G942" s="11" t="s">
        <v>507</v>
      </c>
      <c r="H942" s="11" t="s">
        <v>2780</v>
      </c>
      <c r="I942" s="12">
        <v>45531</v>
      </c>
    </row>
    <row r="943" spans="1:9" x14ac:dyDescent="0.15">
      <c r="A943" s="9">
        <v>942</v>
      </c>
      <c r="B943" s="10" t="s">
        <v>9</v>
      </c>
      <c r="C943" s="11" t="s">
        <v>10</v>
      </c>
      <c r="D943" s="12">
        <v>45623</v>
      </c>
      <c r="E943" s="13" t="str">
        <f>+HYPERLINK("http://trademark.i-assist.jp/data/china/image_1913th/80595850.pdf","80595850")</f>
        <v>80595850</v>
      </c>
      <c r="F943" s="11" t="s">
        <v>3056</v>
      </c>
      <c r="G943" s="11" t="s">
        <v>3057</v>
      </c>
      <c r="H943" s="11" t="s">
        <v>1430</v>
      </c>
      <c r="I943" s="12">
        <v>45531</v>
      </c>
    </row>
    <row r="944" spans="1:9" x14ac:dyDescent="0.15">
      <c r="A944" s="9">
        <v>943</v>
      </c>
      <c r="B944" s="10" t="s">
        <v>9</v>
      </c>
      <c r="C944" s="11" t="s">
        <v>10</v>
      </c>
      <c r="D944" s="12">
        <v>45623</v>
      </c>
      <c r="E944" s="13" t="str">
        <f>+HYPERLINK("http://trademark.i-assist.jp/data/china/image_1913th/80598724.pdf","80598724")</f>
        <v>80598724</v>
      </c>
      <c r="F944" s="11" t="s">
        <v>598</v>
      </c>
      <c r="G944" s="11" t="s">
        <v>3058</v>
      </c>
      <c r="H944" s="11" t="s">
        <v>3059</v>
      </c>
      <c r="I944" s="12">
        <v>45531</v>
      </c>
    </row>
    <row r="945" spans="1:9" x14ac:dyDescent="0.15">
      <c r="A945" s="9">
        <v>944</v>
      </c>
      <c r="B945" s="10" t="s">
        <v>9</v>
      </c>
      <c r="C945" s="11" t="s">
        <v>10</v>
      </c>
      <c r="D945" s="12">
        <v>45623</v>
      </c>
      <c r="E945" s="13" t="str">
        <f>+HYPERLINK("http://trademark.i-assist.jp/data/china/image_1913th/80603859.pdf","80603859")</f>
        <v>80603859</v>
      </c>
      <c r="F945" s="11" t="s">
        <v>599</v>
      </c>
      <c r="G945" s="11" t="s">
        <v>3060</v>
      </c>
      <c r="H945" s="11" t="s">
        <v>3061</v>
      </c>
      <c r="I945" s="12">
        <v>45532</v>
      </c>
    </row>
    <row r="946" spans="1:9" x14ac:dyDescent="0.15">
      <c r="A946" s="9">
        <v>945</v>
      </c>
      <c r="B946" s="10" t="s">
        <v>9</v>
      </c>
      <c r="C946" s="11" t="s">
        <v>10</v>
      </c>
      <c r="D946" s="12">
        <v>45623</v>
      </c>
      <c r="E946" s="13" t="str">
        <f>+HYPERLINK("http://trademark.i-assist.jp/data/china/image_1913th/80606682.pdf","80606682")</f>
        <v>80606682</v>
      </c>
      <c r="F946" s="11" t="s">
        <v>3062</v>
      </c>
      <c r="G946" s="11" t="s">
        <v>600</v>
      </c>
      <c r="H946" s="11" t="s">
        <v>2239</v>
      </c>
      <c r="I946" s="12">
        <v>45532</v>
      </c>
    </row>
    <row r="947" spans="1:9" x14ac:dyDescent="0.15">
      <c r="A947" s="9">
        <v>946</v>
      </c>
      <c r="B947" s="10" t="s">
        <v>9</v>
      </c>
      <c r="C947" s="11" t="s">
        <v>10</v>
      </c>
      <c r="D947" s="12">
        <v>45623</v>
      </c>
      <c r="E947" s="13" t="str">
        <f>+HYPERLINK("http://trademark.i-assist.jp/data/china/image_1913th/80614584.pdf","80614584")</f>
        <v>80614584</v>
      </c>
      <c r="F947" s="11" t="s">
        <v>3063</v>
      </c>
      <c r="G947" s="11" t="s">
        <v>2652</v>
      </c>
      <c r="H947" s="11" t="s">
        <v>2653</v>
      </c>
      <c r="I947" s="12">
        <v>45532</v>
      </c>
    </row>
    <row r="948" spans="1:9" x14ac:dyDescent="0.15">
      <c r="A948" s="9">
        <v>947</v>
      </c>
      <c r="B948" s="10" t="s">
        <v>9</v>
      </c>
      <c r="C948" s="11" t="s">
        <v>10</v>
      </c>
      <c r="D948" s="12">
        <v>45623</v>
      </c>
      <c r="E948" s="13" t="str">
        <f>+HYPERLINK("http://trademark.i-assist.jp/data/china/image_1913th/80617505.pdf","80617505")</f>
        <v>80617505</v>
      </c>
      <c r="F948" s="11" t="s">
        <v>601</v>
      </c>
      <c r="G948" s="11" t="s">
        <v>3064</v>
      </c>
      <c r="H948" s="11" t="s">
        <v>3065</v>
      </c>
      <c r="I948" s="12">
        <v>45532</v>
      </c>
    </row>
    <row r="949" spans="1:9" x14ac:dyDescent="0.15">
      <c r="A949" s="9">
        <v>948</v>
      </c>
      <c r="B949" s="10" t="s">
        <v>9</v>
      </c>
      <c r="C949" s="11" t="s">
        <v>10</v>
      </c>
      <c r="D949" s="12">
        <v>45623</v>
      </c>
      <c r="E949" s="13" t="str">
        <f>+HYPERLINK("http://trademark.i-assist.jp/data/china/image_1913th/80618690.pdf","80618690")</f>
        <v>80618690</v>
      </c>
      <c r="F949" s="11" t="s">
        <v>1335</v>
      </c>
      <c r="G949" s="11" t="s">
        <v>3066</v>
      </c>
      <c r="H949" s="11" t="s">
        <v>1588</v>
      </c>
      <c r="I949" s="12">
        <v>45532</v>
      </c>
    </row>
    <row r="950" spans="1:9" x14ac:dyDescent="0.15">
      <c r="A950" s="9">
        <v>949</v>
      </c>
      <c r="B950" s="10" t="s">
        <v>9</v>
      </c>
      <c r="C950" s="11" t="s">
        <v>10</v>
      </c>
      <c r="D950" s="12">
        <v>45623</v>
      </c>
      <c r="E950" s="13" t="str">
        <f>+HYPERLINK("http://trademark.i-assist.jp/data/china/image_1913th/80624032.pdf","80624032")</f>
        <v>80624032</v>
      </c>
      <c r="F950" s="11" t="s">
        <v>602</v>
      </c>
      <c r="G950" s="11" t="s">
        <v>600</v>
      </c>
      <c r="H950" s="11" t="s">
        <v>2239</v>
      </c>
      <c r="I950" s="12">
        <v>45532</v>
      </c>
    </row>
    <row r="951" spans="1:9" x14ac:dyDescent="0.15">
      <c r="A951" s="9">
        <v>950</v>
      </c>
      <c r="B951" s="10" t="s">
        <v>9</v>
      </c>
      <c r="C951" s="11" t="s">
        <v>10</v>
      </c>
      <c r="D951" s="12">
        <v>45623</v>
      </c>
      <c r="E951" s="13" t="str">
        <f>+HYPERLINK("http://trademark.i-assist.jp/data/china/image_1913th/80628610.pdf","80628610")</f>
        <v>80628610</v>
      </c>
      <c r="F951" s="11" t="s">
        <v>3067</v>
      </c>
      <c r="G951" s="11" t="s">
        <v>3068</v>
      </c>
      <c r="H951" s="11" t="s">
        <v>3069</v>
      </c>
      <c r="I951" s="12">
        <v>45533</v>
      </c>
    </row>
    <row r="952" spans="1:9" x14ac:dyDescent="0.15">
      <c r="A952" s="9">
        <v>951</v>
      </c>
      <c r="B952" s="10" t="s">
        <v>9</v>
      </c>
      <c r="C952" s="11" t="s">
        <v>10</v>
      </c>
      <c r="D952" s="12">
        <v>45623</v>
      </c>
      <c r="E952" s="13" t="str">
        <f>+HYPERLINK("http://trademark.i-assist.jp/data/china/image_1913th/80629720.pdf","80629720")</f>
        <v>80629720</v>
      </c>
      <c r="F952" s="11" t="s">
        <v>3070</v>
      </c>
      <c r="G952" s="11" t="s">
        <v>3071</v>
      </c>
      <c r="H952" s="11" t="s">
        <v>3072</v>
      </c>
      <c r="I952" s="12">
        <v>45533</v>
      </c>
    </row>
    <row r="953" spans="1:9" x14ac:dyDescent="0.15">
      <c r="A953" s="9">
        <v>952</v>
      </c>
      <c r="B953" s="10" t="s">
        <v>9</v>
      </c>
      <c r="C953" s="11" t="s">
        <v>10</v>
      </c>
      <c r="D953" s="12">
        <v>45623</v>
      </c>
      <c r="E953" s="13" t="str">
        <f>+HYPERLINK("http://trademark.i-assist.jp/data/china/image_1913th/80646626.pdf","80646626")</f>
        <v>80646626</v>
      </c>
      <c r="F953" s="11" t="s">
        <v>3073</v>
      </c>
      <c r="G953" s="11" t="s">
        <v>3074</v>
      </c>
      <c r="H953" s="11" t="s">
        <v>3075</v>
      </c>
      <c r="I953" s="12">
        <v>45533</v>
      </c>
    </row>
    <row r="954" spans="1:9" x14ac:dyDescent="0.15">
      <c r="A954" s="9">
        <v>953</v>
      </c>
      <c r="B954" s="10" t="s">
        <v>9</v>
      </c>
      <c r="C954" s="11" t="s">
        <v>10</v>
      </c>
      <c r="D954" s="12">
        <v>45623</v>
      </c>
      <c r="E954" s="13" t="str">
        <f>+HYPERLINK("http://trademark.i-assist.jp/data/china/image_1913th/80647317.pdf","80647317")</f>
        <v>80647317</v>
      </c>
      <c r="F954" s="11" t="s">
        <v>603</v>
      </c>
      <c r="G954" s="11" t="s">
        <v>1388</v>
      </c>
      <c r="H954" s="11" t="s">
        <v>1389</v>
      </c>
      <c r="I954" s="12">
        <v>45533</v>
      </c>
    </row>
    <row r="955" spans="1:9" x14ac:dyDescent="0.15">
      <c r="A955" s="9">
        <v>954</v>
      </c>
      <c r="B955" s="10" t="s">
        <v>9</v>
      </c>
      <c r="C955" s="11" t="s">
        <v>10</v>
      </c>
      <c r="D955" s="12">
        <v>45623</v>
      </c>
      <c r="E955" s="13" t="str">
        <f>+HYPERLINK("http://trademark.i-assist.jp/data/china/image_1913th/80647640.pdf","80647640")</f>
        <v>80647640</v>
      </c>
      <c r="F955" s="11" t="s">
        <v>3076</v>
      </c>
      <c r="G955" s="11" t="s">
        <v>1625</v>
      </c>
      <c r="H955" s="11" t="s">
        <v>1626</v>
      </c>
      <c r="I955" s="12">
        <v>45533</v>
      </c>
    </row>
    <row r="956" spans="1:9" x14ac:dyDescent="0.15">
      <c r="A956" s="9">
        <v>955</v>
      </c>
      <c r="B956" s="10" t="s">
        <v>9</v>
      </c>
      <c r="C956" s="11" t="s">
        <v>10</v>
      </c>
      <c r="D956" s="12">
        <v>45623</v>
      </c>
      <c r="E956" s="13" t="str">
        <f>+HYPERLINK("http://trademark.i-assist.jp/data/china/image_1913th/80763389.pdf","80763389")</f>
        <v>80763389</v>
      </c>
      <c r="F956" s="11" t="s">
        <v>604</v>
      </c>
      <c r="G956" s="11" t="s">
        <v>3077</v>
      </c>
      <c r="H956" s="11" t="s">
        <v>3078</v>
      </c>
      <c r="I956" s="12">
        <v>45540</v>
      </c>
    </row>
    <row r="957" spans="1:9" x14ac:dyDescent="0.15">
      <c r="A957" s="9">
        <v>956</v>
      </c>
      <c r="B957" s="10" t="s">
        <v>9</v>
      </c>
      <c r="C957" s="11" t="s">
        <v>10</v>
      </c>
      <c r="D957" s="12">
        <v>45623</v>
      </c>
      <c r="E957" s="13" t="str">
        <f>+HYPERLINK("http://trademark.i-assist.jp/data/china/image_1913th/80764190.pdf","80764190")</f>
        <v>80764190</v>
      </c>
      <c r="F957" s="11" t="s">
        <v>606</v>
      </c>
      <c r="G957" s="11" t="s">
        <v>605</v>
      </c>
      <c r="H957" s="11" t="s">
        <v>3079</v>
      </c>
      <c r="I957" s="12">
        <v>45540</v>
      </c>
    </row>
    <row r="958" spans="1:9" x14ac:dyDescent="0.15">
      <c r="A958" s="9">
        <v>957</v>
      </c>
      <c r="B958" s="10" t="s">
        <v>9</v>
      </c>
      <c r="C958" s="11" t="s">
        <v>10</v>
      </c>
      <c r="D958" s="12">
        <v>45623</v>
      </c>
      <c r="E958" s="13" t="str">
        <f>+HYPERLINK("http://trademark.i-assist.jp/data/china/image_1913th/80764926.pdf","80764926")</f>
        <v>80764926</v>
      </c>
      <c r="F958" s="11" t="s">
        <v>607</v>
      </c>
      <c r="G958" s="11" t="s">
        <v>3080</v>
      </c>
      <c r="H958" s="11" t="s">
        <v>1588</v>
      </c>
      <c r="I958" s="12">
        <v>45540</v>
      </c>
    </row>
    <row r="959" spans="1:9" x14ac:dyDescent="0.15">
      <c r="A959" s="9">
        <v>958</v>
      </c>
      <c r="B959" s="10" t="s">
        <v>9</v>
      </c>
      <c r="C959" s="11" t="s">
        <v>10</v>
      </c>
      <c r="D959" s="12">
        <v>45623</v>
      </c>
      <c r="E959" s="13" t="str">
        <f>+HYPERLINK("http://trademark.i-assist.jp/data/china/image_1913th/80767079.pdf","80767079")</f>
        <v>80767079</v>
      </c>
      <c r="F959" s="11" t="s">
        <v>609</v>
      </c>
      <c r="G959" s="11" t="s">
        <v>608</v>
      </c>
      <c r="H959" s="11" t="s">
        <v>3081</v>
      </c>
      <c r="I959" s="12">
        <v>45540</v>
      </c>
    </row>
    <row r="960" spans="1:9" x14ac:dyDescent="0.15">
      <c r="A960" s="9">
        <v>959</v>
      </c>
      <c r="B960" s="10" t="s">
        <v>9</v>
      </c>
      <c r="C960" s="11" t="s">
        <v>10</v>
      </c>
      <c r="D960" s="12">
        <v>45623</v>
      </c>
      <c r="E960" s="13" t="str">
        <f>+HYPERLINK("http://trademark.i-assist.jp/data/china/image_1913th/80776889.pdf","80776889")</f>
        <v>80776889</v>
      </c>
      <c r="F960" s="11" t="s">
        <v>3082</v>
      </c>
      <c r="G960" s="11" t="s">
        <v>3083</v>
      </c>
      <c r="H960" s="11" t="s">
        <v>2145</v>
      </c>
      <c r="I960" s="12">
        <v>45540</v>
      </c>
    </row>
    <row r="961" spans="1:9" x14ac:dyDescent="0.15">
      <c r="A961" s="9">
        <v>960</v>
      </c>
      <c r="B961" s="10" t="s">
        <v>9</v>
      </c>
      <c r="C961" s="11" t="s">
        <v>10</v>
      </c>
      <c r="D961" s="12">
        <v>45623</v>
      </c>
      <c r="E961" s="13" t="str">
        <f>+HYPERLINK("http://trademark.i-assist.jp/data/china/image_1913th/80781683.pdf","80781683")</f>
        <v>80781683</v>
      </c>
      <c r="F961" s="11" t="s">
        <v>1458</v>
      </c>
      <c r="G961" s="11" t="s">
        <v>1459</v>
      </c>
      <c r="H961" s="11" t="s">
        <v>1460</v>
      </c>
      <c r="I961" s="12">
        <v>45541</v>
      </c>
    </row>
    <row r="962" spans="1:9" x14ac:dyDescent="0.15">
      <c r="A962" s="9">
        <v>961</v>
      </c>
      <c r="B962" s="10" t="s">
        <v>9</v>
      </c>
      <c r="C962" s="11" t="s">
        <v>10</v>
      </c>
      <c r="D962" s="12">
        <v>45623</v>
      </c>
      <c r="E962" s="13" t="str">
        <f>+HYPERLINK("http://trademark.i-assist.jp/data/china/image_1913th/80786927.pdf","80786927")</f>
        <v>80786927</v>
      </c>
      <c r="F962" s="11" t="s">
        <v>3084</v>
      </c>
      <c r="G962" s="11" t="s">
        <v>3085</v>
      </c>
      <c r="H962" s="11" t="s">
        <v>3086</v>
      </c>
      <c r="I962" s="12">
        <v>45541</v>
      </c>
    </row>
    <row r="963" spans="1:9" x14ac:dyDescent="0.15">
      <c r="A963" s="9">
        <v>962</v>
      </c>
      <c r="B963" s="10" t="s">
        <v>9</v>
      </c>
      <c r="C963" s="11" t="s">
        <v>10</v>
      </c>
      <c r="D963" s="12">
        <v>45623</v>
      </c>
      <c r="E963" s="13" t="str">
        <f>+HYPERLINK("http://trademark.i-assist.jp/data/china/image_1913th/80684337.pdf","80684337")</f>
        <v>80684337</v>
      </c>
      <c r="F963" s="11" t="s">
        <v>610</v>
      </c>
      <c r="G963" s="11" t="s">
        <v>3087</v>
      </c>
      <c r="H963" s="11" t="s">
        <v>3088</v>
      </c>
      <c r="I963" s="12">
        <v>45537</v>
      </c>
    </row>
    <row r="964" spans="1:9" x14ac:dyDescent="0.15">
      <c r="A964" s="9">
        <v>963</v>
      </c>
      <c r="B964" s="10" t="s">
        <v>9</v>
      </c>
      <c r="C964" s="11" t="s">
        <v>10</v>
      </c>
      <c r="D964" s="12">
        <v>45623</v>
      </c>
      <c r="E964" s="13" t="str">
        <f>+HYPERLINK("http://trademark.i-assist.jp/data/china/image_1913th/80685876.pdf","80685876")</f>
        <v>80685876</v>
      </c>
      <c r="F964" s="11" t="s">
        <v>3089</v>
      </c>
      <c r="G964" s="11" t="s">
        <v>611</v>
      </c>
      <c r="H964" s="11" t="s">
        <v>3090</v>
      </c>
      <c r="I964" s="12">
        <v>45537</v>
      </c>
    </row>
    <row r="965" spans="1:9" x14ac:dyDescent="0.15">
      <c r="A965" s="9">
        <v>964</v>
      </c>
      <c r="B965" s="10" t="s">
        <v>9</v>
      </c>
      <c r="C965" s="11" t="s">
        <v>10</v>
      </c>
      <c r="D965" s="12">
        <v>45623</v>
      </c>
      <c r="E965" s="13" t="str">
        <f>+HYPERLINK("http://trademark.i-assist.jp/data/china/image_1913th/80686875.pdf","80686875")</f>
        <v>80686875</v>
      </c>
      <c r="F965" s="11" t="s">
        <v>3091</v>
      </c>
      <c r="G965" s="11" t="s">
        <v>3092</v>
      </c>
      <c r="H965" s="11" t="s">
        <v>3093</v>
      </c>
      <c r="I965" s="12">
        <v>45537</v>
      </c>
    </row>
    <row r="966" spans="1:9" x14ac:dyDescent="0.15">
      <c r="A966" s="9">
        <v>965</v>
      </c>
      <c r="B966" s="10" t="s">
        <v>9</v>
      </c>
      <c r="C966" s="11" t="s">
        <v>10</v>
      </c>
      <c r="D966" s="12">
        <v>45623</v>
      </c>
      <c r="E966" s="13" t="str">
        <f>+HYPERLINK("http://trademark.i-assist.jp/data/china/image_1913th/80687242.pdf","80687242")</f>
        <v>80687242</v>
      </c>
      <c r="F966" s="11" t="s">
        <v>612</v>
      </c>
      <c r="G966" s="11" t="s">
        <v>3094</v>
      </c>
      <c r="H966" s="11" t="s">
        <v>3095</v>
      </c>
      <c r="I966" s="12">
        <v>45537</v>
      </c>
    </row>
    <row r="967" spans="1:9" x14ac:dyDescent="0.15">
      <c r="A967" s="9">
        <v>966</v>
      </c>
      <c r="B967" s="10" t="s">
        <v>9</v>
      </c>
      <c r="C967" s="11" t="s">
        <v>10</v>
      </c>
      <c r="D967" s="12">
        <v>45623</v>
      </c>
      <c r="E967" s="13" t="str">
        <f>+HYPERLINK("http://trademark.i-assist.jp/data/china/image_1913th/80687785.pdf","80687785")</f>
        <v>80687785</v>
      </c>
      <c r="F967" s="11" t="s">
        <v>3096</v>
      </c>
      <c r="G967" s="11" t="s">
        <v>1806</v>
      </c>
      <c r="H967" s="11" t="s">
        <v>1807</v>
      </c>
      <c r="I967" s="12">
        <v>45537</v>
      </c>
    </row>
    <row r="968" spans="1:9" x14ac:dyDescent="0.15">
      <c r="A968" s="9">
        <v>967</v>
      </c>
      <c r="B968" s="10" t="s">
        <v>9</v>
      </c>
      <c r="C968" s="11" t="s">
        <v>10</v>
      </c>
      <c r="D968" s="12">
        <v>45623</v>
      </c>
      <c r="E968" s="13" t="str">
        <f>+HYPERLINK("http://trademark.i-assist.jp/data/china/image_1913th/80690603.pdf","80690603")</f>
        <v>80690603</v>
      </c>
      <c r="F968" s="11" t="s">
        <v>613</v>
      </c>
      <c r="G968" s="11" t="s">
        <v>1593</v>
      </c>
      <c r="H968" s="11" t="s">
        <v>1368</v>
      </c>
      <c r="I968" s="12">
        <v>45537</v>
      </c>
    </row>
    <row r="969" spans="1:9" x14ac:dyDescent="0.15">
      <c r="A969" s="9">
        <v>968</v>
      </c>
      <c r="B969" s="10" t="s">
        <v>9</v>
      </c>
      <c r="C969" s="11" t="s">
        <v>10</v>
      </c>
      <c r="D969" s="12">
        <v>45623</v>
      </c>
      <c r="E969" s="13" t="str">
        <f>+HYPERLINK("http://trademark.i-assist.jp/data/china/image_1913th/80693072.pdf","80693072")</f>
        <v>80693072</v>
      </c>
      <c r="F969" s="11" t="s">
        <v>3097</v>
      </c>
      <c r="G969" s="11" t="s">
        <v>3098</v>
      </c>
      <c r="H969" s="11" t="s">
        <v>3099</v>
      </c>
      <c r="I969" s="12">
        <v>45537</v>
      </c>
    </row>
    <row r="970" spans="1:9" x14ac:dyDescent="0.15">
      <c r="A970" s="9">
        <v>969</v>
      </c>
      <c r="B970" s="10" t="s">
        <v>9</v>
      </c>
      <c r="C970" s="11" t="s">
        <v>10</v>
      </c>
      <c r="D970" s="12">
        <v>45623</v>
      </c>
      <c r="E970" s="13" t="str">
        <f>+HYPERLINK("http://trademark.i-assist.jp/data/china/image_1913th/80694058.pdf","80694058")</f>
        <v>80694058</v>
      </c>
      <c r="F970" s="11" t="s">
        <v>3100</v>
      </c>
      <c r="G970" s="11" t="s">
        <v>3101</v>
      </c>
      <c r="H970" s="11" t="s">
        <v>1287</v>
      </c>
      <c r="I970" s="12">
        <v>45537</v>
      </c>
    </row>
    <row r="971" spans="1:9" x14ac:dyDescent="0.15">
      <c r="A971" s="9">
        <v>970</v>
      </c>
      <c r="B971" s="10" t="s">
        <v>9</v>
      </c>
      <c r="C971" s="11" t="s">
        <v>10</v>
      </c>
      <c r="D971" s="12">
        <v>45623</v>
      </c>
      <c r="E971" s="13" t="str">
        <f>+HYPERLINK("http://trademark.i-assist.jp/data/china/image_1913th/80696299.pdf","80696299")</f>
        <v>80696299</v>
      </c>
      <c r="F971" s="11" t="s">
        <v>3102</v>
      </c>
      <c r="G971" s="11" t="s">
        <v>3103</v>
      </c>
      <c r="H971" s="11" t="s">
        <v>3104</v>
      </c>
      <c r="I971" s="12">
        <v>45537</v>
      </c>
    </row>
    <row r="972" spans="1:9" x14ac:dyDescent="0.15">
      <c r="A972" s="9">
        <v>971</v>
      </c>
      <c r="B972" s="10" t="s">
        <v>9</v>
      </c>
      <c r="C972" s="11" t="s">
        <v>10</v>
      </c>
      <c r="D972" s="12">
        <v>45623</v>
      </c>
      <c r="E972" s="13" t="str">
        <f>+HYPERLINK("http://trademark.i-assist.jp/data/china/image_1913th/80697699.pdf","80697699")</f>
        <v>80697699</v>
      </c>
      <c r="F972" s="11" t="s">
        <v>614</v>
      </c>
      <c r="G972" s="11" t="s">
        <v>3105</v>
      </c>
      <c r="H972" s="11" t="s">
        <v>3106</v>
      </c>
      <c r="I972" s="12">
        <v>45537</v>
      </c>
    </row>
    <row r="973" spans="1:9" x14ac:dyDescent="0.15">
      <c r="A973" s="9">
        <v>972</v>
      </c>
      <c r="B973" s="10" t="s">
        <v>9</v>
      </c>
      <c r="C973" s="11" t="s">
        <v>10</v>
      </c>
      <c r="D973" s="12">
        <v>45623</v>
      </c>
      <c r="E973" s="13" t="str">
        <f>+HYPERLINK("http://trademark.i-assist.jp/data/china/image_1913th/80699019.pdf","80699019")</f>
        <v>80699019</v>
      </c>
      <c r="F973" s="11" t="s">
        <v>615</v>
      </c>
      <c r="G973" s="11" t="s">
        <v>3107</v>
      </c>
      <c r="H973" s="11" t="s">
        <v>3108</v>
      </c>
      <c r="I973" s="12">
        <v>45537</v>
      </c>
    </row>
    <row r="974" spans="1:9" x14ac:dyDescent="0.15">
      <c r="A974" s="9">
        <v>973</v>
      </c>
      <c r="B974" s="10" t="s">
        <v>9</v>
      </c>
      <c r="C974" s="11" t="s">
        <v>10</v>
      </c>
      <c r="D974" s="12">
        <v>45623</v>
      </c>
      <c r="E974" s="13" t="str">
        <f>+HYPERLINK("http://trademark.i-assist.jp/data/china/image_1913th/80794567.pdf","80794567")</f>
        <v>80794567</v>
      </c>
      <c r="F974" s="11" t="s">
        <v>616</v>
      </c>
      <c r="G974" s="11" t="s">
        <v>3109</v>
      </c>
      <c r="H974" s="11" t="s">
        <v>3110</v>
      </c>
      <c r="I974" s="12">
        <v>45541</v>
      </c>
    </row>
    <row r="975" spans="1:9" x14ac:dyDescent="0.15">
      <c r="A975" s="9">
        <v>974</v>
      </c>
      <c r="B975" s="10" t="s">
        <v>9</v>
      </c>
      <c r="C975" s="11" t="s">
        <v>10</v>
      </c>
      <c r="D975" s="12">
        <v>45623</v>
      </c>
      <c r="E975" s="13" t="str">
        <f>+HYPERLINK("http://trademark.i-assist.jp/data/china/image_1913th/80797747.pdf","80797747")</f>
        <v>80797747</v>
      </c>
      <c r="F975" s="11" t="s">
        <v>617</v>
      </c>
      <c r="G975" s="11" t="s">
        <v>3111</v>
      </c>
      <c r="H975" s="11" t="s">
        <v>3112</v>
      </c>
      <c r="I975" s="12">
        <v>45541</v>
      </c>
    </row>
    <row r="976" spans="1:9" x14ac:dyDescent="0.15">
      <c r="A976" s="9">
        <v>975</v>
      </c>
      <c r="B976" s="10" t="s">
        <v>9</v>
      </c>
      <c r="C976" s="11" t="s">
        <v>10</v>
      </c>
      <c r="D976" s="12">
        <v>45623</v>
      </c>
      <c r="E976" s="13" t="str">
        <f>+HYPERLINK("http://trademark.i-assist.jp/data/china/image_1913th/80800736.pdf","80800736")</f>
        <v>80800736</v>
      </c>
      <c r="F976" s="11" t="s">
        <v>619</v>
      </c>
      <c r="G976" s="11" t="s">
        <v>618</v>
      </c>
      <c r="H976" s="11" t="s">
        <v>1914</v>
      </c>
      <c r="I976" s="12">
        <v>45541</v>
      </c>
    </row>
    <row r="977" spans="1:9" x14ac:dyDescent="0.15">
      <c r="A977" s="9">
        <v>976</v>
      </c>
      <c r="B977" s="10" t="s">
        <v>9</v>
      </c>
      <c r="C977" s="11" t="s">
        <v>10</v>
      </c>
      <c r="D977" s="12">
        <v>45623</v>
      </c>
      <c r="E977" s="13" t="str">
        <f>+HYPERLINK("http://trademark.i-assist.jp/data/china/image_1913th/80818847.pdf","80818847")</f>
        <v>80818847</v>
      </c>
      <c r="F977" s="11" t="s">
        <v>3113</v>
      </c>
      <c r="G977" s="11" t="s">
        <v>620</v>
      </c>
      <c r="H977" s="11" t="s">
        <v>3114</v>
      </c>
      <c r="I977" s="12">
        <v>45544</v>
      </c>
    </row>
    <row r="978" spans="1:9" x14ac:dyDescent="0.15">
      <c r="A978" s="9">
        <v>977</v>
      </c>
      <c r="B978" s="10" t="s">
        <v>9</v>
      </c>
      <c r="C978" s="11" t="s">
        <v>10</v>
      </c>
      <c r="D978" s="12">
        <v>45623</v>
      </c>
      <c r="E978" s="13" t="str">
        <f>+HYPERLINK("http://trademark.i-assist.jp/data/china/image_1913th/80821212.pdf","80821212")</f>
        <v>80821212</v>
      </c>
      <c r="F978" s="11" t="s">
        <v>3115</v>
      </c>
      <c r="G978" s="11" t="s">
        <v>3116</v>
      </c>
      <c r="H978" s="11" t="s">
        <v>3117</v>
      </c>
      <c r="I978" s="12">
        <v>45544</v>
      </c>
    </row>
    <row r="979" spans="1:9" x14ac:dyDescent="0.15">
      <c r="A979" s="9">
        <v>978</v>
      </c>
      <c r="B979" s="10" t="s">
        <v>9</v>
      </c>
      <c r="C979" s="11" t="s">
        <v>10</v>
      </c>
      <c r="D979" s="12">
        <v>45623</v>
      </c>
      <c r="E979" s="13" t="str">
        <f>+HYPERLINK("http://trademark.i-assist.jp/data/china/image_1913th/80824899.pdf","80824899")</f>
        <v>80824899</v>
      </c>
      <c r="F979" s="11" t="s">
        <v>3118</v>
      </c>
      <c r="G979" s="11" t="s">
        <v>3119</v>
      </c>
      <c r="H979" s="11" t="s">
        <v>3120</v>
      </c>
      <c r="I979" s="12">
        <v>45544</v>
      </c>
    </row>
    <row r="980" spans="1:9" x14ac:dyDescent="0.15">
      <c r="A980" s="9">
        <v>979</v>
      </c>
      <c r="B980" s="10" t="s">
        <v>9</v>
      </c>
      <c r="C980" s="11" t="s">
        <v>10</v>
      </c>
      <c r="D980" s="12">
        <v>45623</v>
      </c>
      <c r="E980" s="13" t="str">
        <f>+HYPERLINK("http://trademark.i-assist.jp/data/china/image_1913th/80825269.pdf","80825269")</f>
        <v>80825269</v>
      </c>
      <c r="F980" s="11" t="s">
        <v>621</v>
      </c>
      <c r="G980" s="11" t="s">
        <v>3121</v>
      </c>
      <c r="H980" s="11" t="s">
        <v>3122</v>
      </c>
      <c r="I980" s="12">
        <v>45544</v>
      </c>
    </row>
    <row r="981" spans="1:9" x14ac:dyDescent="0.15">
      <c r="A981" s="9">
        <v>980</v>
      </c>
      <c r="B981" s="10" t="s">
        <v>9</v>
      </c>
      <c r="C981" s="11" t="s">
        <v>10</v>
      </c>
      <c r="D981" s="12">
        <v>45623</v>
      </c>
      <c r="E981" s="13" t="str">
        <f>+HYPERLINK("http://trademark.i-assist.jp/data/china/image_1913th/80935304.pdf","80935304")</f>
        <v>80935304</v>
      </c>
      <c r="F981" s="11" t="s">
        <v>3123</v>
      </c>
      <c r="G981" s="11" t="s">
        <v>3124</v>
      </c>
      <c r="H981" s="11" t="s">
        <v>1588</v>
      </c>
      <c r="I981" s="12">
        <v>45549</v>
      </c>
    </row>
    <row r="982" spans="1:9" x14ac:dyDescent="0.15">
      <c r="A982" s="9">
        <v>981</v>
      </c>
      <c r="B982" s="10" t="s">
        <v>9</v>
      </c>
      <c r="C982" s="11" t="s">
        <v>10</v>
      </c>
      <c r="D982" s="12">
        <v>45623</v>
      </c>
      <c r="E982" s="13" t="str">
        <f>+HYPERLINK("http://trademark.i-assist.jp/data/china/image_1913th/80709519.pdf","80709519")</f>
        <v>80709519</v>
      </c>
      <c r="F982" s="11" t="s">
        <v>623</v>
      </c>
      <c r="G982" s="11" t="s">
        <v>622</v>
      </c>
      <c r="H982" s="11" t="s">
        <v>3125</v>
      </c>
      <c r="I982" s="12">
        <v>45538</v>
      </c>
    </row>
    <row r="983" spans="1:9" x14ac:dyDescent="0.15">
      <c r="A983" s="9">
        <v>982</v>
      </c>
      <c r="B983" s="10" t="s">
        <v>9</v>
      </c>
      <c r="C983" s="11" t="s">
        <v>10</v>
      </c>
      <c r="D983" s="12">
        <v>45623</v>
      </c>
      <c r="E983" s="13" t="str">
        <f>+HYPERLINK("http://trademark.i-assist.jp/data/china/image_1913th/80723587.pdf","80723587")</f>
        <v>80723587</v>
      </c>
      <c r="F983" s="11" t="s">
        <v>3126</v>
      </c>
      <c r="G983" s="11" t="s">
        <v>3127</v>
      </c>
      <c r="H983" s="11" t="s">
        <v>3128</v>
      </c>
      <c r="I983" s="12">
        <v>45538</v>
      </c>
    </row>
    <row r="984" spans="1:9" x14ac:dyDescent="0.15">
      <c r="A984" s="9">
        <v>983</v>
      </c>
      <c r="B984" s="10" t="s">
        <v>9</v>
      </c>
      <c r="C984" s="11" t="s">
        <v>10</v>
      </c>
      <c r="D984" s="12">
        <v>45623</v>
      </c>
      <c r="E984" s="13" t="str">
        <f>+HYPERLINK("http://trademark.i-assist.jp/data/china/image_1913th/80726758.pdf","80726758")</f>
        <v>80726758</v>
      </c>
      <c r="F984" s="11" t="s">
        <v>1335</v>
      </c>
      <c r="G984" s="11" t="s">
        <v>3129</v>
      </c>
      <c r="H984" s="11" t="s">
        <v>3130</v>
      </c>
      <c r="I984" s="12">
        <v>45538</v>
      </c>
    </row>
    <row r="985" spans="1:9" x14ac:dyDescent="0.15">
      <c r="A985" s="9">
        <v>984</v>
      </c>
      <c r="B985" s="10" t="s">
        <v>9</v>
      </c>
      <c r="C985" s="11" t="s">
        <v>10</v>
      </c>
      <c r="D985" s="12">
        <v>45623</v>
      </c>
      <c r="E985" s="13" t="str">
        <f>+HYPERLINK("http://trademark.i-assist.jp/data/china/image_1913th/80739439.pdf","80739439")</f>
        <v>80739439</v>
      </c>
      <c r="F985" s="11" t="s">
        <v>3131</v>
      </c>
      <c r="G985" s="11" t="s">
        <v>3132</v>
      </c>
      <c r="H985" s="11" t="s">
        <v>3133</v>
      </c>
      <c r="I985" s="12">
        <v>45539</v>
      </c>
    </row>
    <row r="986" spans="1:9" x14ac:dyDescent="0.15">
      <c r="A986" s="9">
        <v>985</v>
      </c>
      <c r="B986" s="10" t="s">
        <v>9</v>
      </c>
      <c r="C986" s="11" t="s">
        <v>10</v>
      </c>
      <c r="D986" s="12">
        <v>45623</v>
      </c>
      <c r="E986" s="13" t="str">
        <f>+HYPERLINK("http://trademark.i-assist.jp/data/china/image_1913th/80739891.pdf","80739891")</f>
        <v>80739891</v>
      </c>
      <c r="F986" s="11" t="s">
        <v>3134</v>
      </c>
      <c r="G986" s="11" t="s">
        <v>3135</v>
      </c>
      <c r="H986" s="11" t="s">
        <v>3136</v>
      </c>
      <c r="I986" s="12">
        <v>45539</v>
      </c>
    </row>
    <row r="987" spans="1:9" x14ac:dyDescent="0.15">
      <c r="A987" s="9">
        <v>986</v>
      </c>
      <c r="B987" s="10" t="s">
        <v>9</v>
      </c>
      <c r="C987" s="11" t="s">
        <v>10</v>
      </c>
      <c r="D987" s="12">
        <v>45623</v>
      </c>
      <c r="E987" s="13" t="str">
        <f>+HYPERLINK("http://trademark.i-assist.jp/data/china/image_1913th/80740131.pdf","80740131")</f>
        <v>80740131</v>
      </c>
      <c r="F987" s="11" t="s">
        <v>624</v>
      </c>
      <c r="G987" s="11" t="s">
        <v>1644</v>
      </c>
      <c r="H987" s="11" t="s">
        <v>1645</v>
      </c>
      <c r="I987" s="12">
        <v>45539</v>
      </c>
    </row>
    <row r="988" spans="1:9" x14ac:dyDescent="0.15">
      <c r="A988" s="9">
        <v>987</v>
      </c>
      <c r="B988" s="10" t="s">
        <v>9</v>
      </c>
      <c r="C988" s="11" t="s">
        <v>10</v>
      </c>
      <c r="D988" s="12">
        <v>45623</v>
      </c>
      <c r="E988" s="13" t="str">
        <f>+HYPERLINK("http://trademark.i-assist.jp/data/china/image_1913th/80743828.pdf","80743828")</f>
        <v>80743828</v>
      </c>
      <c r="F988" s="11" t="s">
        <v>3137</v>
      </c>
      <c r="G988" s="11" t="s">
        <v>3138</v>
      </c>
      <c r="H988" s="11" t="s">
        <v>3139</v>
      </c>
      <c r="I988" s="12">
        <v>45539</v>
      </c>
    </row>
    <row r="989" spans="1:9" x14ac:dyDescent="0.15">
      <c r="A989" s="9">
        <v>988</v>
      </c>
      <c r="B989" s="10" t="s">
        <v>9</v>
      </c>
      <c r="C989" s="11" t="s">
        <v>10</v>
      </c>
      <c r="D989" s="12">
        <v>45623</v>
      </c>
      <c r="E989" s="13" t="str">
        <f>+HYPERLINK("http://trademark.i-assist.jp/data/china/image_1913th/80748273.pdf","80748273")</f>
        <v>80748273</v>
      </c>
      <c r="F989" s="11" t="s">
        <v>3140</v>
      </c>
      <c r="G989" s="11" t="s">
        <v>3141</v>
      </c>
      <c r="H989" s="11" t="s">
        <v>3142</v>
      </c>
      <c r="I989" s="12">
        <v>45539</v>
      </c>
    </row>
    <row r="990" spans="1:9" x14ac:dyDescent="0.15">
      <c r="A990" s="9">
        <v>989</v>
      </c>
      <c r="B990" s="10" t="s">
        <v>9</v>
      </c>
      <c r="C990" s="11" t="s">
        <v>10</v>
      </c>
      <c r="D990" s="12">
        <v>45623</v>
      </c>
      <c r="E990" s="13" t="str">
        <f>+HYPERLINK("http://trademark.i-assist.jp/data/china/image_1913th/80829643.pdf","80829643")</f>
        <v>80829643</v>
      </c>
      <c r="F990" s="11" t="s">
        <v>626</v>
      </c>
      <c r="G990" s="11" t="s">
        <v>625</v>
      </c>
      <c r="H990" s="11" t="s">
        <v>3143</v>
      </c>
      <c r="I990" s="12">
        <v>45544</v>
      </c>
    </row>
    <row r="991" spans="1:9" x14ac:dyDescent="0.15">
      <c r="A991" s="9">
        <v>990</v>
      </c>
      <c r="B991" s="10" t="s">
        <v>9</v>
      </c>
      <c r="C991" s="11" t="s">
        <v>10</v>
      </c>
      <c r="D991" s="12">
        <v>45623</v>
      </c>
      <c r="E991" s="13" t="str">
        <f>+HYPERLINK("http://trademark.i-assist.jp/data/china/image_1913th/80831137.pdf","80831137")</f>
        <v>80831137</v>
      </c>
      <c r="F991" s="11" t="s">
        <v>3144</v>
      </c>
      <c r="G991" s="11" t="s">
        <v>1846</v>
      </c>
      <c r="H991" s="11" t="s">
        <v>1430</v>
      </c>
      <c r="I991" s="12">
        <v>45544</v>
      </c>
    </row>
    <row r="992" spans="1:9" x14ac:dyDescent="0.15">
      <c r="A992" s="9">
        <v>991</v>
      </c>
      <c r="B992" s="10" t="s">
        <v>9</v>
      </c>
      <c r="C992" s="11" t="s">
        <v>10</v>
      </c>
      <c r="D992" s="12">
        <v>45623</v>
      </c>
      <c r="E992" s="13" t="str">
        <f>+HYPERLINK("http://trademark.i-assist.jp/data/china/image_1913th/80833716.pdf","80833716")</f>
        <v>80833716</v>
      </c>
      <c r="F992" s="11" t="s">
        <v>627</v>
      </c>
      <c r="G992" s="11" t="s">
        <v>3145</v>
      </c>
      <c r="H992" s="11" t="s">
        <v>3146</v>
      </c>
      <c r="I992" s="12">
        <v>45544</v>
      </c>
    </row>
    <row r="993" spans="1:9" x14ac:dyDescent="0.15">
      <c r="A993" s="9">
        <v>992</v>
      </c>
      <c r="B993" s="10" t="s">
        <v>9</v>
      </c>
      <c r="C993" s="11" t="s">
        <v>10</v>
      </c>
      <c r="D993" s="12">
        <v>45623</v>
      </c>
      <c r="E993" s="13" t="str">
        <f>+HYPERLINK("http://trademark.i-assist.jp/data/china/image_1913th/80839711.pdf","80839711")</f>
        <v>80839711</v>
      </c>
      <c r="F993" s="11" t="s">
        <v>628</v>
      </c>
      <c r="G993" s="11" t="s">
        <v>3147</v>
      </c>
      <c r="H993" s="11" t="s">
        <v>3148</v>
      </c>
      <c r="I993" s="12">
        <v>45545</v>
      </c>
    </row>
    <row r="994" spans="1:9" x14ac:dyDescent="0.15">
      <c r="A994" s="9">
        <v>993</v>
      </c>
      <c r="B994" s="10" t="s">
        <v>9</v>
      </c>
      <c r="C994" s="11" t="s">
        <v>10</v>
      </c>
      <c r="D994" s="12">
        <v>45623</v>
      </c>
      <c r="E994" s="13" t="str">
        <f>+HYPERLINK("http://trademark.i-assist.jp/data/china/image_1913th/80841021.pdf","80841021")</f>
        <v>80841021</v>
      </c>
      <c r="F994" s="11" t="s">
        <v>3149</v>
      </c>
      <c r="G994" s="11" t="s">
        <v>629</v>
      </c>
      <c r="H994" s="11" t="s">
        <v>3150</v>
      </c>
      <c r="I994" s="12">
        <v>45545</v>
      </c>
    </row>
    <row r="995" spans="1:9" x14ac:dyDescent="0.15">
      <c r="A995" s="9">
        <v>994</v>
      </c>
      <c r="B995" s="10" t="s">
        <v>9</v>
      </c>
      <c r="C995" s="11" t="s">
        <v>10</v>
      </c>
      <c r="D995" s="12">
        <v>45623</v>
      </c>
      <c r="E995" s="13" t="str">
        <f>+HYPERLINK("http://trademark.i-assist.jp/data/china/image_1913th/80849052.pdf","80849052")</f>
        <v>80849052</v>
      </c>
      <c r="F995" s="11" t="s">
        <v>3151</v>
      </c>
      <c r="G995" s="11" t="s">
        <v>3152</v>
      </c>
      <c r="H995" s="11" t="s">
        <v>3153</v>
      </c>
      <c r="I995" s="12">
        <v>45545</v>
      </c>
    </row>
    <row r="996" spans="1:9" x14ac:dyDescent="0.15">
      <c r="A996" s="9">
        <v>995</v>
      </c>
      <c r="B996" s="10" t="s">
        <v>9</v>
      </c>
      <c r="C996" s="11" t="s">
        <v>10</v>
      </c>
      <c r="D996" s="12">
        <v>45623</v>
      </c>
      <c r="E996" s="13" t="str">
        <f>+HYPERLINK("http://trademark.i-assist.jp/data/china/image_1913th/80880144.pdf","80880144")</f>
        <v>80880144</v>
      </c>
      <c r="F996" s="11" t="s">
        <v>3154</v>
      </c>
      <c r="G996" s="11" t="s">
        <v>3155</v>
      </c>
      <c r="H996" s="11" t="s">
        <v>3156</v>
      </c>
      <c r="I996" s="12">
        <v>45547</v>
      </c>
    </row>
    <row r="997" spans="1:9" x14ac:dyDescent="0.15">
      <c r="A997" s="9">
        <v>996</v>
      </c>
      <c r="B997" s="10" t="s">
        <v>9</v>
      </c>
      <c r="C997" s="11" t="s">
        <v>10</v>
      </c>
      <c r="D997" s="12">
        <v>45623</v>
      </c>
      <c r="E997" s="13" t="str">
        <f>+HYPERLINK("http://trademark.i-assist.jp/data/china/image_1913th/80895143.pdf","80895143")</f>
        <v>80895143</v>
      </c>
      <c r="F997" s="11" t="s">
        <v>630</v>
      </c>
      <c r="G997" s="11" t="s">
        <v>2573</v>
      </c>
      <c r="H997" s="11" t="s">
        <v>2574</v>
      </c>
      <c r="I997" s="12">
        <v>45547</v>
      </c>
    </row>
    <row r="998" spans="1:9" x14ac:dyDescent="0.15">
      <c r="A998" s="9">
        <v>997</v>
      </c>
      <c r="B998" s="10" t="s">
        <v>9</v>
      </c>
      <c r="C998" s="11" t="s">
        <v>10</v>
      </c>
      <c r="D998" s="12">
        <v>45623</v>
      </c>
      <c r="E998" s="13" t="str">
        <f>+HYPERLINK("http://trademark.i-assist.jp/data/china/image_1913th/80651121.pdf","80651121")</f>
        <v>80651121</v>
      </c>
      <c r="F998" s="11" t="s">
        <v>632</v>
      </c>
      <c r="G998" s="11" t="s">
        <v>631</v>
      </c>
      <c r="H998" s="11" t="s">
        <v>3157</v>
      </c>
      <c r="I998" s="12">
        <v>45534</v>
      </c>
    </row>
    <row r="999" spans="1:9" x14ac:dyDescent="0.15">
      <c r="A999" s="9">
        <v>998</v>
      </c>
      <c r="B999" s="10" t="s">
        <v>9</v>
      </c>
      <c r="C999" s="11" t="s">
        <v>10</v>
      </c>
      <c r="D999" s="12">
        <v>45623</v>
      </c>
      <c r="E999" s="13" t="str">
        <f>+HYPERLINK("http://trademark.i-assist.jp/data/china/image_1913th/80651479.pdf","80651479")</f>
        <v>80651479</v>
      </c>
      <c r="F999" s="11" t="s">
        <v>3158</v>
      </c>
      <c r="G999" s="11" t="s">
        <v>3159</v>
      </c>
      <c r="H999" s="11" t="s">
        <v>3160</v>
      </c>
      <c r="I999" s="12">
        <v>45534</v>
      </c>
    </row>
    <row r="1000" spans="1:9" x14ac:dyDescent="0.15">
      <c r="A1000" s="9">
        <v>999</v>
      </c>
      <c r="B1000" s="10" t="s">
        <v>9</v>
      </c>
      <c r="C1000" s="11" t="s">
        <v>10</v>
      </c>
      <c r="D1000" s="12">
        <v>45623</v>
      </c>
      <c r="E1000" s="13" t="str">
        <f>+HYPERLINK("http://trademark.i-assist.jp/data/china/image_1913th/80655645.pdf","80655645")</f>
        <v>80655645</v>
      </c>
      <c r="F1000" s="11" t="s">
        <v>633</v>
      </c>
      <c r="G1000" s="11" t="s">
        <v>2481</v>
      </c>
      <c r="H1000" s="11" t="s">
        <v>1990</v>
      </c>
      <c r="I1000" s="12">
        <v>45534</v>
      </c>
    </row>
    <row r="1001" spans="1:9" x14ac:dyDescent="0.15">
      <c r="A1001" s="9">
        <v>1000</v>
      </c>
      <c r="B1001" s="10" t="s">
        <v>9</v>
      </c>
      <c r="C1001" s="11" t="s">
        <v>10</v>
      </c>
      <c r="D1001" s="12">
        <v>45623</v>
      </c>
      <c r="E1001" s="13" t="str">
        <f>+HYPERLINK("http://trademark.i-assist.jp/data/china/image_1913th/80656038.pdf","80656038")</f>
        <v>80656038</v>
      </c>
      <c r="F1001" s="11" t="s">
        <v>3161</v>
      </c>
      <c r="G1001" s="11" t="s">
        <v>1438</v>
      </c>
      <c r="H1001" s="11" t="s">
        <v>1439</v>
      </c>
      <c r="I1001" s="12">
        <v>45534</v>
      </c>
    </row>
    <row r="1002" spans="1:9" x14ac:dyDescent="0.15">
      <c r="A1002" s="9">
        <v>1001</v>
      </c>
      <c r="B1002" s="10" t="s">
        <v>9</v>
      </c>
      <c r="C1002" s="11" t="s">
        <v>10</v>
      </c>
      <c r="D1002" s="12">
        <v>45623</v>
      </c>
      <c r="E1002" s="13" t="str">
        <f>+HYPERLINK("http://trademark.i-assist.jp/data/china/image_1913th/80656332.pdf","80656332")</f>
        <v>80656332</v>
      </c>
      <c r="F1002" s="11" t="s">
        <v>634</v>
      </c>
      <c r="G1002" s="11" t="s">
        <v>3162</v>
      </c>
      <c r="H1002" s="11" t="s">
        <v>3163</v>
      </c>
      <c r="I1002" s="12">
        <v>45534</v>
      </c>
    </row>
    <row r="1003" spans="1:9" x14ac:dyDescent="0.15">
      <c r="A1003" s="9">
        <v>1002</v>
      </c>
      <c r="B1003" s="10" t="s">
        <v>9</v>
      </c>
      <c r="C1003" s="11" t="s">
        <v>10</v>
      </c>
      <c r="D1003" s="12">
        <v>45623</v>
      </c>
      <c r="E1003" s="13" t="str">
        <f>+HYPERLINK("http://trademark.i-assist.jp/data/china/image_1913th/80662122.pdf","80662122")</f>
        <v>80662122</v>
      </c>
      <c r="F1003" s="11" t="s">
        <v>3164</v>
      </c>
      <c r="G1003" s="11" t="s">
        <v>1601</v>
      </c>
      <c r="H1003" s="11" t="s">
        <v>1602</v>
      </c>
      <c r="I1003" s="12">
        <v>45534</v>
      </c>
    </row>
    <row r="1004" spans="1:9" x14ac:dyDescent="0.15">
      <c r="A1004" s="9">
        <v>1003</v>
      </c>
      <c r="B1004" s="10" t="s">
        <v>9</v>
      </c>
      <c r="C1004" s="11" t="s">
        <v>10</v>
      </c>
      <c r="D1004" s="12">
        <v>45623</v>
      </c>
      <c r="E1004" s="13" t="str">
        <f>+HYPERLINK("http://trademark.i-assist.jp/data/china/image_1913th/80662559.pdf","80662559")</f>
        <v>80662559</v>
      </c>
      <c r="F1004" s="11" t="s">
        <v>3165</v>
      </c>
      <c r="G1004" s="11" t="s">
        <v>1438</v>
      </c>
      <c r="H1004" s="11" t="s">
        <v>1439</v>
      </c>
      <c r="I1004" s="12">
        <v>45534</v>
      </c>
    </row>
    <row r="1005" spans="1:9" x14ac:dyDescent="0.15">
      <c r="A1005" s="9">
        <v>1004</v>
      </c>
      <c r="B1005" s="10" t="s">
        <v>9</v>
      </c>
      <c r="C1005" s="11" t="s">
        <v>10</v>
      </c>
      <c r="D1005" s="12">
        <v>45623</v>
      </c>
      <c r="E1005" s="13" t="str">
        <f>+HYPERLINK("http://trademark.i-assist.jp/data/china/image_1913th/80663848.pdf","80663848")</f>
        <v>80663848</v>
      </c>
      <c r="F1005" s="11" t="s">
        <v>3166</v>
      </c>
      <c r="G1005" s="11" t="s">
        <v>635</v>
      </c>
      <c r="H1005" s="11" t="s">
        <v>3167</v>
      </c>
      <c r="I1005" s="12">
        <v>45534</v>
      </c>
    </row>
    <row r="1006" spans="1:9" x14ac:dyDescent="0.15">
      <c r="A1006" s="9">
        <v>1005</v>
      </c>
      <c r="B1006" s="10" t="s">
        <v>9</v>
      </c>
      <c r="C1006" s="11" t="s">
        <v>10</v>
      </c>
      <c r="D1006" s="12">
        <v>45623</v>
      </c>
      <c r="E1006" s="13" t="str">
        <f>+HYPERLINK("http://trademark.i-assist.jp/data/china/image_1913th/80665343.pdf","80665343")</f>
        <v>80665343</v>
      </c>
      <c r="F1006" s="11" t="s">
        <v>3168</v>
      </c>
      <c r="G1006" s="11" t="s">
        <v>309</v>
      </c>
      <c r="H1006" s="11" t="s">
        <v>1914</v>
      </c>
      <c r="I1006" s="12">
        <v>45534</v>
      </c>
    </row>
    <row r="1007" spans="1:9" x14ac:dyDescent="0.15">
      <c r="A1007" s="9">
        <v>1006</v>
      </c>
      <c r="B1007" s="10" t="s">
        <v>9</v>
      </c>
      <c r="C1007" s="11" t="s">
        <v>10</v>
      </c>
      <c r="D1007" s="12">
        <v>45623</v>
      </c>
      <c r="E1007" s="13" t="str">
        <f>+HYPERLINK("http://trademark.i-assist.jp/data/china/image_1913th/80665516.pdf","80665516")</f>
        <v>80665516</v>
      </c>
      <c r="F1007" s="11" t="s">
        <v>636</v>
      </c>
      <c r="G1007" s="11" t="s">
        <v>3169</v>
      </c>
      <c r="H1007" s="11" t="s">
        <v>1807</v>
      </c>
      <c r="I1007" s="12">
        <v>45534</v>
      </c>
    </row>
    <row r="1008" spans="1:9" x14ac:dyDescent="0.15">
      <c r="A1008" s="9">
        <v>1007</v>
      </c>
      <c r="B1008" s="10" t="s">
        <v>9</v>
      </c>
      <c r="C1008" s="11" t="s">
        <v>10</v>
      </c>
      <c r="D1008" s="12">
        <v>45623</v>
      </c>
      <c r="E1008" s="13" t="str">
        <f>+HYPERLINK("http://trademark.i-assist.jp/data/china/image_1913th/80669437.pdf","80669437")</f>
        <v>80669437</v>
      </c>
      <c r="F1008" s="11" t="s">
        <v>3170</v>
      </c>
      <c r="G1008" s="11" t="s">
        <v>3171</v>
      </c>
      <c r="H1008" s="11" t="s">
        <v>3172</v>
      </c>
      <c r="I1008" s="12">
        <v>45534</v>
      </c>
    </row>
    <row r="1009" spans="1:9" x14ac:dyDescent="0.15">
      <c r="A1009" s="9">
        <v>1008</v>
      </c>
      <c r="B1009" s="10" t="s">
        <v>9</v>
      </c>
      <c r="C1009" s="11" t="s">
        <v>10</v>
      </c>
      <c r="D1009" s="12">
        <v>45623</v>
      </c>
      <c r="E1009" s="13" t="str">
        <f>+HYPERLINK("http://trademark.i-assist.jp/data/china/image_1913th/80671276.pdf","80671276")</f>
        <v>80671276</v>
      </c>
      <c r="F1009" s="11" t="s">
        <v>3173</v>
      </c>
      <c r="G1009" s="11" t="s">
        <v>1438</v>
      </c>
      <c r="H1009" s="11" t="s">
        <v>1439</v>
      </c>
      <c r="I1009" s="12">
        <v>45534</v>
      </c>
    </row>
    <row r="1010" spans="1:9" x14ac:dyDescent="0.15">
      <c r="A1010" s="9">
        <v>1009</v>
      </c>
      <c r="B1010" s="10" t="s">
        <v>9</v>
      </c>
      <c r="C1010" s="11" t="s">
        <v>10</v>
      </c>
      <c r="D1010" s="12">
        <v>45623</v>
      </c>
      <c r="E1010" s="13" t="str">
        <f>+HYPERLINK("http://trademark.i-assist.jp/data/china/image_1913th/80034831.pdf","80034831")</f>
        <v>80034831</v>
      </c>
      <c r="F1010" s="11" t="s">
        <v>3174</v>
      </c>
      <c r="G1010" s="11" t="s">
        <v>3175</v>
      </c>
      <c r="H1010" s="11" t="s">
        <v>3176</v>
      </c>
      <c r="I1010" s="12">
        <v>45500</v>
      </c>
    </row>
    <row r="1011" spans="1:9" x14ac:dyDescent="0.15">
      <c r="A1011" s="9">
        <v>1010</v>
      </c>
      <c r="B1011" s="10" t="s">
        <v>9</v>
      </c>
      <c r="C1011" s="11" t="s">
        <v>10</v>
      </c>
      <c r="D1011" s="12">
        <v>45623</v>
      </c>
      <c r="E1011" s="13" t="str">
        <f>+HYPERLINK("http://trademark.i-assist.jp/data/china/image_1913th/80078344.pdf","80078344")</f>
        <v>80078344</v>
      </c>
      <c r="F1011" s="11" t="s">
        <v>637</v>
      </c>
      <c r="G1011" s="11" t="s">
        <v>1344</v>
      </c>
      <c r="H1011" s="11" t="s">
        <v>1345</v>
      </c>
      <c r="I1011" s="12">
        <v>45503</v>
      </c>
    </row>
    <row r="1012" spans="1:9" x14ac:dyDescent="0.15">
      <c r="A1012" s="9">
        <v>1011</v>
      </c>
      <c r="B1012" s="10" t="s">
        <v>9</v>
      </c>
      <c r="C1012" s="11" t="s">
        <v>10</v>
      </c>
      <c r="D1012" s="12">
        <v>45623</v>
      </c>
      <c r="E1012" s="13" t="str">
        <f>+HYPERLINK("http://trademark.i-assist.jp/data/china/image_1913th/80100722.pdf","80100722")</f>
        <v>80100722</v>
      </c>
      <c r="F1012" s="11" t="s">
        <v>3177</v>
      </c>
      <c r="G1012" s="11" t="s">
        <v>3178</v>
      </c>
      <c r="H1012" s="11" t="s">
        <v>1279</v>
      </c>
      <c r="I1012" s="12">
        <v>45504</v>
      </c>
    </row>
    <row r="1013" spans="1:9" x14ac:dyDescent="0.15">
      <c r="A1013" s="9">
        <v>1012</v>
      </c>
      <c r="B1013" s="10" t="s">
        <v>9</v>
      </c>
      <c r="C1013" s="11" t="s">
        <v>10</v>
      </c>
      <c r="D1013" s="12">
        <v>45623</v>
      </c>
      <c r="E1013" s="13" t="str">
        <f>+HYPERLINK("http://trademark.i-assist.jp/data/china/image_1913th/80165044.pdf","80165044")</f>
        <v>80165044</v>
      </c>
      <c r="F1013" s="11" t="s">
        <v>1335</v>
      </c>
      <c r="G1013" s="11" t="s">
        <v>3179</v>
      </c>
      <c r="H1013" s="11" t="s">
        <v>3180</v>
      </c>
      <c r="I1013" s="12">
        <v>45507</v>
      </c>
    </row>
    <row r="1014" spans="1:9" x14ac:dyDescent="0.15">
      <c r="A1014" s="9">
        <v>1013</v>
      </c>
      <c r="B1014" s="10" t="s">
        <v>9</v>
      </c>
      <c r="C1014" s="11" t="s">
        <v>10</v>
      </c>
      <c r="D1014" s="12">
        <v>45623</v>
      </c>
      <c r="E1014" s="13" t="str">
        <f>+HYPERLINK("http://trademark.i-assist.jp/data/china/image_1913th/80176387.pdf","80176387")</f>
        <v>80176387</v>
      </c>
      <c r="F1014" s="11" t="s">
        <v>3181</v>
      </c>
      <c r="G1014" s="11" t="s">
        <v>3182</v>
      </c>
      <c r="H1014" s="11" t="s">
        <v>3183</v>
      </c>
      <c r="I1014" s="12">
        <v>45509</v>
      </c>
    </row>
    <row r="1015" spans="1:9" x14ac:dyDescent="0.15">
      <c r="A1015" s="9">
        <v>1014</v>
      </c>
      <c r="B1015" s="10" t="s">
        <v>9</v>
      </c>
      <c r="C1015" s="11" t="s">
        <v>10</v>
      </c>
      <c r="D1015" s="12">
        <v>45623</v>
      </c>
      <c r="E1015" s="13" t="str">
        <f>+HYPERLINK("http://trademark.i-assist.jp/data/china/image_1913th/80233474.pdf","80233474")</f>
        <v>80233474</v>
      </c>
      <c r="F1015" s="11" t="s">
        <v>638</v>
      </c>
      <c r="G1015" s="11" t="s">
        <v>3184</v>
      </c>
      <c r="H1015" s="11" t="s">
        <v>3185</v>
      </c>
      <c r="I1015" s="12">
        <v>45511</v>
      </c>
    </row>
    <row r="1016" spans="1:9" x14ac:dyDescent="0.15">
      <c r="A1016" s="9">
        <v>1015</v>
      </c>
      <c r="B1016" s="10" t="s">
        <v>9</v>
      </c>
      <c r="C1016" s="11" t="s">
        <v>10</v>
      </c>
      <c r="D1016" s="12">
        <v>45623</v>
      </c>
      <c r="E1016" s="13" t="str">
        <f>+HYPERLINK("http://trademark.i-assist.jp/data/china/image_1913th/80292588.pdf","80292588")</f>
        <v>80292588</v>
      </c>
      <c r="F1016" s="11" t="s">
        <v>1335</v>
      </c>
      <c r="G1016" s="11" t="s">
        <v>3186</v>
      </c>
      <c r="H1016" s="11" t="s">
        <v>3187</v>
      </c>
      <c r="I1016" s="12">
        <v>45514</v>
      </c>
    </row>
    <row r="1017" spans="1:9" x14ac:dyDescent="0.15">
      <c r="A1017" s="9">
        <v>1016</v>
      </c>
      <c r="B1017" s="10" t="s">
        <v>9</v>
      </c>
      <c r="C1017" s="11" t="s">
        <v>10</v>
      </c>
      <c r="D1017" s="12">
        <v>45623</v>
      </c>
      <c r="E1017" s="13" t="str">
        <f>+HYPERLINK("http://trademark.i-assist.jp/data/china/image_1913th/80294732.pdf","80294732")</f>
        <v>80294732</v>
      </c>
      <c r="F1017" s="11" t="s">
        <v>3188</v>
      </c>
      <c r="G1017" s="11" t="s">
        <v>3189</v>
      </c>
      <c r="H1017" s="11" t="s">
        <v>3190</v>
      </c>
      <c r="I1017" s="12">
        <v>45514</v>
      </c>
    </row>
    <row r="1018" spans="1:9" x14ac:dyDescent="0.15">
      <c r="A1018" s="9">
        <v>1017</v>
      </c>
      <c r="B1018" s="10" t="s">
        <v>9</v>
      </c>
      <c r="C1018" s="11" t="s">
        <v>10</v>
      </c>
      <c r="D1018" s="12">
        <v>45623</v>
      </c>
      <c r="E1018" s="13" t="str">
        <f>+HYPERLINK("http://trademark.i-assist.jp/data/china/image_1913th/80299141.pdf","80299141")</f>
        <v>80299141</v>
      </c>
      <c r="F1018" s="11" t="s">
        <v>639</v>
      </c>
      <c r="G1018" s="11" t="s">
        <v>3191</v>
      </c>
      <c r="H1018" s="11" t="s">
        <v>3192</v>
      </c>
      <c r="I1018" s="12">
        <v>45515</v>
      </c>
    </row>
    <row r="1019" spans="1:9" x14ac:dyDescent="0.15">
      <c r="A1019" s="9">
        <v>1018</v>
      </c>
      <c r="B1019" s="10" t="s">
        <v>9</v>
      </c>
      <c r="C1019" s="11" t="s">
        <v>10</v>
      </c>
      <c r="D1019" s="12">
        <v>45623</v>
      </c>
      <c r="E1019" s="13" t="str">
        <f>+HYPERLINK("http://trademark.i-assist.jp/data/china/image_1913th/80307079.pdf","80307079")</f>
        <v>80307079</v>
      </c>
      <c r="F1019" s="11" t="s">
        <v>3193</v>
      </c>
      <c r="G1019" s="11" t="s">
        <v>3194</v>
      </c>
      <c r="H1019" s="11" t="s">
        <v>3195</v>
      </c>
      <c r="I1019" s="12">
        <v>45516</v>
      </c>
    </row>
    <row r="1020" spans="1:9" x14ac:dyDescent="0.15">
      <c r="A1020" s="9">
        <v>1019</v>
      </c>
      <c r="B1020" s="10" t="s">
        <v>9</v>
      </c>
      <c r="C1020" s="11" t="s">
        <v>10</v>
      </c>
      <c r="D1020" s="12">
        <v>45623</v>
      </c>
      <c r="E1020" s="13" t="str">
        <f>+HYPERLINK("http://trademark.i-assist.jp/data/china/image_1913th/80343109.pdf","80343109")</f>
        <v>80343109</v>
      </c>
      <c r="F1020" s="11" t="s">
        <v>3196</v>
      </c>
      <c r="G1020" s="11" t="s">
        <v>2346</v>
      </c>
      <c r="H1020" s="11" t="s">
        <v>1666</v>
      </c>
      <c r="I1020" s="12">
        <v>45517</v>
      </c>
    </row>
    <row r="1021" spans="1:9" x14ac:dyDescent="0.15">
      <c r="A1021" s="9">
        <v>1020</v>
      </c>
      <c r="B1021" s="10" t="s">
        <v>9</v>
      </c>
      <c r="C1021" s="11" t="s">
        <v>10</v>
      </c>
      <c r="D1021" s="12">
        <v>45623</v>
      </c>
      <c r="E1021" s="13" t="str">
        <f>+HYPERLINK("http://trademark.i-assist.jp/data/china/image_1913th/80368892.pdf","80368892")</f>
        <v>80368892</v>
      </c>
      <c r="F1021" s="11" t="s">
        <v>641</v>
      </c>
      <c r="G1021" s="11" t="s">
        <v>640</v>
      </c>
      <c r="H1021" s="11" t="s">
        <v>3197</v>
      </c>
      <c r="I1021" s="12">
        <v>45518</v>
      </c>
    </row>
    <row r="1022" spans="1:9" x14ac:dyDescent="0.15">
      <c r="A1022" s="9">
        <v>1021</v>
      </c>
      <c r="B1022" s="10" t="s">
        <v>9</v>
      </c>
      <c r="C1022" s="11" t="s">
        <v>10</v>
      </c>
      <c r="D1022" s="12">
        <v>45623</v>
      </c>
      <c r="E1022" s="13" t="str">
        <f>+HYPERLINK("http://trademark.i-assist.jp/data/china/image_1913th/80452573.pdf","80452573")</f>
        <v>80452573</v>
      </c>
      <c r="F1022" s="11" t="s">
        <v>642</v>
      </c>
      <c r="G1022" s="11" t="s">
        <v>3198</v>
      </c>
      <c r="H1022" s="11" t="s">
        <v>3199</v>
      </c>
      <c r="I1022" s="12">
        <v>45524</v>
      </c>
    </row>
    <row r="1023" spans="1:9" x14ac:dyDescent="0.15">
      <c r="A1023" s="9">
        <v>1022</v>
      </c>
      <c r="B1023" s="10" t="s">
        <v>9</v>
      </c>
      <c r="C1023" s="11" t="s">
        <v>10</v>
      </c>
      <c r="D1023" s="12">
        <v>45623</v>
      </c>
      <c r="E1023" s="13" t="str">
        <f>+HYPERLINK("http://trademark.i-assist.jp/data/china/image_1913th/80454872.pdf","80454872")</f>
        <v>80454872</v>
      </c>
      <c r="F1023" s="11" t="s">
        <v>643</v>
      </c>
      <c r="G1023" s="11" t="s">
        <v>3200</v>
      </c>
      <c r="H1023" s="11" t="s">
        <v>3201</v>
      </c>
      <c r="I1023" s="12">
        <v>45524</v>
      </c>
    </row>
    <row r="1024" spans="1:9" x14ac:dyDescent="0.15">
      <c r="A1024" s="9">
        <v>1023</v>
      </c>
      <c r="B1024" s="10" t="s">
        <v>9</v>
      </c>
      <c r="C1024" s="11" t="s">
        <v>10</v>
      </c>
      <c r="D1024" s="12">
        <v>45623</v>
      </c>
      <c r="E1024" s="13" t="str">
        <f>+HYPERLINK("http://trademark.i-assist.jp/data/china/image_1913th/80455525.pdf","80455525")</f>
        <v>80455525</v>
      </c>
      <c r="F1024" s="11" t="s">
        <v>644</v>
      </c>
      <c r="G1024" s="11" t="s">
        <v>3202</v>
      </c>
      <c r="H1024" s="11" t="s">
        <v>3203</v>
      </c>
      <c r="I1024" s="12">
        <v>45524</v>
      </c>
    </row>
    <row r="1025" spans="1:9" x14ac:dyDescent="0.15">
      <c r="A1025" s="9">
        <v>1024</v>
      </c>
      <c r="B1025" s="10" t="s">
        <v>9</v>
      </c>
      <c r="C1025" s="11" t="s">
        <v>10</v>
      </c>
      <c r="D1025" s="12">
        <v>45623</v>
      </c>
      <c r="E1025" s="13" t="str">
        <f>+HYPERLINK("http://trademark.i-assist.jp/data/china/image_1913th/75818711.pdf","75818711")</f>
        <v>75818711</v>
      </c>
      <c r="F1025" s="11" t="s">
        <v>3204</v>
      </c>
      <c r="G1025" s="11" t="s">
        <v>3205</v>
      </c>
      <c r="H1025" s="11" t="s">
        <v>3206</v>
      </c>
      <c r="I1025" s="12">
        <v>45275</v>
      </c>
    </row>
    <row r="1026" spans="1:9" x14ac:dyDescent="0.15">
      <c r="A1026" s="9">
        <v>1025</v>
      </c>
      <c r="B1026" s="10" t="s">
        <v>9</v>
      </c>
      <c r="C1026" s="11" t="s">
        <v>10</v>
      </c>
      <c r="D1026" s="12">
        <v>45623</v>
      </c>
      <c r="E1026" s="13" t="str">
        <f>+HYPERLINK("http://trademark.i-assist.jp/data/china/image_1913th/76821335.pdf","76821335")</f>
        <v>76821335</v>
      </c>
      <c r="F1026" s="11" t="s">
        <v>646</v>
      </c>
      <c r="G1026" s="11" t="s">
        <v>645</v>
      </c>
      <c r="H1026" s="11" t="s">
        <v>2009</v>
      </c>
      <c r="I1026" s="12">
        <v>45330</v>
      </c>
    </row>
    <row r="1027" spans="1:9" x14ac:dyDescent="0.15">
      <c r="A1027" s="9">
        <v>1026</v>
      </c>
      <c r="B1027" s="10" t="s">
        <v>9</v>
      </c>
      <c r="C1027" s="11" t="s">
        <v>10</v>
      </c>
      <c r="D1027" s="12">
        <v>45623</v>
      </c>
      <c r="E1027" s="13" t="str">
        <f>+HYPERLINK("http://trademark.i-assist.jp/data/china/image_1913th/76927769.pdf","76927769")</f>
        <v>76927769</v>
      </c>
      <c r="F1027" s="11" t="s">
        <v>3207</v>
      </c>
      <c r="G1027" s="11" t="s">
        <v>3208</v>
      </c>
      <c r="H1027" s="11" t="s">
        <v>3209</v>
      </c>
      <c r="I1027" s="12">
        <v>45345</v>
      </c>
    </row>
    <row r="1028" spans="1:9" x14ac:dyDescent="0.15">
      <c r="A1028" s="9">
        <v>1027</v>
      </c>
      <c r="B1028" s="10" t="s">
        <v>9</v>
      </c>
      <c r="C1028" s="11" t="s">
        <v>10</v>
      </c>
      <c r="D1028" s="12">
        <v>45623</v>
      </c>
      <c r="E1028" s="13" t="str">
        <f>+HYPERLINK("http://trademark.i-assist.jp/data/china/image_1913th/80498406.pdf","80498406")</f>
        <v>80498406</v>
      </c>
      <c r="F1028" s="11" t="s">
        <v>647</v>
      </c>
      <c r="G1028" s="11" t="s">
        <v>202</v>
      </c>
      <c r="H1028" s="11" t="s">
        <v>1857</v>
      </c>
      <c r="I1028" s="12">
        <v>45526</v>
      </c>
    </row>
    <row r="1029" spans="1:9" x14ac:dyDescent="0.15">
      <c r="A1029" s="9">
        <v>1028</v>
      </c>
      <c r="B1029" s="10" t="s">
        <v>9</v>
      </c>
      <c r="C1029" s="11" t="s">
        <v>10</v>
      </c>
      <c r="D1029" s="12">
        <v>45623</v>
      </c>
      <c r="E1029" s="13" t="str">
        <f>+HYPERLINK("http://trademark.i-assist.jp/data/china/image_1913th/80506226.pdf","80506226")</f>
        <v>80506226</v>
      </c>
      <c r="F1029" s="11" t="s">
        <v>3210</v>
      </c>
      <c r="G1029" s="11" t="s">
        <v>3211</v>
      </c>
      <c r="H1029" s="11" t="s">
        <v>3212</v>
      </c>
      <c r="I1029" s="12">
        <v>45526</v>
      </c>
    </row>
    <row r="1030" spans="1:9" x14ac:dyDescent="0.15">
      <c r="A1030" s="9">
        <v>1029</v>
      </c>
      <c r="B1030" s="10" t="s">
        <v>9</v>
      </c>
      <c r="C1030" s="11" t="s">
        <v>10</v>
      </c>
      <c r="D1030" s="12">
        <v>45623</v>
      </c>
      <c r="E1030" s="13" t="str">
        <f>+HYPERLINK("http://trademark.i-assist.jp/data/china/image_1913th/80509566.pdf","80509566")</f>
        <v>80509566</v>
      </c>
      <c r="F1030" s="11" t="s">
        <v>1335</v>
      </c>
      <c r="G1030" s="11" t="s">
        <v>3213</v>
      </c>
      <c r="H1030" s="11" t="s">
        <v>3214</v>
      </c>
      <c r="I1030" s="12">
        <v>45526</v>
      </c>
    </row>
    <row r="1031" spans="1:9" x14ac:dyDescent="0.15">
      <c r="A1031" s="9">
        <v>1030</v>
      </c>
      <c r="B1031" s="10" t="s">
        <v>9</v>
      </c>
      <c r="C1031" s="11" t="s">
        <v>10</v>
      </c>
      <c r="D1031" s="12">
        <v>45623</v>
      </c>
      <c r="E1031" s="13" t="str">
        <f>+HYPERLINK("http://trademark.i-assist.jp/data/china/image_1913th/80515387.pdf","80515387")</f>
        <v>80515387</v>
      </c>
      <c r="F1031" s="11" t="s">
        <v>3215</v>
      </c>
      <c r="G1031" s="11" t="s">
        <v>3216</v>
      </c>
      <c r="H1031" s="11" t="s">
        <v>1376</v>
      </c>
      <c r="I1031" s="12">
        <v>45526</v>
      </c>
    </row>
    <row r="1032" spans="1:9" x14ac:dyDescent="0.15">
      <c r="A1032" s="9">
        <v>1031</v>
      </c>
      <c r="B1032" s="10" t="s">
        <v>9</v>
      </c>
      <c r="C1032" s="11" t="s">
        <v>10</v>
      </c>
      <c r="D1032" s="12">
        <v>45623</v>
      </c>
      <c r="E1032" s="13" t="str">
        <f>+HYPERLINK("http://trademark.i-assist.jp/data/china/image_1913th/80525062.pdf","80525062")</f>
        <v>80525062</v>
      </c>
      <c r="F1032" s="11" t="s">
        <v>3217</v>
      </c>
      <c r="G1032" s="11" t="s">
        <v>3218</v>
      </c>
      <c r="H1032" s="11" t="s">
        <v>3219</v>
      </c>
      <c r="I1032" s="12">
        <v>45527</v>
      </c>
    </row>
    <row r="1033" spans="1:9" x14ac:dyDescent="0.15">
      <c r="A1033" s="9">
        <v>1032</v>
      </c>
      <c r="B1033" s="10" t="s">
        <v>9</v>
      </c>
      <c r="C1033" s="11" t="s">
        <v>10</v>
      </c>
      <c r="D1033" s="12">
        <v>45623</v>
      </c>
      <c r="E1033" s="13" t="str">
        <f>+HYPERLINK("http://trademark.i-assist.jp/data/china/image_1913th/80545208.pdf","80545208")</f>
        <v>80545208</v>
      </c>
      <c r="F1033" s="11" t="s">
        <v>2322</v>
      </c>
      <c r="G1033" s="11" t="s">
        <v>2323</v>
      </c>
      <c r="H1033" s="11" t="s">
        <v>1592</v>
      </c>
      <c r="I1033" s="12">
        <v>45527</v>
      </c>
    </row>
    <row r="1034" spans="1:9" x14ac:dyDescent="0.15">
      <c r="A1034" s="9">
        <v>1033</v>
      </c>
      <c r="B1034" s="10" t="s">
        <v>9</v>
      </c>
      <c r="C1034" s="11" t="s">
        <v>10</v>
      </c>
      <c r="D1034" s="12">
        <v>45623</v>
      </c>
      <c r="E1034" s="13" t="str">
        <f>+HYPERLINK("http://trademark.i-assist.jp/data/china/image_1913th/80551745.pdf","80551745")</f>
        <v>80551745</v>
      </c>
      <c r="F1034" s="11" t="s">
        <v>3220</v>
      </c>
      <c r="G1034" s="11" t="s">
        <v>3221</v>
      </c>
      <c r="H1034" s="11" t="s">
        <v>1376</v>
      </c>
      <c r="I1034" s="12">
        <v>45528</v>
      </c>
    </row>
    <row r="1035" spans="1:9" x14ac:dyDescent="0.15">
      <c r="A1035" s="9">
        <v>1034</v>
      </c>
      <c r="B1035" s="10" t="s">
        <v>9</v>
      </c>
      <c r="C1035" s="11" t="s">
        <v>10</v>
      </c>
      <c r="D1035" s="12">
        <v>45623</v>
      </c>
      <c r="E1035" s="13" t="str">
        <f>+HYPERLINK("http://trademark.i-assist.jp/data/china/image_1913th/80463913.pdf","80463913")</f>
        <v>80463913</v>
      </c>
      <c r="F1035" s="11" t="s">
        <v>648</v>
      </c>
      <c r="G1035" s="11" t="s">
        <v>1947</v>
      </c>
      <c r="H1035" s="11" t="s">
        <v>3222</v>
      </c>
      <c r="I1035" s="12">
        <v>45524</v>
      </c>
    </row>
    <row r="1036" spans="1:9" x14ac:dyDescent="0.15">
      <c r="A1036" s="9">
        <v>1035</v>
      </c>
      <c r="B1036" s="10" t="s">
        <v>9</v>
      </c>
      <c r="C1036" s="11" t="s">
        <v>10</v>
      </c>
      <c r="D1036" s="12">
        <v>45623</v>
      </c>
      <c r="E1036" s="13" t="str">
        <f>+HYPERLINK("http://trademark.i-assist.jp/data/china/image_1913th/80468240.pdf","80468240")</f>
        <v>80468240</v>
      </c>
      <c r="F1036" s="11" t="s">
        <v>649</v>
      </c>
      <c r="G1036" s="11" t="s">
        <v>3223</v>
      </c>
      <c r="H1036" s="11" t="s">
        <v>1279</v>
      </c>
      <c r="I1036" s="12">
        <v>45524</v>
      </c>
    </row>
    <row r="1037" spans="1:9" x14ac:dyDescent="0.15">
      <c r="A1037" s="9">
        <v>1036</v>
      </c>
      <c r="B1037" s="10" t="s">
        <v>9</v>
      </c>
      <c r="C1037" s="11" t="s">
        <v>10</v>
      </c>
      <c r="D1037" s="12">
        <v>45623</v>
      </c>
      <c r="E1037" s="13" t="str">
        <f>+HYPERLINK("http://trademark.i-assist.jp/data/china/image_1913th/80475922.pdf","80475922")</f>
        <v>80475922</v>
      </c>
      <c r="F1037" s="11" t="s">
        <v>651</v>
      </c>
      <c r="G1037" s="11" t="s">
        <v>650</v>
      </c>
      <c r="H1037" s="11" t="s">
        <v>3224</v>
      </c>
      <c r="I1037" s="12">
        <v>45525</v>
      </c>
    </row>
    <row r="1038" spans="1:9" x14ac:dyDescent="0.15">
      <c r="A1038" s="9">
        <v>1037</v>
      </c>
      <c r="B1038" s="10" t="s">
        <v>9</v>
      </c>
      <c r="C1038" s="11" t="s">
        <v>10</v>
      </c>
      <c r="D1038" s="12">
        <v>45623</v>
      </c>
      <c r="E1038" s="13" t="str">
        <f>+HYPERLINK("http://trademark.i-assist.jp/data/china/image_1913th/80487062.pdf","80487062")</f>
        <v>80487062</v>
      </c>
      <c r="F1038" s="11" t="s">
        <v>3225</v>
      </c>
      <c r="G1038" s="11" t="s">
        <v>2242</v>
      </c>
      <c r="H1038" s="11" t="s">
        <v>2243</v>
      </c>
      <c r="I1038" s="12">
        <v>45525</v>
      </c>
    </row>
    <row r="1039" spans="1:9" x14ac:dyDescent="0.15">
      <c r="A1039" s="9">
        <v>1038</v>
      </c>
      <c r="B1039" s="10" t="s">
        <v>9</v>
      </c>
      <c r="C1039" s="11" t="s">
        <v>10</v>
      </c>
      <c r="D1039" s="12">
        <v>45623</v>
      </c>
      <c r="E1039" s="13" t="str">
        <f>+HYPERLINK("http://trademark.i-assist.jp/data/china/image_1913th/80488637.pdf","80488637")</f>
        <v>80488637</v>
      </c>
      <c r="F1039" s="11" t="s">
        <v>3226</v>
      </c>
      <c r="G1039" s="11" t="s">
        <v>3227</v>
      </c>
      <c r="H1039" s="11" t="s">
        <v>3228</v>
      </c>
      <c r="I1039" s="12">
        <v>45525</v>
      </c>
    </row>
    <row r="1040" spans="1:9" x14ac:dyDescent="0.15">
      <c r="A1040" s="9">
        <v>1039</v>
      </c>
      <c r="B1040" s="10" t="s">
        <v>9</v>
      </c>
      <c r="C1040" s="11" t="s">
        <v>10</v>
      </c>
      <c r="D1040" s="12">
        <v>45623</v>
      </c>
      <c r="E1040" s="13" t="str">
        <f>+HYPERLINK("http://trademark.i-assist.jp/data/china/image_1913th/71066021.pdf","71066021")</f>
        <v>71066021</v>
      </c>
      <c r="F1040" s="11" t="s">
        <v>653</v>
      </c>
      <c r="G1040" s="11" t="s">
        <v>652</v>
      </c>
      <c r="H1040" s="11" t="s">
        <v>1298</v>
      </c>
      <c r="I1040" s="12">
        <v>45037</v>
      </c>
    </row>
    <row r="1041" spans="1:9" x14ac:dyDescent="0.15">
      <c r="A1041" s="9">
        <v>1040</v>
      </c>
      <c r="B1041" s="10" t="s">
        <v>9</v>
      </c>
      <c r="C1041" s="11" t="s">
        <v>10</v>
      </c>
      <c r="D1041" s="12">
        <v>45623</v>
      </c>
      <c r="E1041" s="13" t="str">
        <f>+HYPERLINK("http://trademark.i-assist.jp/data/china/image_1913th/73010899.pdf","73010899")</f>
        <v>73010899</v>
      </c>
      <c r="F1041" s="11" t="s">
        <v>654</v>
      </c>
      <c r="G1041" s="11" t="s">
        <v>3229</v>
      </c>
      <c r="H1041" s="11" t="s">
        <v>3230</v>
      </c>
      <c r="I1041" s="12">
        <v>45129</v>
      </c>
    </row>
    <row r="1042" spans="1:9" x14ac:dyDescent="0.15">
      <c r="A1042" s="9">
        <v>1041</v>
      </c>
      <c r="B1042" s="10" t="s">
        <v>9</v>
      </c>
      <c r="C1042" s="11" t="s">
        <v>10</v>
      </c>
      <c r="D1042" s="12">
        <v>45623</v>
      </c>
      <c r="E1042" s="13" t="str">
        <f>+HYPERLINK("http://trademark.i-assist.jp/data/china/image_1913th/73793340.pdf","73793340")</f>
        <v>73793340</v>
      </c>
      <c r="F1042" s="11" t="s">
        <v>655</v>
      </c>
      <c r="G1042" s="11" t="s">
        <v>3231</v>
      </c>
      <c r="H1042" s="11" t="s">
        <v>3232</v>
      </c>
      <c r="I1042" s="12">
        <v>45168</v>
      </c>
    </row>
    <row r="1043" spans="1:9" x14ac:dyDescent="0.15">
      <c r="A1043" s="9">
        <v>1042</v>
      </c>
      <c r="B1043" s="10" t="s">
        <v>9</v>
      </c>
      <c r="C1043" s="11" t="s">
        <v>10</v>
      </c>
      <c r="D1043" s="12">
        <v>45623</v>
      </c>
      <c r="E1043" s="13" t="str">
        <f>+HYPERLINK("http://trademark.i-assist.jp/data/china/image_1913th/78630850.pdf","78630850")</f>
        <v>78630850</v>
      </c>
      <c r="F1043" s="11" t="s">
        <v>3233</v>
      </c>
      <c r="G1043" s="11" t="s">
        <v>3234</v>
      </c>
      <c r="H1043" s="11" t="s">
        <v>3235</v>
      </c>
      <c r="I1043" s="12">
        <v>45428</v>
      </c>
    </row>
    <row r="1044" spans="1:9" x14ac:dyDescent="0.15">
      <c r="A1044" s="9">
        <v>1043</v>
      </c>
      <c r="B1044" s="10" t="s">
        <v>9</v>
      </c>
      <c r="C1044" s="11" t="s">
        <v>10</v>
      </c>
      <c r="D1044" s="12">
        <v>45623</v>
      </c>
      <c r="E1044" s="13" t="str">
        <f>+HYPERLINK("http://trademark.i-assist.jp/data/china/image_1913th/80477684.pdf","80477684")</f>
        <v>80477684</v>
      </c>
      <c r="F1044" s="11" t="s">
        <v>3236</v>
      </c>
      <c r="G1044" s="11" t="s">
        <v>3237</v>
      </c>
      <c r="H1044" s="11" t="s">
        <v>1423</v>
      </c>
      <c r="I1044" s="12">
        <v>45525</v>
      </c>
    </row>
    <row r="1045" spans="1:9" x14ac:dyDescent="0.15">
      <c r="A1045" s="9">
        <v>1044</v>
      </c>
      <c r="B1045" s="10" t="s">
        <v>9</v>
      </c>
      <c r="C1045" s="11" t="s">
        <v>10</v>
      </c>
      <c r="D1045" s="12">
        <v>45623</v>
      </c>
      <c r="E1045" s="13" t="str">
        <f>+HYPERLINK("http://trademark.i-assist.jp/data/china/image_1913th/80540911.pdf","80540911")</f>
        <v>80540911</v>
      </c>
      <c r="F1045" s="11" t="s">
        <v>3238</v>
      </c>
      <c r="G1045" s="11" t="s">
        <v>2537</v>
      </c>
      <c r="H1045" s="11" t="s">
        <v>1376</v>
      </c>
      <c r="I1045" s="12">
        <v>45527</v>
      </c>
    </row>
    <row r="1046" spans="1:9" x14ac:dyDescent="0.15">
      <c r="A1046" s="9">
        <v>1045</v>
      </c>
      <c r="B1046" s="10" t="s">
        <v>9</v>
      </c>
      <c r="C1046" s="11" t="s">
        <v>10</v>
      </c>
      <c r="D1046" s="12">
        <v>45623</v>
      </c>
      <c r="E1046" s="13" t="str">
        <f>+HYPERLINK("http://trademark.i-assist.jp/data/china/image_1913th/80549203.pdf","80549203")</f>
        <v>80549203</v>
      </c>
      <c r="F1046" s="11" t="s">
        <v>3239</v>
      </c>
      <c r="G1046" s="11" t="s">
        <v>3240</v>
      </c>
      <c r="H1046" s="11" t="s">
        <v>3241</v>
      </c>
      <c r="I1046" s="12">
        <v>45528</v>
      </c>
    </row>
    <row r="1047" spans="1:9" x14ac:dyDescent="0.15">
      <c r="A1047" s="9">
        <v>1046</v>
      </c>
      <c r="B1047" s="10" t="s">
        <v>9</v>
      </c>
      <c r="C1047" s="11" t="s">
        <v>10</v>
      </c>
      <c r="D1047" s="12">
        <v>45623</v>
      </c>
      <c r="E1047" s="13" t="str">
        <f>+HYPERLINK("http://trademark.i-assist.jp/data/china/image_1913th/79154405.pdf","79154405")</f>
        <v>79154405</v>
      </c>
      <c r="F1047" s="11" t="s">
        <v>3242</v>
      </c>
      <c r="G1047" s="11" t="s">
        <v>3243</v>
      </c>
      <c r="H1047" s="11" t="s">
        <v>3244</v>
      </c>
      <c r="I1047" s="12">
        <v>45455</v>
      </c>
    </row>
    <row r="1048" spans="1:9" x14ac:dyDescent="0.15">
      <c r="A1048" s="9">
        <v>1047</v>
      </c>
      <c r="B1048" s="10" t="s">
        <v>9</v>
      </c>
      <c r="C1048" s="11" t="s">
        <v>10</v>
      </c>
      <c r="D1048" s="12">
        <v>45623</v>
      </c>
      <c r="E1048" s="13" t="str">
        <f>+HYPERLINK("http://trademark.i-assist.jp/data/china/image_1913th/79213858.pdf","79213858")</f>
        <v>79213858</v>
      </c>
      <c r="F1048" s="11" t="s">
        <v>3245</v>
      </c>
      <c r="G1048" s="11" t="s">
        <v>3246</v>
      </c>
      <c r="H1048" s="11" t="s">
        <v>3247</v>
      </c>
      <c r="I1048" s="12">
        <v>45457</v>
      </c>
    </row>
    <row r="1049" spans="1:9" x14ac:dyDescent="0.15">
      <c r="A1049" s="9">
        <v>1048</v>
      </c>
      <c r="B1049" s="10" t="s">
        <v>9</v>
      </c>
      <c r="C1049" s="11" t="s">
        <v>10</v>
      </c>
      <c r="D1049" s="12">
        <v>45623</v>
      </c>
      <c r="E1049" s="13" t="str">
        <f>+HYPERLINK("http://trademark.i-assist.jp/data/china/image_1913th/79236641.pdf","79236641")</f>
        <v>79236641</v>
      </c>
      <c r="F1049" s="11" t="s">
        <v>656</v>
      </c>
      <c r="G1049" s="11" t="s">
        <v>3248</v>
      </c>
      <c r="H1049" s="11" t="s">
        <v>1276</v>
      </c>
      <c r="I1049" s="12">
        <v>45458</v>
      </c>
    </row>
    <row r="1050" spans="1:9" x14ac:dyDescent="0.15">
      <c r="A1050" s="9">
        <v>1049</v>
      </c>
      <c r="B1050" s="10" t="s">
        <v>9</v>
      </c>
      <c r="C1050" s="11" t="s">
        <v>10</v>
      </c>
      <c r="D1050" s="12">
        <v>45623</v>
      </c>
      <c r="E1050" s="13" t="str">
        <f>+HYPERLINK("http://trademark.i-assist.jp/data/china/image_1913th/80686369.pdf","80686369")</f>
        <v>80686369</v>
      </c>
      <c r="F1050" s="11" t="s">
        <v>3249</v>
      </c>
      <c r="G1050" s="11" t="s">
        <v>657</v>
      </c>
      <c r="H1050" s="11" t="s">
        <v>3250</v>
      </c>
      <c r="I1050" s="12">
        <v>45537</v>
      </c>
    </row>
    <row r="1051" spans="1:9" x14ac:dyDescent="0.15">
      <c r="A1051" s="9">
        <v>1050</v>
      </c>
      <c r="B1051" s="10" t="s">
        <v>9</v>
      </c>
      <c r="C1051" s="11" t="s">
        <v>10</v>
      </c>
      <c r="D1051" s="12">
        <v>45623</v>
      </c>
      <c r="E1051" s="13" t="str">
        <f>+HYPERLINK("http://trademark.i-assist.jp/data/china/image_1913th/80687561.pdf","80687561")</f>
        <v>80687561</v>
      </c>
      <c r="F1051" s="11" t="s">
        <v>658</v>
      </c>
      <c r="G1051" s="11" t="s">
        <v>3251</v>
      </c>
      <c r="H1051" s="11" t="s">
        <v>3252</v>
      </c>
      <c r="I1051" s="12">
        <v>45537</v>
      </c>
    </row>
    <row r="1052" spans="1:9" x14ac:dyDescent="0.15">
      <c r="A1052" s="9">
        <v>1051</v>
      </c>
      <c r="B1052" s="10" t="s">
        <v>9</v>
      </c>
      <c r="C1052" s="11" t="s">
        <v>10</v>
      </c>
      <c r="D1052" s="12">
        <v>45623</v>
      </c>
      <c r="E1052" s="13" t="str">
        <f>+HYPERLINK("http://trademark.i-assist.jp/data/china/image_1913th/80687647.pdf","80687647")</f>
        <v>80687647</v>
      </c>
      <c r="F1052" s="11" t="s">
        <v>659</v>
      </c>
      <c r="G1052" s="11" t="s">
        <v>1818</v>
      </c>
      <c r="H1052" s="11" t="s">
        <v>1819</v>
      </c>
      <c r="I1052" s="12">
        <v>45537</v>
      </c>
    </row>
    <row r="1053" spans="1:9" x14ac:dyDescent="0.15">
      <c r="A1053" s="9">
        <v>1052</v>
      </c>
      <c r="B1053" s="10" t="s">
        <v>9</v>
      </c>
      <c r="C1053" s="11" t="s">
        <v>10</v>
      </c>
      <c r="D1053" s="12">
        <v>45623</v>
      </c>
      <c r="E1053" s="13" t="str">
        <f>+HYPERLINK("http://trademark.i-assist.jp/data/china/image_1913th/80690969.pdf","80690969")</f>
        <v>80690969</v>
      </c>
      <c r="F1053" s="11" t="s">
        <v>3253</v>
      </c>
      <c r="G1053" s="11" t="s">
        <v>3254</v>
      </c>
      <c r="H1053" s="11" t="s">
        <v>1423</v>
      </c>
      <c r="I1053" s="12">
        <v>45537</v>
      </c>
    </row>
    <row r="1054" spans="1:9" x14ac:dyDescent="0.15">
      <c r="A1054" s="9">
        <v>1053</v>
      </c>
      <c r="B1054" s="10" t="s">
        <v>9</v>
      </c>
      <c r="C1054" s="11" t="s">
        <v>10</v>
      </c>
      <c r="D1054" s="12">
        <v>45623</v>
      </c>
      <c r="E1054" s="13" t="str">
        <f>+HYPERLINK("http://trademark.i-assist.jp/data/china/image_1913th/80693292.pdf","80693292")</f>
        <v>80693292</v>
      </c>
      <c r="F1054" s="11" t="s">
        <v>660</v>
      </c>
      <c r="G1054" s="11" t="s">
        <v>1400</v>
      </c>
      <c r="H1054" s="11" t="s">
        <v>1401</v>
      </c>
      <c r="I1054" s="12">
        <v>45537</v>
      </c>
    </row>
    <row r="1055" spans="1:9" x14ac:dyDescent="0.15">
      <c r="A1055" s="9">
        <v>1054</v>
      </c>
      <c r="B1055" s="10" t="s">
        <v>9</v>
      </c>
      <c r="C1055" s="11" t="s">
        <v>10</v>
      </c>
      <c r="D1055" s="12">
        <v>45623</v>
      </c>
      <c r="E1055" s="13" t="str">
        <f>+HYPERLINK("http://trademark.i-assist.jp/data/china/image_1913th/80694268.pdf","80694268")</f>
        <v>80694268</v>
      </c>
      <c r="F1055" s="11" t="s">
        <v>661</v>
      </c>
      <c r="G1055" s="11" t="s">
        <v>3255</v>
      </c>
      <c r="H1055" s="11" t="s">
        <v>3256</v>
      </c>
      <c r="I1055" s="12">
        <v>45537</v>
      </c>
    </row>
    <row r="1056" spans="1:9" x14ac:dyDescent="0.15">
      <c r="A1056" s="9">
        <v>1055</v>
      </c>
      <c r="B1056" s="10" t="s">
        <v>9</v>
      </c>
      <c r="C1056" s="11" t="s">
        <v>10</v>
      </c>
      <c r="D1056" s="12">
        <v>45623</v>
      </c>
      <c r="E1056" s="13" t="str">
        <f>+HYPERLINK("http://trademark.i-assist.jp/data/china/image_1913th/80696487.pdf","80696487")</f>
        <v>80696487</v>
      </c>
      <c r="F1056" s="11" t="s">
        <v>3257</v>
      </c>
      <c r="G1056" s="11" t="s">
        <v>662</v>
      </c>
      <c r="H1056" s="11" t="s">
        <v>3258</v>
      </c>
      <c r="I1056" s="12">
        <v>45537</v>
      </c>
    </row>
    <row r="1057" spans="1:9" x14ac:dyDescent="0.15">
      <c r="A1057" s="9">
        <v>1056</v>
      </c>
      <c r="B1057" s="10" t="s">
        <v>9</v>
      </c>
      <c r="C1057" s="11" t="s">
        <v>10</v>
      </c>
      <c r="D1057" s="12">
        <v>45623</v>
      </c>
      <c r="E1057" s="13" t="str">
        <f>+HYPERLINK("http://trademark.i-assist.jp/data/china/image_1913th/80702369.pdf","80702369")</f>
        <v>80702369</v>
      </c>
      <c r="F1057" s="11" t="s">
        <v>663</v>
      </c>
      <c r="G1057" s="11" t="s">
        <v>1397</v>
      </c>
      <c r="H1057" s="11" t="s">
        <v>1398</v>
      </c>
      <c r="I1057" s="12">
        <v>45537</v>
      </c>
    </row>
    <row r="1058" spans="1:9" x14ac:dyDescent="0.15">
      <c r="A1058" s="9">
        <v>1057</v>
      </c>
      <c r="B1058" s="10" t="s">
        <v>9</v>
      </c>
      <c r="C1058" s="11" t="s">
        <v>10</v>
      </c>
      <c r="D1058" s="12">
        <v>45623</v>
      </c>
      <c r="E1058" s="13" t="str">
        <f>+HYPERLINK("http://trademark.i-assist.jp/data/china/image_1913th/80704538.pdf","80704538")</f>
        <v>80704538</v>
      </c>
      <c r="F1058" s="11" t="s">
        <v>3259</v>
      </c>
      <c r="G1058" s="11" t="s">
        <v>501</v>
      </c>
      <c r="H1058" s="11" t="s">
        <v>2758</v>
      </c>
      <c r="I1058" s="12">
        <v>45537</v>
      </c>
    </row>
    <row r="1059" spans="1:9" x14ac:dyDescent="0.15">
      <c r="A1059" s="9">
        <v>1058</v>
      </c>
      <c r="B1059" s="10" t="s">
        <v>9</v>
      </c>
      <c r="C1059" s="11" t="s">
        <v>10</v>
      </c>
      <c r="D1059" s="12">
        <v>45623</v>
      </c>
      <c r="E1059" s="13" t="str">
        <f>+HYPERLINK("http://trademark.i-assist.jp/data/china/image_1913th/80735076.pdf","80735076")</f>
        <v>80735076</v>
      </c>
      <c r="F1059" s="11" t="s">
        <v>3260</v>
      </c>
      <c r="G1059" s="11" t="s">
        <v>3261</v>
      </c>
      <c r="H1059" s="11" t="s">
        <v>3262</v>
      </c>
      <c r="I1059" s="12">
        <v>45539</v>
      </c>
    </row>
    <row r="1060" spans="1:9" x14ac:dyDescent="0.15">
      <c r="A1060" s="9">
        <v>1059</v>
      </c>
      <c r="B1060" s="10" t="s">
        <v>9</v>
      </c>
      <c r="C1060" s="11" t="s">
        <v>10</v>
      </c>
      <c r="D1060" s="12">
        <v>45623</v>
      </c>
      <c r="E1060" s="13" t="str">
        <f>+HYPERLINK("http://trademark.i-assist.jp/data/china/image_1913th/80735698.pdf","80735698")</f>
        <v>80735698</v>
      </c>
      <c r="F1060" s="11" t="s">
        <v>664</v>
      </c>
      <c r="G1060" s="11" t="s">
        <v>3263</v>
      </c>
      <c r="H1060" s="11" t="s">
        <v>1382</v>
      </c>
      <c r="I1060" s="12">
        <v>45539</v>
      </c>
    </row>
    <row r="1061" spans="1:9" x14ac:dyDescent="0.15">
      <c r="A1061" s="9">
        <v>1060</v>
      </c>
      <c r="B1061" s="10" t="s">
        <v>9</v>
      </c>
      <c r="C1061" s="11" t="s">
        <v>10</v>
      </c>
      <c r="D1061" s="12">
        <v>45623</v>
      </c>
      <c r="E1061" s="13" t="str">
        <f>+HYPERLINK("http://trademark.i-assist.jp/data/china/image_1913th/80735828.pdf","80735828")</f>
        <v>80735828</v>
      </c>
      <c r="F1061" s="11" t="s">
        <v>665</v>
      </c>
      <c r="G1061" s="11" t="s">
        <v>3264</v>
      </c>
      <c r="H1061" s="11" t="s">
        <v>3265</v>
      </c>
      <c r="I1061" s="12">
        <v>45539</v>
      </c>
    </row>
    <row r="1062" spans="1:9" x14ac:dyDescent="0.15">
      <c r="A1062" s="9">
        <v>1061</v>
      </c>
      <c r="B1062" s="10" t="s">
        <v>9</v>
      </c>
      <c r="C1062" s="11" t="s">
        <v>10</v>
      </c>
      <c r="D1062" s="12">
        <v>45623</v>
      </c>
      <c r="E1062" s="13" t="str">
        <f>+HYPERLINK("http://trademark.i-assist.jp/data/china/image_1913th/80741852.pdf","80741852")</f>
        <v>80741852</v>
      </c>
      <c r="F1062" s="11" t="s">
        <v>666</v>
      </c>
      <c r="G1062" s="11" t="s">
        <v>3266</v>
      </c>
      <c r="H1062" s="11" t="s">
        <v>3267</v>
      </c>
      <c r="I1062" s="12">
        <v>45539</v>
      </c>
    </row>
    <row r="1063" spans="1:9" x14ac:dyDescent="0.15">
      <c r="A1063" s="9">
        <v>1062</v>
      </c>
      <c r="B1063" s="10" t="s">
        <v>9</v>
      </c>
      <c r="C1063" s="11" t="s">
        <v>10</v>
      </c>
      <c r="D1063" s="12">
        <v>45623</v>
      </c>
      <c r="E1063" s="13" t="str">
        <f>+HYPERLINK("http://trademark.i-assist.jp/data/china/image_1913th/80741970.pdf","80741970")</f>
        <v>80741970</v>
      </c>
      <c r="F1063" s="11" t="s">
        <v>667</v>
      </c>
      <c r="G1063" s="11" t="s">
        <v>1392</v>
      </c>
      <c r="H1063" s="11" t="s">
        <v>1393</v>
      </c>
      <c r="I1063" s="12">
        <v>45539</v>
      </c>
    </row>
    <row r="1064" spans="1:9" x14ac:dyDescent="0.15">
      <c r="A1064" s="9">
        <v>1063</v>
      </c>
      <c r="B1064" s="10" t="s">
        <v>9</v>
      </c>
      <c r="C1064" s="11" t="s">
        <v>10</v>
      </c>
      <c r="D1064" s="12">
        <v>45623</v>
      </c>
      <c r="E1064" s="13" t="str">
        <f>+HYPERLINK("http://trademark.i-assist.jp/data/china/image_1913th/80747504.pdf","80747504")</f>
        <v>80747504</v>
      </c>
      <c r="F1064" s="11" t="s">
        <v>668</v>
      </c>
      <c r="G1064" s="11" t="s">
        <v>3268</v>
      </c>
      <c r="H1064" s="11" t="s">
        <v>3269</v>
      </c>
      <c r="I1064" s="12">
        <v>45539</v>
      </c>
    </row>
    <row r="1065" spans="1:9" x14ac:dyDescent="0.15">
      <c r="A1065" s="9">
        <v>1064</v>
      </c>
      <c r="B1065" s="10" t="s">
        <v>9</v>
      </c>
      <c r="C1065" s="11" t="s">
        <v>10</v>
      </c>
      <c r="D1065" s="12">
        <v>45623</v>
      </c>
      <c r="E1065" s="13" t="str">
        <f>+HYPERLINK("http://trademark.i-assist.jp/data/china/image_1913th/80752640.pdf","80752640")</f>
        <v>80752640</v>
      </c>
      <c r="F1065" s="11" t="s">
        <v>669</v>
      </c>
      <c r="G1065" s="11" t="s">
        <v>3270</v>
      </c>
      <c r="H1065" s="11" t="s">
        <v>3271</v>
      </c>
      <c r="I1065" s="12">
        <v>45539</v>
      </c>
    </row>
    <row r="1066" spans="1:9" x14ac:dyDescent="0.15">
      <c r="A1066" s="9">
        <v>1065</v>
      </c>
      <c r="B1066" s="10" t="s">
        <v>9</v>
      </c>
      <c r="C1066" s="11" t="s">
        <v>10</v>
      </c>
      <c r="D1066" s="12">
        <v>45623</v>
      </c>
      <c r="E1066" s="13" t="str">
        <f>+HYPERLINK("http://trademark.i-assist.jp/data/china/image_1913th/80708960.pdf","80708960")</f>
        <v>80708960</v>
      </c>
      <c r="F1066" s="11" t="s">
        <v>3272</v>
      </c>
      <c r="G1066" s="11" t="s">
        <v>3273</v>
      </c>
      <c r="H1066" s="11" t="s">
        <v>3274</v>
      </c>
      <c r="I1066" s="12">
        <v>45538</v>
      </c>
    </row>
    <row r="1067" spans="1:9" x14ac:dyDescent="0.15">
      <c r="A1067" s="9">
        <v>1066</v>
      </c>
      <c r="B1067" s="10" t="s">
        <v>9</v>
      </c>
      <c r="C1067" s="11" t="s">
        <v>10</v>
      </c>
      <c r="D1067" s="12">
        <v>45623</v>
      </c>
      <c r="E1067" s="13" t="str">
        <f>+HYPERLINK("http://trademark.i-assist.jp/data/china/image_1913th/80711002.pdf","80711002")</f>
        <v>80711002</v>
      </c>
      <c r="F1067" s="11" t="s">
        <v>670</v>
      </c>
      <c r="G1067" s="11" t="s">
        <v>3275</v>
      </c>
      <c r="H1067" s="11" t="s">
        <v>3276</v>
      </c>
      <c r="I1067" s="12">
        <v>45538</v>
      </c>
    </row>
    <row r="1068" spans="1:9" x14ac:dyDescent="0.15">
      <c r="A1068" s="9">
        <v>1067</v>
      </c>
      <c r="B1068" s="10" t="s">
        <v>9</v>
      </c>
      <c r="C1068" s="11" t="s">
        <v>10</v>
      </c>
      <c r="D1068" s="12">
        <v>45623</v>
      </c>
      <c r="E1068" s="13" t="str">
        <f>+HYPERLINK("http://trademark.i-assist.jp/data/china/image_1913th/80713959.pdf","80713959")</f>
        <v>80713959</v>
      </c>
      <c r="F1068" s="11" t="s">
        <v>3277</v>
      </c>
      <c r="G1068" s="11" t="s">
        <v>671</v>
      </c>
      <c r="H1068" s="11" t="s">
        <v>3278</v>
      </c>
      <c r="I1068" s="12">
        <v>45538</v>
      </c>
    </row>
    <row r="1069" spans="1:9" x14ac:dyDescent="0.15">
      <c r="A1069" s="9">
        <v>1068</v>
      </c>
      <c r="B1069" s="10" t="s">
        <v>9</v>
      </c>
      <c r="C1069" s="11" t="s">
        <v>10</v>
      </c>
      <c r="D1069" s="12">
        <v>45623</v>
      </c>
      <c r="E1069" s="13" t="str">
        <f>+HYPERLINK("http://trademark.i-assist.jp/data/china/image_1913th/80718717.pdf","80718717")</f>
        <v>80718717</v>
      </c>
      <c r="F1069" s="11" t="s">
        <v>672</v>
      </c>
      <c r="G1069" s="11" t="s">
        <v>3279</v>
      </c>
      <c r="H1069" s="11" t="s">
        <v>3280</v>
      </c>
      <c r="I1069" s="12">
        <v>45538</v>
      </c>
    </row>
    <row r="1070" spans="1:9" x14ac:dyDescent="0.15">
      <c r="A1070" s="9">
        <v>1069</v>
      </c>
      <c r="B1070" s="10" t="s">
        <v>9</v>
      </c>
      <c r="C1070" s="11" t="s">
        <v>10</v>
      </c>
      <c r="D1070" s="12">
        <v>45623</v>
      </c>
      <c r="E1070" s="13" t="str">
        <f>+HYPERLINK("http://trademark.i-assist.jp/data/china/image_1913th/80721454.pdf","80721454")</f>
        <v>80721454</v>
      </c>
      <c r="F1070" s="11" t="s">
        <v>673</v>
      </c>
      <c r="G1070" s="11" t="s">
        <v>3281</v>
      </c>
      <c r="H1070" s="11" t="s">
        <v>3282</v>
      </c>
      <c r="I1070" s="12">
        <v>45538</v>
      </c>
    </row>
    <row r="1071" spans="1:9" x14ac:dyDescent="0.15">
      <c r="A1071" s="9">
        <v>1070</v>
      </c>
      <c r="B1071" s="10" t="s">
        <v>9</v>
      </c>
      <c r="C1071" s="11" t="s">
        <v>10</v>
      </c>
      <c r="D1071" s="12">
        <v>45623</v>
      </c>
      <c r="E1071" s="13" t="str">
        <f>+HYPERLINK("http://trademark.i-assist.jp/data/china/image_1913th/80726183.pdf","80726183")</f>
        <v>80726183</v>
      </c>
      <c r="F1071" s="11" t="s">
        <v>675</v>
      </c>
      <c r="G1071" s="11" t="s">
        <v>674</v>
      </c>
      <c r="H1071" s="11" t="s">
        <v>3283</v>
      </c>
      <c r="I1071" s="12">
        <v>45538</v>
      </c>
    </row>
    <row r="1072" spans="1:9" x14ac:dyDescent="0.15">
      <c r="A1072" s="9">
        <v>1071</v>
      </c>
      <c r="B1072" s="10" t="s">
        <v>9</v>
      </c>
      <c r="C1072" s="11" t="s">
        <v>10</v>
      </c>
      <c r="D1072" s="12">
        <v>45623</v>
      </c>
      <c r="E1072" s="13" t="str">
        <f>+HYPERLINK("http://trademark.i-assist.jp/data/china/image_1913th/80726513.pdf","80726513")</f>
        <v>80726513</v>
      </c>
      <c r="F1072" s="11" t="s">
        <v>3284</v>
      </c>
      <c r="G1072" s="11" t="s">
        <v>42</v>
      </c>
      <c r="H1072" s="11" t="s">
        <v>1423</v>
      </c>
      <c r="I1072" s="12">
        <v>45538</v>
      </c>
    </row>
    <row r="1073" spans="1:9" x14ac:dyDescent="0.15">
      <c r="A1073" s="9">
        <v>1072</v>
      </c>
      <c r="B1073" s="10" t="s">
        <v>9</v>
      </c>
      <c r="C1073" s="11" t="s">
        <v>10</v>
      </c>
      <c r="D1073" s="12">
        <v>45623</v>
      </c>
      <c r="E1073" s="13" t="str">
        <f>+HYPERLINK("http://trademark.i-assist.jp/data/china/image_1913th/80727778.pdf","80727778")</f>
        <v>80727778</v>
      </c>
      <c r="F1073" s="11" t="s">
        <v>3285</v>
      </c>
      <c r="G1073" s="11" t="s">
        <v>3286</v>
      </c>
      <c r="H1073" s="11" t="s">
        <v>3287</v>
      </c>
      <c r="I1073" s="12">
        <v>45538</v>
      </c>
    </row>
    <row r="1074" spans="1:9" x14ac:dyDescent="0.15">
      <c r="A1074" s="9">
        <v>1073</v>
      </c>
      <c r="B1074" s="10" t="s">
        <v>9</v>
      </c>
      <c r="C1074" s="11" t="s">
        <v>10</v>
      </c>
      <c r="D1074" s="12">
        <v>45623</v>
      </c>
      <c r="E1074" s="13" t="str">
        <f>+HYPERLINK("http://trademark.i-assist.jp/data/china/image_1913th/80765421.pdf","80765421")</f>
        <v>80765421</v>
      </c>
      <c r="F1074" s="11" t="s">
        <v>3288</v>
      </c>
      <c r="G1074" s="11" t="s">
        <v>1975</v>
      </c>
      <c r="H1074" s="11" t="s">
        <v>1976</v>
      </c>
      <c r="I1074" s="12">
        <v>45540</v>
      </c>
    </row>
    <row r="1075" spans="1:9" x14ac:dyDescent="0.15">
      <c r="A1075" s="9">
        <v>1074</v>
      </c>
      <c r="B1075" s="10" t="s">
        <v>9</v>
      </c>
      <c r="C1075" s="11" t="s">
        <v>10</v>
      </c>
      <c r="D1075" s="12">
        <v>45623</v>
      </c>
      <c r="E1075" s="13" t="str">
        <f>+HYPERLINK("http://trademark.i-assist.jp/data/china/image_1913th/80769459.pdf","80769459")</f>
        <v>80769459</v>
      </c>
      <c r="F1075" s="11" t="s">
        <v>3289</v>
      </c>
      <c r="G1075" s="11" t="s">
        <v>1986</v>
      </c>
      <c r="H1075" s="11" t="s">
        <v>1567</v>
      </c>
      <c r="I1075" s="12">
        <v>45540</v>
      </c>
    </row>
    <row r="1076" spans="1:9" x14ac:dyDescent="0.15">
      <c r="A1076" s="9">
        <v>1075</v>
      </c>
      <c r="B1076" s="10" t="s">
        <v>9</v>
      </c>
      <c r="C1076" s="11" t="s">
        <v>10</v>
      </c>
      <c r="D1076" s="12">
        <v>45623</v>
      </c>
      <c r="E1076" s="13" t="str">
        <f>+HYPERLINK("http://trademark.i-assist.jp/data/china/image_1913th/80769853.pdf","80769853")</f>
        <v>80769853</v>
      </c>
      <c r="F1076" s="11" t="s">
        <v>676</v>
      </c>
      <c r="G1076" s="11" t="s">
        <v>2603</v>
      </c>
      <c r="H1076" s="11" t="s">
        <v>2604</v>
      </c>
      <c r="I1076" s="12">
        <v>45540</v>
      </c>
    </row>
    <row r="1077" spans="1:9" x14ac:dyDescent="0.15">
      <c r="A1077" s="9">
        <v>1076</v>
      </c>
      <c r="B1077" s="10" t="s">
        <v>9</v>
      </c>
      <c r="C1077" s="11" t="s">
        <v>10</v>
      </c>
      <c r="D1077" s="12">
        <v>45623</v>
      </c>
      <c r="E1077" s="13" t="str">
        <f>+HYPERLINK("http://trademark.i-assist.jp/data/china/image_1913th/80771271.pdf","80771271")</f>
        <v>80771271</v>
      </c>
      <c r="F1077" s="11" t="s">
        <v>678</v>
      </c>
      <c r="G1077" s="11" t="s">
        <v>677</v>
      </c>
      <c r="H1077" s="11" t="s">
        <v>1382</v>
      </c>
      <c r="I1077" s="12">
        <v>45540</v>
      </c>
    </row>
    <row r="1078" spans="1:9" x14ac:dyDescent="0.15">
      <c r="A1078" s="9">
        <v>1077</v>
      </c>
      <c r="B1078" s="10" t="s">
        <v>9</v>
      </c>
      <c r="C1078" s="11" t="s">
        <v>10</v>
      </c>
      <c r="D1078" s="12">
        <v>45623</v>
      </c>
      <c r="E1078" s="13" t="str">
        <f>+HYPERLINK("http://trademark.i-assist.jp/data/china/image_1913th/80775780.pdf","80775780")</f>
        <v>80775780</v>
      </c>
      <c r="F1078" s="11" t="s">
        <v>3290</v>
      </c>
      <c r="G1078" s="11" t="s">
        <v>300</v>
      </c>
      <c r="H1078" s="11" t="s">
        <v>1302</v>
      </c>
      <c r="I1078" s="12">
        <v>45540</v>
      </c>
    </row>
    <row r="1079" spans="1:9" x14ac:dyDescent="0.15">
      <c r="A1079" s="9">
        <v>1078</v>
      </c>
      <c r="B1079" s="10" t="s">
        <v>9</v>
      </c>
      <c r="C1079" s="11" t="s">
        <v>10</v>
      </c>
      <c r="D1079" s="12">
        <v>45623</v>
      </c>
      <c r="E1079" s="13" t="str">
        <f>+HYPERLINK("http://trademark.i-assist.jp/data/china/image_1913th/80775979.pdf","80775979")</f>
        <v>80775979</v>
      </c>
      <c r="F1079" s="11" t="s">
        <v>679</v>
      </c>
      <c r="G1079" s="11" t="s">
        <v>3291</v>
      </c>
      <c r="H1079" s="11" t="s">
        <v>3292</v>
      </c>
      <c r="I1079" s="12">
        <v>45540</v>
      </c>
    </row>
    <row r="1080" spans="1:9" x14ac:dyDescent="0.15">
      <c r="A1080" s="9">
        <v>1079</v>
      </c>
      <c r="B1080" s="10" t="s">
        <v>9</v>
      </c>
      <c r="C1080" s="11" t="s">
        <v>10</v>
      </c>
      <c r="D1080" s="12">
        <v>45623</v>
      </c>
      <c r="E1080" s="13" t="str">
        <f>+HYPERLINK("http://trademark.i-assist.jp/data/china/image_1913th/80777037.pdf","80777037")</f>
        <v>80777037</v>
      </c>
      <c r="F1080" s="11" t="s">
        <v>680</v>
      </c>
      <c r="G1080" s="11" t="s">
        <v>2603</v>
      </c>
      <c r="H1080" s="11" t="s">
        <v>2604</v>
      </c>
      <c r="I1080" s="12">
        <v>45540</v>
      </c>
    </row>
    <row r="1081" spans="1:9" x14ac:dyDescent="0.15">
      <c r="A1081" s="9">
        <v>1080</v>
      </c>
      <c r="B1081" s="10" t="s">
        <v>9</v>
      </c>
      <c r="C1081" s="11" t="s">
        <v>10</v>
      </c>
      <c r="D1081" s="12">
        <v>45623</v>
      </c>
      <c r="E1081" s="13" t="str">
        <f>+HYPERLINK("http://trademark.i-assist.jp/data/china/image_1913th/80777241.pdf","80777241")</f>
        <v>80777241</v>
      </c>
      <c r="F1081" s="11" t="s">
        <v>3293</v>
      </c>
      <c r="G1081" s="11" t="s">
        <v>3294</v>
      </c>
      <c r="H1081" s="11" t="s">
        <v>3295</v>
      </c>
      <c r="I1081" s="12">
        <v>45540</v>
      </c>
    </row>
    <row r="1082" spans="1:9" x14ac:dyDescent="0.15">
      <c r="A1082" s="9">
        <v>1081</v>
      </c>
      <c r="B1082" s="10" t="s">
        <v>9</v>
      </c>
      <c r="C1082" s="11" t="s">
        <v>10</v>
      </c>
      <c r="D1082" s="12">
        <v>45623</v>
      </c>
      <c r="E1082" s="13" t="str">
        <f>+HYPERLINK("http://trademark.i-assist.jp/data/china/image_1913th/80777442.pdf","80777442")</f>
        <v>80777442</v>
      </c>
      <c r="F1082" s="11" t="s">
        <v>3296</v>
      </c>
      <c r="G1082" s="11" t="s">
        <v>1400</v>
      </c>
      <c r="H1082" s="11" t="s">
        <v>1401</v>
      </c>
      <c r="I1082" s="12">
        <v>45540</v>
      </c>
    </row>
    <row r="1083" spans="1:9" x14ac:dyDescent="0.15">
      <c r="A1083" s="9">
        <v>1082</v>
      </c>
      <c r="B1083" s="10" t="s">
        <v>9</v>
      </c>
      <c r="C1083" s="11" t="s">
        <v>10</v>
      </c>
      <c r="D1083" s="12">
        <v>45623</v>
      </c>
      <c r="E1083" s="13" t="str">
        <f>+HYPERLINK("http://trademark.i-assist.jp/data/china/image_1913th/80781302.pdf","80781302")</f>
        <v>80781302</v>
      </c>
      <c r="F1083" s="11" t="s">
        <v>3297</v>
      </c>
      <c r="G1083" s="11" t="s">
        <v>3298</v>
      </c>
      <c r="H1083" s="11" t="s">
        <v>3299</v>
      </c>
      <c r="I1083" s="12">
        <v>45541</v>
      </c>
    </row>
    <row r="1084" spans="1:9" x14ac:dyDescent="0.15">
      <c r="A1084" s="9">
        <v>1083</v>
      </c>
      <c r="B1084" s="10" t="s">
        <v>9</v>
      </c>
      <c r="C1084" s="11" t="s">
        <v>10</v>
      </c>
      <c r="D1084" s="12">
        <v>45623</v>
      </c>
      <c r="E1084" s="13" t="str">
        <f>+HYPERLINK("http://trademark.i-assist.jp/data/china/image_1913th/80781284.pdf","80781284")</f>
        <v>80781284</v>
      </c>
      <c r="F1084" s="11" t="s">
        <v>1335</v>
      </c>
      <c r="G1084" s="11" t="s">
        <v>3300</v>
      </c>
      <c r="H1084" s="11" t="s">
        <v>3301</v>
      </c>
      <c r="I1084" s="12">
        <v>45541</v>
      </c>
    </row>
    <row r="1085" spans="1:9" x14ac:dyDescent="0.15">
      <c r="A1085" s="9">
        <v>1084</v>
      </c>
      <c r="B1085" s="10" t="s">
        <v>9</v>
      </c>
      <c r="C1085" s="11" t="s">
        <v>10</v>
      </c>
      <c r="D1085" s="12">
        <v>45623</v>
      </c>
      <c r="E1085" s="13" t="str">
        <f>+HYPERLINK("http://trademark.i-assist.jp/data/china/image_1913th/80658898.pdf","80658898")</f>
        <v>80658898</v>
      </c>
      <c r="F1085" s="11" t="s">
        <v>3302</v>
      </c>
      <c r="G1085" s="11" t="s">
        <v>3303</v>
      </c>
      <c r="H1085" s="11" t="s">
        <v>3304</v>
      </c>
      <c r="I1085" s="12">
        <v>45534</v>
      </c>
    </row>
    <row r="1086" spans="1:9" x14ac:dyDescent="0.15">
      <c r="A1086" s="9">
        <v>1085</v>
      </c>
      <c r="B1086" s="10" t="s">
        <v>9</v>
      </c>
      <c r="C1086" s="11" t="s">
        <v>10</v>
      </c>
      <c r="D1086" s="12">
        <v>45623</v>
      </c>
      <c r="E1086" s="13" t="str">
        <f>+HYPERLINK("http://trademark.i-assist.jp/data/china/image_1913th/80667132.pdf","80667132")</f>
        <v>80667132</v>
      </c>
      <c r="F1086" s="11" t="s">
        <v>3305</v>
      </c>
      <c r="G1086" s="11" t="s">
        <v>3306</v>
      </c>
      <c r="H1086" s="11" t="s">
        <v>1567</v>
      </c>
      <c r="I1086" s="12">
        <v>45534</v>
      </c>
    </row>
    <row r="1087" spans="1:9" x14ac:dyDescent="0.15">
      <c r="A1087" s="9">
        <v>1086</v>
      </c>
      <c r="B1087" s="10" t="s">
        <v>9</v>
      </c>
      <c r="C1087" s="11" t="s">
        <v>10</v>
      </c>
      <c r="D1087" s="12">
        <v>45623</v>
      </c>
      <c r="E1087" s="13" t="str">
        <f>+HYPERLINK("http://trademark.i-assist.jp/data/china/image_1913th/80679598.pdf","80679598")</f>
        <v>80679598</v>
      </c>
      <c r="F1087" s="11" t="s">
        <v>681</v>
      </c>
      <c r="G1087" s="11" t="s">
        <v>3307</v>
      </c>
      <c r="H1087" s="11" t="s">
        <v>3308</v>
      </c>
      <c r="I1087" s="12">
        <v>45535</v>
      </c>
    </row>
    <row r="1088" spans="1:9" x14ac:dyDescent="0.15">
      <c r="A1088" s="9">
        <v>1087</v>
      </c>
      <c r="B1088" s="10" t="s">
        <v>9</v>
      </c>
      <c r="C1088" s="11" t="s">
        <v>10</v>
      </c>
      <c r="D1088" s="12">
        <v>45623</v>
      </c>
      <c r="E1088" s="13" t="str">
        <f>+HYPERLINK("http://trademark.i-assist.jp/data/china/image_1913th/80062588.pdf","80062588")</f>
        <v>80062588</v>
      </c>
      <c r="F1088" s="11" t="s">
        <v>3309</v>
      </c>
      <c r="G1088" s="11" t="s">
        <v>3310</v>
      </c>
      <c r="H1088" s="11" t="s">
        <v>3311</v>
      </c>
      <c r="I1088" s="12">
        <v>45502</v>
      </c>
    </row>
    <row r="1089" spans="1:9" x14ac:dyDescent="0.15">
      <c r="A1089" s="9">
        <v>1088</v>
      </c>
      <c r="B1089" s="10" t="s">
        <v>9</v>
      </c>
      <c r="C1089" s="11" t="s">
        <v>10</v>
      </c>
      <c r="D1089" s="12">
        <v>45623</v>
      </c>
      <c r="E1089" s="13" t="str">
        <f>+HYPERLINK("http://trademark.i-assist.jp/data/china/image_1913th/80259775.pdf","80259775")</f>
        <v>80259775</v>
      </c>
      <c r="F1089" s="11" t="s">
        <v>3312</v>
      </c>
      <c r="G1089" s="11" t="s">
        <v>3313</v>
      </c>
      <c r="H1089" s="11" t="s">
        <v>3314</v>
      </c>
      <c r="I1089" s="12">
        <v>45512</v>
      </c>
    </row>
    <row r="1090" spans="1:9" x14ac:dyDescent="0.15">
      <c r="A1090" s="9">
        <v>1089</v>
      </c>
      <c r="B1090" s="10" t="s">
        <v>9</v>
      </c>
      <c r="C1090" s="11" t="s">
        <v>10</v>
      </c>
      <c r="D1090" s="12">
        <v>45623</v>
      </c>
      <c r="E1090" s="13" t="str">
        <f>+HYPERLINK("http://trademark.i-assist.jp/data/china/image_1913th/80277775.pdf","80277775")</f>
        <v>80277775</v>
      </c>
      <c r="F1090" s="11" t="s">
        <v>3315</v>
      </c>
      <c r="G1090" s="11" t="s">
        <v>3316</v>
      </c>
      <c r="H1090" s="11" t="s">
        <v>3317</v>
      </c>
      <c r="I1090" s="12">
        <v>45513</v>
      </c>
    </row>
    <row r="1091" spans="1:9" x14ac:dyDescent="0.15">
      <c r="A1091" s="9">
        <v>1090</v>
      </c>
      <c r="B1091" s="10" t="s">
        <v>9</v>
      </c>
      <c r="C1091" s="11" t="s">
        <v>10</v>
      </c>
      <c r="D1091" s="12">
        <v>45623</v>
      </c>
      <c r="E1091" s="13" t="str">
        <f>+HYPERLINK("http://trademark.i-assist.jp/data/china/image_1913th/80310271.pdf","80310271")</f>
        <v>80310271</v>
      </c>
      <c r="F1091" s="11" t="s">
        <v>682</v>
      </c>
      <c r="G1091" s="11" t="s">
        <v>3318</v>
      </c>
      <c r="H1091" s="11" t="s">
        <v>1807</v>
      </c>
      <c r="I1091" s="12">
        <v>45516</v>
      </c>
    </row>
    <row r="1092" spans="1:9" x14ac:dyDescent="0.15">
      <c r="A1092" s="9">
        <v>1091</v>
      </c>
      <c r="B1092" s="10" t="s">
        <v>9</v>
      </c>
      <c r="C1092" s="11" t="s">
        <v>10</v>
      </c>
      <c r="D1092" s="12">
        <v>45623</v>
      </c>
      <c r="E1092" s="13" t="str">
        <f>+HYPERLINK("http://trademark.i-assist.jp/data/china/image_1913th/80844495.pdf","80844495")</f>
        <v>80844495</v>
      </c>
      <c r="F1092" s="11" t="s">
        <v>683</v>
      </c>
      <c r="G1092" s="11" t="s">
        <v>3319</v>
      </c>
      <c r="H1092" s="11" t="s">
        <v>3320</v>
      </c>
      <c r="I1092" s="12">
        <v>45545</v>
      </c>
    </row>
    <row r="1093" spans="1:9" x14ac:dyDescent="0.15">
      <c r="A1093" s="9">
        <v>1092</v>
      </c>
      <c r="B1093" s="10" t="s">
        <v>9</v>
      </c>
      <c r="C1093" s="11" t="s">
        <v>10</v>
      </c>
      <c r="D1093" s="12">
        <v>45623</v>
      </c>
      <c r="E1093" s="13" t="str">
        <f>+HYPERLINK("http://trademark.i-assist.jp/data/china/image_1913th/80849073.pdf","80849073")</f>
        <v>80849073</v>
      </c>
      <c r="F1093" s="11" t="s">
        <v>684</v>
      </c>
      <c r="G1093" s="11" t="s">
        <v>3321</v>
      </c>
      <c r="H1093" s="11" t="s">
        <v>1312</v>
      </c>
      <c r="I1093" s="12">
        <v>45545</v>
      </c>
    </row>
    <row r="1094" spans="1:9" x14ac:dyDescent="0.15">
      <c r="A1094" s="9">
        <v>1093</v>
      </c>
      <c r="B1094" s="10" t="s">
        <v>9</v>
      </c>
      <c r="C1094" s="11" t="s">
        <v>10</v>
      </c>
      <c r="D1094" s="12">
        <v>45623</v>
      </c>
      <c r="E1094" s="13" t="str">
        <f>+HYPERLINK("http://trademark.i-assist.jp/data/china/image_1913th/80854903.pdf","80854903")</f>
        <v>80854903</v>
      </c>
      <c r="F1094" s="11" t="s">
        <v>3322</v>
      </c>
      <c r="G1094" s="11" t="s">
        <v>1457</v>
      </c>
      <c r="H1094" s="11" t="s">
        <v>2415</v>
      </c>
      <c r="I1094" s="12">
        <v>45545</v>
      </c>
    </row>
    <row r="1095" spans="1:9" x14ac:dyDescent="0.15">
      <c r="A1095" s="9">
        <v>1094</v>
      </c>
      <c r="B1095" s="10" t="s">
        <v>9</v>
      </c>
      <c r="C1095" s="11" t="s">
        <v>10</v>
      </c>
      <c r="D1095" s="12">
        <v>45623</v>
      </c>
      <c r="E1095" s="13" t="str">
        <f>+HYPERLINK("http://trademark.i-assist.jp/data/china/image_1913th/80854968.pdf","80854968")</f>
        <v>80854968</v>
      </c>
      <c r="F1095" s="11" t="s">
        <v>685</v>
      </c>
      <c r="G1095" s="11" t="s">
        <v>1842</v>
      </c>
      <c r="H1095" s="11" t="s">
        <v>1843</v>
      </c>
      <c r="I1095" s="12">
        <v>45545</v>
      </c>
    </row>
    <row r="1096" spans="1:9" x14ac:dyDescent="0.15">
      <c r="A1096" s="9">
        <v>1095</v>
      </c>
      <c r="B1096" s="10" t="s">
        <v>9</v>
      </c>
      <c r="C1096" s="11" t="s">
        <v>10</v>
      </c>
      <c r="D1096" s="12">
        <v>45623</v>
      </c>
      <c r="E1096" s="13" t="str">
        <f>+HYPERLINK("http://trademark.i-assist.jp/data/china/image_1913th/80864237.pdf","80864237")</f>
        <v>80864237</v>
      </c>
      <c r="F1096" s="11" t="s">
        <v>3323</v>
      </c>
      <c r="G1096" s="11" t="s">
        <v>2962</v>
      </c>
      <c r="H1096" s="11" t="s">
        <v>1588</v>
      </c>
      <c r="I1096" s="12">
        <v>45546</v>
      </c>
    </row>
    <row r="1097" spans="1:9" x14ac:dyDescent="0.15">
      <c r="A1097" s="9">
        <v>1096</v>
      </c>
      <c r="B1097" s="10" t="s">
        <v>9</v>
      </c>
      <c r="C1097" s="11" t="s">
        <v>10</v>
      </c>
      <c r="D1097" s="12">
        <v>45623</v>
      </c>
      <c r="E1097" s="13" t="str">
        <f>+HYPERLINK("http://trademark.i-assist.jp/data/china/image_1913th/80864310.pdf","80864310")</f>
        <v>80864310</v>
      </c>
      <c r="F1097" s="11" t="s">
        <v>3324</v>
      </c>
      <c r="G1097" s="11" t="s">
        <v>1651</v>
      </c>
      <c r="H1097" s="11" t="s">
        <v>3325</v>
      </c>
      <c r="I1097" s="12">
        <v>45546</v>
      </c>
    </row>
    <row r="1098" spans="1:9" x14ac:dyDescent="0.15">
      <c r="A1098" s="9">
        <v>1097</v>
      </c>
      <c r="B1098" s="10" t="s">
        <v>9</v>
      </c>
      <c r="C1098" s="11" t="s">
        <v>10</v>
      </c>
      <c r="D1098" s="12">
        <v>45623</v>
      </c>
      <c r="E1098" s="13" t="str">
        <f>+HYPERLINK("http://trademark.i-assist.jp/data/china/image_1913th/80884304.pdf","80884304")</f>
        <v>80884304</v>
      </c>
      <c r="F1098" s="11" t="s">
        <v>3326</v>
      </c>
      <c r="G1098" s="11" t="s">
        <v>686</v>
      </c>
      <c r="H1098" s="11" t="s">
        <v>2982</v>
      </c>
      <c r="I1098" s="12">
        <v>45547</v>
      </c>
    </row>
    <row r="1099" spans="1:9" x14ac:dyDescent="0.15">
      <c r="A1099" s="9">
        <v>1098</v>
      </c>
      <c r="B1099" s="10" t="s">
        <v>9</v>
      </c>
      <c r="C1099" s="11" t="s">
        <v>10</v>
      </c>
      <c r="D1099" s="12">
        <v>45623</v>
      </c>
      <c r="E1099" s="13" t="str">
        <f>+HYPERLINK("http://trademark.i-assist.jp/data/china/image_1913th/80887358.pdf","80887358")</f>
        <v>80887358</v>
      </c>
      <c r="F1099" s="11" t="s">
        <v>3327</v>
      </c>
      <c r="G1099" s="11" t="s">
        <v>3328</v>
      </c>
      <c r="H1099" s="11" t="s">
        <v>1567</v>
      </c>
      <c r="I1099" s="12">
        <v>45548</v>
      </c>
    </row>
    <row r="1100" spans="1:9" x14ac:dyDescent="0.15">
      <c r="A1100" s="9">
        <v>1099</v>
      </c>
      <c r="B1100" s="10" t="s">
        <v>9</v>
      </c>
      <c r="C1100" s="11" t="s">
        <v>10</v>
      </c>
      <c r="D1100" s="12">
        <v>45623</v>
      </c>
      <c r="E1100" s="13" t="str">
        <f>+HYPERLINK("http://trademark.i-assist.jp/data/china/image_1913th/80894031.pdf","80894031")</f>
        <v>80894031</v>
      </c>
      <c r="F1100" s="11" t="s">
        <v>3329</v>
      </c>
      <c r="G1100" s="11" t="s">
        <v>3330</v>
      </c>
      <c r="H1100" s="11" t="s">
        <v>3331</v>
      </c>
      <c r="I1100" s="12">
        <v>45547</v>
      </c>
    </row>
    <row r="1101" spans="1:9" x14ac:dyDescent="0.15">
      <c r="A1101" s="9">
        <v>1100</v>
      </c>
      <c r="B1101" s="10" t="s">
        <v>9</v>
      </c>
      <c r="C1101" s="11" t="s">
        <v>10</v>
      </c>
      <c r="D1101" s="12">
        <v>45623</v>
      </c>
      <c r="E1101" s="13" t="str">
        <f>+HYPERLINK("http://trademark.i-assist.jp/data/china/image_1913th/80336999.pdf","80336999")</f>
        <v>80336999</v>
      </c>
      <c r="F1101" s="11" t="s">
        <v>3332</v>
      </c>
      <c r="G1101" s="11" t="s">
        <v>3333</v>
      </c>
      <c r="H1101" s="11" t="s">
        <v>1288</v>
      </c>
      <c r="I1101" s="12">
        <v>45517</v>
      </c>
    </row>
    <row r="1102" spans="1:9" x14ac:dyDescent="0.15">
      <c r="A1102" s="9">
        <v>1101</v>
      </c>
      <c r="B1102" s="10" t="s">
        <v>9</v>
      </c>
      <c r="C1102" s="11" t="s">
        <v>10</v>
      </c>
      <c r="D1102" s="12">
        <v>45623</v>
      </c>
      <c r="E1102" s="13" t="str">
        <f>+HYPERLINK("http://trademark.i-assist.jp/data/china/image_1913th/80344012.pdf","80344012")</f>
        <v>80344012</v>
      </c>
      <c r="F1102" s="11" t="s">
        <v>3334</v>
      </c>
      <c r="G1102" s="11" t="s">
        <v>687</v>
      </c>
      <c r="H1102" s="11" t="s">
        <v>3335</v>
      </c>
      <c r="I1102" s="12">
        <v>45517</v>
      </c>
    </row>
    <row r="1103" spans="1:9" x14ac:dyDescent="0.15">
      <c r="A1103" s="9">
        <v>1102</v>
      </c>
      <c r="B1103" s="10" t="s">
        <v>9</v>
      </c>
      <c r="C1103" s="11" t="s">
        <v>10</v>
      </c>
      <c r="D1103" s="12">
        <v>45623</v>
      </c>
      <c r="E1103" s="13" t="str">
        <f>+HYPERLINK("http://trademark.i-assist.jp/data/china/image_1913th/80356162.pdf","80356162")</f>
        <v>80356162</v>
      </c>
      <c r="F1103" s="11" t="s">
        <v>3336</v>
      </c>
      <c r="G1103" s="11" t="s">
        <v>3337</v>
      </c>
      <c r="H1103" s="11" t="s">
        <v>3338</v>
      </c>
      <c r="I1103" s="12">
        <v>45518</v>
      </c>
    </row>
    <row r="1104" spans="1:9" x14ac:dyDescent="0.15">
      <c r="A1104" s="9">
        <v>1103</v>
      </c>
      <c r="B1104" s="10" t="s">
        <v>9</v>
      </c>
      <c r="C1104" s="11" t="s">
        <v>10</v>
      </c>
      <c r="D1104" s="12">
        <v>45623</v>
      </c>
      <c r="E1104" s="13" t="str">
        <f>+HYPERLINK("http://trademark.i-assist.jp/data/china/image_1913th/80361195.pdf","80361195")</f>
        <v>80361195</v>
      </c>
      <c r="F1104" s="11" t="s">
        <v>3339</v>
      </c>
      <c r="G1104" s="11" t="s">
        <v>3340</v>
      </c>
      <c r="H1104" s="11" t="s">
        <v>3341</v>
      </c>
      <c r="I1104" s="12">
        <v>45518</v>
      </c>
    </row>
    <row r="1105" spans="1:9" x14ac:dyDescent="0.15">
      <c r="A1105" s="9">
        <v>1104</v>
      </c>
      <c r="B1105" s="10" t="s">
        <v>9</v>
      </c>
      <c r="C1105" s="11" t="s">
        <v>10</v>
      </c>
      <c r="D1105" s="12">
        <v>45623</v>
      </c>
      <c r="E1105" s="13" t="str">
        <f>+HYPERLINK("http://trademark.i-assist.jp/data/china/image_1913th/80373335.pdf","80373335")</f>
        <v>80373335</v>
      </c>
      <c r="F1105" s="11" t="s">
        <v>3342</v>
      </c>
      <c r="G1105" s="11" t="s">
        <v>3343</v>
      </c>
      <c r="H1105" s="11" t="s">
        <v>2982</v>
      </c>
      <c r="I1105" s="12">
        <v>45519</v>
      </c>
    </row>
    <row r="1106" spans="1:9" x14ac:dyDescent="0.15">
      <c r="A1106" s="9">
        <v>1105</v>
      </c>
      <c r="B1106" s="10" t="s">
        <v>9</v>
      </c>
      <c r="C1106" s="11" t="s">
        <v>10</v>
      </c>
      <c r="D1106" s="12">
        <v>45623</v>
      </c>
      <c r="E1106" s="13" t="str">
        <f>+HYPERLINK("http://trademark.i-assist.jp/data/china/image_1913th/80405427A.pdf","80405427A")</f>
        <v>80405427A</v>
      </c>
      <c r="F1106" s="11" t="s">
        <v>689</v>
      </c>
      <c r="G1106" s="11" t="s">
        <v>688</v>
      </c>
      <c r="H1106" s="11" t="s">
        <v>3344</v>
      </c>
      <c r="I1106" s="12">
        <v>45520</v>
      </c>
    </row>
    <row r="1107" spans="1:9" x14ac:dyDescent="0.15">
      <c r="A1107" s="9">
        <v>1106</v>
      </c>
      <c r="B1107" s="10" t="s">
        <v>9</v>
      </c>
      <c r="C1107" s="11" t="s">
        <v>10</v>
      </c>
      <c r="D1107" s="12">
        <v>45623</v>
      </c>
      <c r="E1107" s="13" t="str">
        <f>+HYPERLINK("http://trademark.i-assist.jp/data/china/image_1913th/80449020.pdf","80449020")</f>
        <v>80449020</v>
      </c>
      <c r="F1107" s="11" t="s">
        <v>690</v>
      </c>
      <c r="G1107" s="11" t="s">
        <v>3345</v>
      </c>
      <c r="H1107" s="11" t="s">
        <v>3346</v>
      </c>
      <c r="I1107" s="12">
        <v>45523</v>
      </c>
    </row>
    <row r="1108" spans="1:9" x14ac:dyDescent="0.15">
      <c r="A1108" s="9">
        <v>1107</v>
      </c>
      <c r="B1108" s="10" t="s">
        <v>9</v>
      </c>
      <c r="C1108" s="11" t="s">
        <v>10</v>
      </c>
      <c r="D1108" s="12">
        <v>45623</v>
      </c>
      <c r="E1108" s="13" t="str">
        <f>+HYPERLINK("http://trademark.i-assist.jp/data/china/image_1913th/80457742.pdf","80457742")</f>
        <v>80457742</v>
      </c>
      <c r="F1108" s="11" t="s">
        <v>3347</v>
      </c>
      <c r="G1108" s="11" t="s">
        <v>3348</v>
      </c>
      <c r="H1108" s="11" t="s">
        <v>1289</v>
      </c>
      <c r="I1108" s="12">
        <v>45524</v>
      </c>
    </row>
    <row r="1109" spans="1:9" x14ac:dyDescent="0.15">
      <c r="A1109" s="9">
        <v>1108</v>
      </c>
      <c r="B1109" s="10" t="s">
        <v>9</v>
      </c>
      <c r="C1109" s="11" t="s">
        <v>10</v>
      </c>
      <c r="D1109" s="12">
        <v>45623</v>
      </c>
      <c r="E1109" s="13" t="str">
        <f>+HYPERLINK("http://trademark.i-assist.jp/data/china/image_1913th/80554293.pdf","80554293")</f>
        <v>80554293</v>
      </c>
      <c r="F1109" s="11" t="s">
        <v>3349</v>
      </c>
      <c r="G1109" s="11" t="s">
        <v>3350</v>
      </c>
      <c r="H1109" s="11" t="s">
        <v>3351</v>
      </c>
      <c r="I1109" s="12">
        <v>45529</v>
      </c>
    </row>
    <row r="1110" spans="1:9" x14ac:dyDescent="0.15">
      <c r="A1110" s="9">
        <v>1109</v>
      </c>
      <c r="B1110" s="10" t="s">
        <v>9</v>
      </c>
      <c r="C1110" s="11" t="s">
        <v>10</v>
      </c>
      <c r="D1110" s="12">
        <v>45623</v>
      </c>
      <c r="E1110" s="13" t="str">
        <f>+HYPERLINK("http://trademark.i-assist.jp/data/china/image_1913th/80576195.pdf","80576195")</f>
        <v>80576195</v>
      </c>
      <c r="F1110" s="11" t="s">
        <v>691</v>
      </c>
      <c r="G1110" s="11" t="s">
        <v>3352</v>
      </c>
      <c r="H1110" s="11" t="s">
        <v>3353</v>
      </c>
      <c r="I1110" s="12">
        <v>45530</v>
      </c>
    </row>
    <row r="1111" spans="1:9" x14ac:dyDescent="0.15">
      <c r="A1111" s="9">
        <v>1110</v>
      </c>
      <c r="B1111" s="10" t="s">
        <v>9</v>
      </c>
      <c r="C1111" s="11" t="s">
        <v>10</v>
      </c>
      <c r="D1111" s="12">
        <v>45623</v>
      </c>
      <c r="E1111" s="13" t="str">
        <f>+HYPERLINK("http://trademark.i-assist.jp/data/china/image_1913th/80576958.pdf","80576958")</f>
        <v>80576958</v>
      </c>
      <c r="F1111" s="11" t="s">
        <v>3354</v>
      </c>
      <c r="G1111" s="11" t="s">
        <v>3355</v>
      </c>
      <c r="H1111" s="11" t="s">
        <v>3356</v>
      </c>
      <c r="I1111" s="12">
        <v>45530</v>
      </c>
    </row>
    <row r="1112" spans="1:9" x14ac:dyDescent="0.15">
      <c r="A1112" s="9">
        <v>1111</v>
      </c>
      <c r="B1112" s="10" t="s">
        <v>9</v>
      </c>
      <c r="C1112" s="11" t="s">
        <v>10</v>
      </c>
      <c r="D1112" s="12">
        <v>45623</v>
      </c>
      <c r="E1112" s="13" t="str">
        <f>+HYPERLINK("http://trademark.i-assist.jp/data/china/image_1913th/80582562.pdf","80582562")</f>
        <v>80582562</v>
      </c>
      <c r="F1112" s="11" t="s">
        <v>3357</v>
      </c>
      <c r="G1112" s="11" t="s">
        <v>3358</v>
      </c>
      <c r="H1112" s="11" t="s">
        <v>3359</v>
      </c>
      <c r="I1112" s="12">
        <v>45531</v>
      </c>
    </row>
    <row r="1113" spans="1:9" x14ac:dyDescent="0.15">
      <c r="A1113" s="9">
        <v>1112</v>
      </c>
      <c r="B1113" s="10" t="s">
        <v>9</v>
      </c>
      <c r="C1113" s="11" t="s">
        <v>10</v>
      </c>
      <c r="D1113" s="12">
        <v>45623</v>
      </c>
      <c r="E1113" s="13" t="str">
        <f>+HYPERLINK("http://trademark.i-assist.jp/data/china/image_1913th/80583791.pdf","80583791")</f>
        <v>80583791</v>
      </c>
      <c r="F1113" s="11" t="s">
        <v>693</v>
      </c>
      <c r="G1113" s="11" t="s">
        <v>692</v>
      </c>
      <c r="H1113" s="11" t="s">
        <v>3360</v>
      </c>
      <c r="I1113" s="12">
        <v>45531</v>
      </c>
    </row>
    <row r="1114" spans="1:9" x14ac:dyDescent="0.15">
      <c r="A1114" s="9">
        <v>1113</v>
      </c>
      <c r="B1114" s="10" t="s">
        <v>9</v>
      </c>
      <c r="C1114" s="11" t="s">
        <v>10</v>
      </c>
      <c r="D1114" s="12">
        <v>45623</v>
      </c>
      <c r="E1114" s="13" t="str">
        <f>+HYPERLINK("http://trademark.i-assist.jp/data/china/image_1913th/80591181.pdf","80591181")</f>
        <v>80591181</v>
      </c>
      <c r="F1114" s="11" t="s">
        <v>694</v>
      </c>
      <c r="G1114" s="11" t="s">
        <v>3361</v>
      </c>
      <c r="H1114" s="11" t="s">
        <v>3362</v>
      </c>
      <c r="I1114" s="12">
        <v>45531</v>
      </c>
    </row>
    <row r="1115" spans="1:9" x14ac:dyDescent="0.15">
      <c r="A1115" s="9">
        <v>1114</v>
      </c>
      <c r="B1115" s="10" t="s">
        <v>9</v>
      </c>
      <c r="C1115" s="11" t="s">
        <v>10</v>
      </c>
      <c r="D1115" s="12">
        <v>45623</v>
      </c>
      <c r="E1115" s="13" t="str">
        <f>+HYPERLINK("http://trademark.i-assist.jp/data/china/image_1913th/80603122.pdf","80603122")</f>
        <v>80603122</v>
      </c>
      <c r="F1115" s="11" t="s">
        <v>3363</v>
      </c>
      <c r="G1115" s="11" t="s">
        <v>242</v>
      </c>
      <c r="H1115" s="11" t="s">
        <v>1990</v>
      </c>
      <c r="I1115" s="12">
        <v>45532</v>
      </c>
    </row>
    <row r="1116" spans="1:9" x14ac:dyDescent="0.15">
      <c r="A1116" s="9">
        <v>1115</v>
      </c>
      <c r="B1116" s="10" t="s">
        <v>9</v>
      </c>
      <c r="C1116" s="11" t="s">
        <v>10</v>
      </c>
      <c r="D1116" s="12">
        <v>45623</v>
      </c>
      <c r="E1116" s="13" t="str">
        <f>+HYPERLINK("http://trademark.i-assist.jp/data/china/image_1913th/80610125.pdf","80610125")</f>
        <v>80610125</v>
      </c>
      <c r="F1116" s="11" t="s">
        <v>695</v>
      </c>
      <c r="G1116" s="11" t="s">
        <v>3364</v>
      </c>
      <c r="H1116" s="11" t="s">
        <v>3365</v>
      </c>
      <c r="I1116" s="12">
        <v>45532</v>
      </c>
    </row>
    <row r="1117" spans="1:9" x14ac:dyDescent="0.15">
      <c r="A1117" s="9">
        <v>1116</v>
      </c>
      <c r="B1117" s="10" t="s">
        <v>9</v>
      </c>
      <c r="C1117" s="11" t="s">
        <v>10</v>
      </c>
      <c r="D1117" s="12">
        <v>45623</v>
      </c>
      <c r="E1117" s="13" t="str">
        <f>+HYPERLINK("http://trademark.i-assist.jp/data/china/image_1913th/80618659.pdf","80618659")</f>
        <v>80618659</v>
      </c>
      <c r="F1117" s="11" t="s">
        <v>696</v>
      </c>
      <c r="G1117" s="11" t="s">
        <v>2254</v>
      </c>
      <c r="H1117" s="11" t="s">
        <v>3366</v>
      </c>
      <c r="I1117" s="12">
        <v>45532</v>
      </c>
    </row>
    <row r="1118" spans="1:9" x14ac:dyDescent="0.15">
      <c r="A1118" s="9">
        <v>1117</v>
      </c>
      <c r="B1118" s="10" t="s">
        <v>9</v>
      </c>
      <c r="C1118" s="11" t="s">
        <v>10</v>
      </c>
      <c r="D1118" s="12">
        <v>45623</v>
      </c>
      <c r="E1118" s="13" t="str">
        <f>+HYPERLINK("http://trademark.i-assist.jp/data/china/image_1913th/80625207.pdf","80625207")</f>
        <v>80625207</v>
      </c>
      <c r="F1118" s="11" t="s">
        <v>697</v>
      </c>
      <c r="G1118" s="11" t="s">
        <v>3367</v>
      </c>
      <c r="H1118" s="11" t="s">
        <v>3368</v>
      </c>
      <c r="I1118" s="12">
        <v>45532</v>
      </c>
    </row>
    <row r="1119" spans="1:9" x14ac:dyDescent="0.15">
      <c r="A1119" s="9">
        <v>1118</v>
      </c>
      <c r="B1119" s="10" t="s">
        <v>9</v>
      </c>
      <c r="C1119" s="11" t="s">
        <v>10</v>
      </c>
      <c r="D1119" s="12">
        <v>45623</v>
      </c>
      <c r="E1119" s="13" t="str">
        <f>+HYPERLINK("http://trademark.i-assist.jp/data/china/image_1913th/80628043.pdf","80628043")</f>
        <v>80628043</v>
      </c>
      <c r="F1119" s="11" t="s">
        <v>3369</v>
      </c>
      <c r="G1119" s="11" t="s">
        <v>3370</v>
      </c>
      <c r="H1119" s="11" t="s">
        <v>1427</v>
      </c>
      <c r="I1119" s="12">
        <v>45533</v>
      </c>
    </row>
    <row r="1120" spans="1:9" x14ac:dyDescent="0.15">
      <c r="A1120" s="9">
        <v>1119</v>
      </c>
      <c r="B1120" s="10" t="s">
        <v>9</v>
      </c>
      <c r="C1120" s="11" t="s">
        <v>10</v>
      </c>
      <c r="D1120" s="12">
        <v>45623</v>
      </c>
      <c r="E1120" s="13" t="str">
        <f>+HYPERLINK("http://trademark.i-assist.jp/data/china/image_1913th/80630179.pdf","80630179")</f>
        <v>80630179</v>
      </c>
      <c r="F1120" s="11" t="s">
        <v>3371</v>
      </c>
      <c r="G1120" s="11" t="s">
        <v>3372</v>
      </c>
      <c r="H1120" s="11" t="s">
        <v>3373</v>
      </c>
      <c r="I1120" s="12">
        <v>45533</v>
      </c>
    </row>
    <row r="1121" spans="1:9" x14ac:dyDescent="0.15">
      <c r="A1121" s="9">
        <v>1120</v>
      </c>
      <c r="B1121" s="10" t="s">
        <v>9</v>
      </c>
      <c r="C1121" s="11" t="s">
        <v>10</v>
      </c>
      <c r="D1121" s="12">
        <v>45623</v>
      </c>
      <c r="E1121" s="13" t="str">
        <f>+HYPERLINK("http://trademark.i-assist.jp/data/china/image_1913th/80631072.pdf","80631072")</f>
        <v>80631072</v>
      </c>
      <c r="F1121" s="11" t="s">
        <v>167</v>
      </c>
      <c r="G1121" s="11" t="s">
        <v>166</v>
      </c>
      <c r="H1121" s="11" t="s">
        <v>1726</v>
      </c>
      <c r="I1121" s="12">
        <v>45533</v>
      </c>
    </row>
    <row r="1122" spans="1:9" x14ac:dyDescent="0.15">
      <c r="A1122" s="9">
        <v>1121</v>
      </c>
      <c r="B1122" s="10" t="s">
        <v>9</v>
      </c>
      <c r="C1122" s="11" t="s">
        <v>10</v>
      </c>
      <c r="D1122" s="12">
        <v>45623</v>
      </c>
      <c r="E1122" s="13" t="str">
        <f>+HYPERLINK("http://trademark.i-assist.jp/data/china/image_1913th/80633054.pdf","80633054")</f>
        <v>80633054</v>
      </c>
      <c r="F1122" s="11" t="s">
        <v>698</v>
      </c>
      <c r="G1122" s="11" t="s">
        <v>3374</v>
      </c>
      <c r="H1122" s="11" t="s">
        <v>3375</v>
      </c>
      <c r="I1122" s="12">
        <v>45533</v>
      </c>
    </row>
    <row r="1123" spans="1:9" x14ac:dyDescent="0.15">
      <c r="A1123" s="9">
        <v>1122</v>
      </c>
      <c r="B1123" s="10" t="s">
        <v>9</v>
      </c>
      <c r="C1123" s="11" t="s">
        <v>10</v>
      </c>
      <c r="D1123" s="12">
        <v>45623</v>
      </c>
      <c r="E1123" s="13" t="str">
        <f>+HYPERLINK("http://trademark.i-assist.jp/data/china/image_1913th/80635115.pdf","80635115")</f>
        <v>80635115</v>
      </c>
      <c r="F1123" s="11" t="s">
        <v>3376</v>
      </c>
      <c r="G1123" s="11" t="s">
        <v>1388</v>
      </c>
      <c r="H1123" s="11" t="s">
        <v>1389</v>
      </c>
      <c r="I1123" s="12">
        <v>45533</v>
      </c>
    </row>
    <row r="1124" spans="1:9" x14ac:dyDescent="0.15">
      <c r="A1124" s="9">
        <v>1123</v>
      </c>
      <c r="B1124" s="10" t="s">
        <v>9</v>
      </c>
      <c r="C1124" s="11" t="s">
        <v>10</v>
      </c>
      <c r="D1124" s="12">
        <v>45623</v>
      </c>
      <c r="E1124" s="13" t="str">
        <f>+HYPERLINK("http://trademark.i-assist.jp/data/china/image_1913th/80636645.pdf","80636645")</f>
        <v>80636645</v>
      </c>
      <c r="F1124" s="11" t="s">
        <v>3377</v>
      </c>
      <c r="G1124" s="11" t="s">
        <v>699</v>
      </c>
      <c r="H1124" s="11" t="s">
        <v>3378</v>
      </c>
      <c r="I1124" s="12">
        <v>45533</v>
      </c>
    </row>
    <row r="1125" spans="1:9" x14ac:dyDescent="0.15">
      <c r="A1125" s="9">
        <v>1124</v>
      </c>
      <c r="B1125" s="10" t="s">
        <v>9</v>
      </c>
      <c r="C1125" s="11" t="s">
        <v>10</v>
      </c>
      <c r="D1125" s="12">
        <v>45623</v>
      </c>
      <c r="E1125" s="13" t="str">
        <f>+HYPERLINK("http://trademark.i-assist.jp/data/china/image_1913th/80637778.pdf","80637778")</f>
        <v>80637778</v>
      </c>
      <c r="F1125" s="11" t="s">
        <v>700</v>
      </c>
      <c r="G1125" s="11" t="s">
        <v>3379</v>
      </c>
      <c r="H1125" s="11" t="s">
        <v>3380</v>
      </c>
      <c r="I1125" s="12">
        <v>45533</v>
      </c>
    </row>
    <row r="1126" spans="1:9" x14ac:dyDescent="0.15">
      <c r="A1126" s="9">
        <v>1125</v>
      </c>
      <c r="B1126" s="10" t="s">
        <v>9</v>
      </c>
      <c r="C1126" s="11" t="s">
        <v>10</v>
      </c>
      <c r="D1126" s="12">
        <v>45623</v>
      </c>
      <c r="E1126" s="13" t="str">
        <f>+HYPERLINK("http://trademark.i-assist.jp/data/china/image_1913th/80790071.pdf","80790071")</f>
        <v>80790071</v>
      </c>
      <c r="F1126" s="11" t="s">
        <v>3381</v>
      </c>
      <c r="G1126" s="11" t="s">
        <v>55</v>
      </c>
      <c r="H1126" s="11" t="s">
        <v>1456</v>
      </c>
      <c r="I1126" s="12">
        <v>45541</v>
      </c>
    </row>
    <row r="1127" spans="1:9" x14ac:dyDescent="0.15">
      <c r="A1127" s="9">
        <v>1126</v>
      </c>
      <c r="B1127" s="10" t="s">
        <v>9</v>
      </c>
      <c r="C1127" s="11" t="s">
        <v>10</v>
      </c>
      <c r="D1127" s="12">
        <v>45623</v>
      </c>
      <c r="E1127" s="13" t="str">
        <f>+HYPERLINK("http://trademark.i-assist.jp/data/china/image_1913th/80792928.pdf","80792928")</f>
        <v>80792928</v>
      </c>
      <c r="F1127" s="11" t="s">
        <v>701</v>
      </c>
      <c r="G1127" s="11" t="s">
        <v>3382</v>
      </c>
      <c r="H1127" s="11" t="s">
        <v>3383</v>
      </c>
      <c r="I1127" s="12">
        <v>45541</v>
      </c>
    </row>
    <row r="1128" spans="1:9" x14ac:dyDescent="0.15">
      <c r="A1128" s="9">
        <v>1127</v>
      </c>
      <c r="B1128" s="10" t="s">
        <v>9</v>
      </c>
      <c r="C1128" s="11" t="s">
        <v>10</v>
      </c>
      <c r="D1128" s="12">
        <v>45623</v>
      </c>
      <c r="E1128" s="13" t="str">
        <f>+HYPERLINK("http://trademark.i-assist.jp/data/china/image_1913th/80794802.pdf","80794802")</f>
        <v>80794802</v>
      </c>
      <c r="F1128" s="11" t="s">
        <v>1458</v>
      </c>
      <c r="G1128" s="11" t="s">
        <v>1459</v>
      </c>
      <c r="H1128" s="11" t="s">
        <v>1460</v>
      </c>
      <c r="I1128" s="12">
        <v>45541</v>
      </c>
    </row>
    <row r="1129" spans="1:9" x14ac:dyDescent="0.15">
      <c r="A1129" s="9">
        <v>1128</v>
      </c>
      <c r="B1129" s="10" t="s">
        <v>9</v>
      </c>
      <c r="C1129" s="11" t="s">
        <v>10</v>
      </c>
      <c r="D1129" s="12">
        <v>45623</v>
      </c>
      <c r="E1129" s="13" t="str">
        <f>+HYPERLINK("http://trademark.i-assist.jp/data/china/image_1913th/80795057.pdf","80795057")</f>
        <v>80795057</v>
      </c>
      <c r="F1129" s="11" t="s">
        <v>3384</v>
      </c>
      <c r="G1129" s="11" t="s">
        <v>3385</v>
      </c>
      <c r="H1129" s="11" t="s">
        <v>3386</v>
      </c>
      <c r="I1129" s="12">
        <v>45541</v>
      </c>
    </row>
    <row r="1130" spans="1:9" x14ac:dyDescent="0.15">
      <c r="A1130" s="9">
        <v>1129</v>
      </c>
      <c r="B1130" s="10" t="s">
        <v>9</v>
      </c>
      <c r="C1130" s="11" t="s">
        <v>10</v>
      </c>
      <c r="D1130" s="12">
        <v>45623</v>
      </c>
      <c r="E1130" s="13" t="str">
        <f>+HYPERLINK("http://trademark.i-assist.jp/data/china/image_1913th/80798179.pdf","80798179")</f>
        <v>80798179</v>
      </c>
      <c r="F1130" s="11" t="s">
        <v>3387</v>
      </c>
      <c r="G1130" s="11" t="s">
        <v>3388</v>
      </c>
      <c r="H1130" s="11" t="s">
        <v>1753</v>
      </c>
      <c r="I1130" s="12">
        <v>45541</v>
      </c>
    </row>
    <row r="1131" spans="1:9" x14ac:dyDescent="0.15">
      <c r="A1131" s="9">
        <v>1130</v>
      </c>
      <c r="B1131" s="10" t="s">
        <v>9</v>
      </c>
      <c r="C1131" s="11" t="s">
        <v>10</v>
      </c>
      <c r="D1131" s="12">
        <v>45623</v>
      </c>
      <c r="E1131" s="13" t="str">
        <f>+HYPERLINK("http://trademark.i-assist.jp/data/china/image_1913th/80801541.pdf","80801541")</f>
        <v>80801541</v>
      </c>
      <c r="F1131" s="11" t="s">
        <v>3389</v>
      </c>
      <c r="G1131" s="11" t="s">
        <v>702</v>
      </c>
      <c r="H1131" s="11" t="s">
        <v>3390</v>
      </c>
      <c r="I1131" s="12">
        <v>45542</v>
      </c>
    </row>
    <row r="1132" spans="1:9" x14ac:dyDescent="0.15">
      <c r="A1132" s="9">
        <v>1131</v>
      </c>
      <c r="B1132" s="10" t="s">
        <v>9</v>
      </c>
      <c r="C1132" s="11" t="s">
        <v>10</v>
      </c>
      <c r="D1132" s="12">
        <v>45623</v>
      </c>
      <c r="E1132" s="13" t="str">
        <f>+HYPERLINK("http://trademark.i-assist.jp/data/china/image_1913th/80801538.pdf","80801538")</f>
        <v>80801538</v>
      </c>
      <c r="F1132" s="11" t="s">
        <v>703</v>
      </c>
      <c r="G1132" s="11" t="s">
        <v>3391</v>
      </c>
      <c r="H1132" s="11" t="s">
        <v>3392</v>
      </c>
      <c r="I1132" s="12">
        <v>45542</v>
      </c>
    </row>
    <row r="1133" spans="1:9" x14ac:dyDescent="0.15">
      <c r="A1133" s="9">
        <v>1132</v>
      </c>
      <c r="B1133" s="10" t="s">
        <v>9</v>
      </c>
      <c r="C1133" s="11" t="s">
        <v>10</v>
      </c>
      <c r="D1133" s="12">
        <v>45623</v>
      </c>
      <c r="E1133" s="13" t="str">
        <f>+HYPERLINK("http://trademark.i-assist.jp/data/china/image_1913th/80811229.pdf","80811229")</f>
        <v>80811229</v>
      </c>
      <c r="F1133" s="11" t="s">
        <v>3393</v>
      </c>
      <c r="G1133" s="11" t="s">
        <v>222</v>
      </c>
      <c r="H1133" s="11" t="s">
        <v>1914</v>
      </c>
      <c r="I1133" s="12">
        <v>45544</v>
      </c>
    </row>
    <row r="1134" spans="1:9" x14ac:dyDescent="0.15">
      <c r="A1134" s="9">
        <v>1133</v>
      </c>
      <c r="B1134" s="10" t="s">
        <v>9</v>
      </c>
      <c r="C1134" s="11" t="s">
        <v>10</v>
      </c>
      <c r="D1134" s="12">
        <v>45623</v>
      </c>
      <c r="E1134" s="13" t="str">
        <f>+HYPERLINK("http://trademark.i-assist.jp/data/china/image_1913th/80815479.pdf","80815479")</f>
        <v>80815479</v>
      </c>
      <c r="F1134" s="11" t="s">
        <v>704</v>
      </c>
      <c r="G1134" s="11" t="s">
        <v>3394</v>
      </c>
      <c r="H1134" s="11" t="s">
        <v>3395</v>
      </c>
      <c r="I1134" s="12">
        <v>45544</v>
      </c>
    </row>
    <row r="1135" spans="1:9" x14ac:dyDescent="0.15">
      <c r="A1135" s="9">
        <v>1134</v>
      </c>
      <c r="B1135" s="10" t="s">
        <v>9</v>
      </c>
      <c r="C1135" s="11" t="s">
        <v>10</v>
      </c>
      <c r="D1135" s="12">
        <v>45623</v>
      </c>
      <c r="E1135" s="13" t="str">
        <f>+HYPERLINK("http://trademark.i-assist.jp/data/china/image_1913th/80819601.pdf","80819601")</f>
        <v>80819601</v>
      </c>
      <c r="F1135" s="11" t="s">
        <v>706</v>
      </c>
      <c r="G1135" s="11" t="s">
        <v>705</v>
      </c>
      <c r="H1135" s="11" t="s">
        <v>3396</v>
      </c>
      <c r="I1135" s="12">
        <v>45544</v>
      </c>
    </row>
    <row r="1136" spans="1:9" x14ac:dyDescent="0.15">
      <c r="A1136" s="9">
        <v>1135</v>
      </c>
      <c r="B1136" s="10" t="s">
        <v>9</v>
      </c>
      <c r="C1136" s="11" t="s">
        <v>10</v>
      </c>
      <c r="D1136" s="12">
        <v>45623</v>
      </c>
      <c r="E1136" s="13" t="str">
        <f>+HYPERLINK("http://trademark.i-assist.jp/data/china/image_1913th/80823827.pdf","80823827")</f>
        <v>80823827</v>
      </c>
      <c r="F1136" s="11" t="s">
        <v>3397</v>
      </c>
      <c r="G1136" s="11" t="s">
        <v>1919</v>
      </c>
      <c r="H1136" s="11" t="s">
        <v>1920</v>
      </c>
      <c r="I1136" s="12">
        <v>45544</v>
      </c>
    </row>
    <row r="1137" spans="1:9" x14ac:dyDescent="0.15">
      <c r="A1137" s="9">
        <v>1136</v>
      </c>
      <c r="B1137" s="10" t="s">
        <v>9</v>
      </c>
      <c r="C1137" s="11" t="s">
        <v>10</v>
      </c>
      <c r="D1137" s="12">
        <v>45623</v>
      </c>
      <c r="E1137" s="13" t="str">
        <f>+HYPERLINK("http://trademark.i-assist.jp/data/china/image_1913th/80825712.pdf","80825712")</f>
        <v>80825712</v>
      </c>
      <c r="F1137" s="11" t="s">
        <v>3398</v>
      </c>
      <c r="G1137" s="11" t="s">
        <v>1919</v>
      </c>
      <c r="H1137" s="11" t="s">
        <v>1920</v>
      </c>
      <c r="I1137" s="12">
        <v>45544</v>
      </c>
    </row>
    <row r="1138" spans="1:9" x14ac:dyDescent="0.15">
      <c r="A1138" s="9">
        <v>1137</v>
      </c>
      <c r="B1138" s="10" t="s">
        <v>9</v>
      </c>
      <c r="C1138" s="11" t="s">
        <v>10</v>
      </c>
      <c r="D1138" s="12">
        <v>45623</v>
      </c>
      <c r="E1138" s="13" t="str">
        <f>+HYPERLINK("http://trademark.i-assist.jp/data/china/image_1913th/81059267.pdf","81059267")</f>
        <v>81059267</v>
      </c>
      <c r="F1138" s="11" t="s">
        <v>3399</v>
      </c>
      <c r="G1138" s="11" t="s">
        <v>3400</v>
      </c>
      <c r="H1138" s="11" t="s">
        <v>3401</v>
      </c>
      <c r="I1138" s="12">
        <v>45558</v>
      </c>
    </row>
    <row r="1139" spans="1:9" x14ac:dyDescent="0.15">
      <c r="A1139" s="9">
        <v>1138</v>
      </c>
      <c r="B1139" s="10" t="s">
        <v>9</v>
      </c>
      <c r="C1139" s="11" t="s">
        <v>10</v>
      </c>
      <c r="D1139" s="12">
        <v>45623</v>
      </c>
      <c r="E1139" s="13" t="str">
        <f>+HYPERLINK("http://trademark.i-assist.jp/data/china/image_1913th/71580248.pdf","71580248")</f>
        <v>71580248</v>
      </c>
      <c r="F1139" s="11" t="s">
        <v>3402</v>
      </c>
      <c r="G1139" s="11" t="s">
        <v>3403</v>
      </c>
      <c r="H1139" s="11" t="s">
        <v>3404</v>
      </c>
      <c r="I1139" s="12">
        <v>45062</v>
      </c>
    </row>
    <row r="1140" spans="1:9" x14ac:dyDescent="0.15">
      <c r="A1140" s="9">
        <v>1139</v>
      </c>
      <c r="B1140" s="10" t="s">
        <v>9</v>
      </c>
      <c r="C1140" s="11" t="s">
        <v>10</v>
      </c>
      <c r="D1140" s="12">
        <v>45623</v>
      </c>
      <c r="E1140" s="13" t="str">
        <f>+HYPERLINK("http://trademark.i-assist.jp/data/china/image_1913th/71788587.pdf","71788587")</f>
        <v>71788587</v>
      </c>
      <c r="F1140" s="11" t="s">
        <v>1335</v>
      </c>
      <c r="G1140" s="11" t="s">
        <v>3405</v>
      </c>
      <c r="H1140" s="11" t="s">
        <v>3406</v>
      </c>
      <c r="I1140" s="12">
        <v>45070</v>
      </c>
    </row>
    <row r="1141" spans="1:9" x14ac:dyDescent="0.15">
      <c r="A1141" s="9">
        <v>1140</v>
      </c>
      <c r="B1141" s="10" t="s">
        <v>9</v>
      </c>
      <c r="C1141" s="11" t="s">
        <v>10</v>
      </c>
      <c r="D1141" s="12">
        <v>45623</v>
      </c>
      <c r="E1141" s="13" t="str">
        <f>+HYPERLINK("http://trademark.i-assist.jp/data/china/image_1913th/72228921.pdf","72228921")</f>
        <v>72228921</v>
      </c>
      <c r="F1141" s="11" t="s">
        <v>707</v>
      </c>
      <c r="G1141" s="11" t="s">
        <v>260</v>
      </c>
      <c r="H1141" s="11" t="s">
        <v>2034</v>
      </c>
      <c r="I1141" s="12">
        <v>45091</v>
      </c>
    </row>
    <row r="1142" spans="1:9" x14ac:dyDescent="0.15">
      <c r="A1142" s="9">
        <v>1141</v>
      </c>
      <c r="B1142" s="10" t="s">
        <v>9</v>
      </c>
      <c r="C1142" s="11" t="s">
        <v>10</v>
      </c>
      <c r="D1142" s="12">
        <v>45623</v>
      </c>
      <c r="E1142" s="13" t="str">
        <f>+HYPERLINK("http://trademark.i-assist.jp/data/china/image_1913th/74984063.pdf","74984063")</f>
        <v>74984063</v>
      </c>
      <c r="F1142" s="11" t="s">
        <v>708</v>
      </c>
      <c r="G1142" s="11" t="s">
        <v>3407</v>
      </c>
      <c r="H1142" s="11" t="s">
        <v>3408</v>
      </c>
      <c r="I1142" s="12">
        <v>45234</v>
      </c>
    </row>
    <row r="1143" spans="1:9" x14ac:dyDescent="0.15">
      <c r="A1143" s="9">
        <v>1142</v>
      </c>
      <c r="B1143" s="10" t="s">
        <v>9</v>
      </c>
      <c r="C1143" s="11" t="s">
        <v>10</v>
      </c>
      <c r="D1143" s="12">
        <v>45623</v>
      </c>
      <c r="E1143" s="13" t="str">
        <f>+HYPERLINK("http://trademark.i-assist.jp/data/china/image_1913th/75660066.pdf","75660066")</f>
        <v>75660066</v>
      </c>
      <c r="F1143" s="11" t="s">
        <v>3409</v>
      </c>
      <c r="G1143" s="11" t="s">
        <v>3410</v>
      </c>
      <c r="H1143" s="11" t="s">
        <v>3411</v>
      </c>
      <c r="I1143" s="12">
        <v>45267</v>
      </c>
    </row>
    <row r="1144" spans="1:9" x14ac:dyDescent="0.15">
      <c r="A1144" s="9">
        <v>1143</v>
      </c>
      <c r="B1144" s="10" t="s">
        <v>9</v>
      </c>
      <c r="C1144" s="11" t="s">
        <v>10</v>
      </c>
      <c r="D1144" s="12">
        <v>45623</v>
      </c>
      <c r="E1144" s="13" t="str">
        <f>+HYPERLINK("http://trademark.i-assist.jp/data/china/image_1913th/76537329.pdf","76537329")</f>
        <v>76537329</v>
      </c>
      <c r="F1144" s="11" t="s">
        <v>709</v>
      </c>
      <c r="G1144" s="11" t="s">
        <v>3412</v>
      </c>
      <c r="H1144" s="11" t="s">
        <v>3413</v>
      </c>
      <c r="I1144" s="12">
        <v>45313</v>
      </c>
    </row>
    <row r="1145" spans="1:9" x14ac:dyDescent="0.15">
      <c r="A1145" s="9">
        <v>1144</v>
      </c>
      <c r="B1145" s="10" t="s">
        <v>9</v>
      </c>
      <c r="C1145" s="11" t="s">
        <v>10</v>
      </c>
      <c r="D1145" s="12">
        <v>45623</v>
      </c>
      <c r="E1145" s="13" t="str">
        <f>+HYPERLINK("http://trademark.i-assist.jp/data/china/image_1913th/78335830.pdf","78335830")</f>
        <v>78335830</v>
      </c>
      <c r="F1145" s="11" t="s">
        <v>710</v>
      </c>
      <c r="G1145" s="11" t="s">
        <v>3414</v>
      </c>
      <c r="H1145" s="11" t="s">
        <v>3415</v>
      </c>
      <c r="I1145" s="12">
        <v>45411</v>
      </c>
    </row>
    <row r="1146" spans="1:9" x14ac:dyDescent="0.15">
      <c r="A1146" s="9">
        <v>1145</v>
      </c>
      <c r="B1146" s="10" t="s">
        <v>9</v>
      </c>
      <c r="C1146" s="11" t="s">
        <v>10</v>
      </c>
      <c r="D1146" s="12">
        <v>45623</v>
      </c>
      <c r="E1146" s="13" t="str">
        <f>+HYPERLINK("http://trademark.i-assist.jp/data/china/image_1913th/78752188.pdf","78752188")</f>
        <v>78752188</v>
      </c>
      <c r="F1146" s="11" t="s">
        <v>711</v>
      </c>
      <c r="G1146" s="11" t="s">
        <v>3416</v>
      </c>
      <c r="H1146" s="11" t="s">
        <v>3417</v>
      </c>
      <c r="I1146" s="12">
        <v>45434</v>
      </c>
    </row>
    <row r="1147" spans="1:9" x14ac:dyDescent="0.15">
      <c r="A1147" s="9">
        <v>1146</v>
      </c>
      <c r="B1147" s="10" t="s">
        <v>9</v>
      </c>
      <c r="C1147" s="11" t="s">
        <v>10</v>
      </c>
      <c r="D1147" s="12">
        <v>45623</v>
      </c>
      <c r="E1147" s="13" t="str">
        <f>+HYPERLINK("http://trademark.i-assist.jp/data/china/image_1913th/79257248.pdf","79257248")</f>
        <v>79257248</v>
      </c>
      <c r="F1147" s="11" t="s">
        <v>3418</v>
      </c>
      <c r="G1147" s="11" t="s">
        <v>260</v>
      </c>
      <c r="H1147" s="11" t="s">
        <v>2035</v>
      </c>
      <c r="I1147" s="12">
        <v>45460</v>
      </c>
    </row>
    <row r="1148" spans="1:9" x14ac:dyDescent="0.15">
      <c r="A1148" s="9">
        <v>1147</v>
      </c>
      <c r="B1148" s="10" t="s">
        <v>9</v>
      </c>
      <c r="C1148" s="11" t="s">
        <v>10</v>
      </c>
      <c r="D1148" s="12">
        <v>45623</v>
      </c>
      <c r="E1148" s="13" t="str">
        <f>+HYPERLINK("http://trademark.i-assist.jp/data/china/image_1913th/79548190.pdf","79548190")</f>
        <v>79548190</v>
      </c>
      <c r="F1148" s="11" t="s">
        <v>712</v>
      </c>
      <c r="G1148" s="11" t="s">
        <v>260</v>
      </c>
      <c r="H1148" s="11" t="s">
        <v>2032</v>
      </c>
      <c r="I1148" s="12">
        <v>45474</v>
      </c>
    </row>
    <row r="1149" spans="1:9" x14ac:dyDescent="0.15">
      <c r="A1149" s="9">
        <v>1148</v>
      </c>
      <c r="B1149" s="10" t="s">
        <v>9</v>
      </c>
      <c r="C1149" s="11" t="s">
        <v>10</v>
      </c>
      <c r="D1149" s="12">
        <v>45623</v>
      </c>
      <c r="E1149" s="13" t="str">
        <f>+HYPERLINK("http://trademark.i-assist.jp/data/china/image_1913th/80556596.pdf","80556596")</f>
        <v>80556596</v>
      </c>
      <c r="F1149" s="11" t="s">
        <v>713</v>
      </c>
      <c r="G1149" s="11" t="s">
        <v>1901</v>
      </c>
      <c r="H1149" s="11" t="s">
        <v>1902</v>
      </c>
      <c r="I1149" s="12">
        <v>45530</v>
      </c>
    </row>
    <row r="1150" spans="1:9" x14ac:dyDescent="0.15">
      <c r="A1150" s="9">
        <v>1149</v>
      </c>
      <c r="B1150" s="10" t="s">
        <v>9</v>
      </c>
      <c r="C1150" s="11" t="s">
        <v>10</v>
      </c>
      <c r="D1150" s="12">
        <v>45623</v>
      </c>
      <c r="E1150" s="13" t="str">
        <f>+HYPERLINK("http://trademark.i-assist.jp/data/china/image_1913th/80560336.pdf","80560336")</f>
        <v>80560336</v>
      </c>
      <c r="F1150" s="11" t="s">
        <v>714</v>
      </c>
      <c r="G1150" s="11" t="s">
        <v>3419</v>
      </c>
      <c r="H1150" s="11" t="s">
        <v>3420</v>
      </c>
      <c r="I1150" s="12">
        <v>45530</v>
      </c>
    </row>
    <row r="1151" spans="1:9" x14ac:dyDescent="0.15">
      <c r="A1151" s="9">
        <v>1150</v>
      </c>
      <c r="B1151" s="10" t="s">
        <v>9</v>
      </c>
      <c r="C1151" s="11" t="s">
        <v>10</v>
      </c>
      <c r="D1151" s="12">
        <v>45623</v>
      </c>
      <c r="E1151" s="13" t="str">
        <f>+HYPERLINK("http://trademark.i-assist.jp/data/china/image_1913th/80565664.pdf","80565664")</f>
        <v>80565664</v>
      </c>
      <c r="F1151" s="11" t="s">
        <v>3421</v>
      </c>
      <c r="G1151" s="11" t="s">
        <v>3422</v>
      </c>
      <c r="H1151" s="11" t="s">
        <v>3423</v>
      </c>
      <c r="I1151" s="12">
        <v>45530</v>
      </c>
    </row>
    <row r="1152" spans="1:9" x14ac:dyDescent="0.15">
      <c r="A1152" s="9">
        <v>1151</v>
      </c>
      <c r="B1152" s="10" t="s">
        <v>9</v>
      </c>
      <c r="C1152" s="11" t="s">
        <v>10</v>
      </c>
      <c r="D1152" s="12">
        <v>45623</v>
      </c>
      <c r="E1152" s="13" t="str">
        <f>+HYPERLINK("http://trademark.i-assist.jp/data/china/image_1913th/80571033.pdf","80571033")</f>
        <v>80571033</v>
      </c>
      <c r="F1152" s="11" t="s">
        <v>3424</v>
      </c>
      <c r="G1152" s="11" t="s">
        <v>715</v>
      </c>
      <c r="H1152" s="11" t="s">
        <v>3425</v>
      </c>
      <c r="I1152" s="12">
        <v>45530</v>
      </c>
    </row>
    <row r="1153" spans="1:9" x14ac:dyDescent="0.15">
      <c r="A1153" s="9">
        <v>1152</v>
      </c>
      <c r="B1153" s="10" t="s">
        <v>9</v>
      </c>
      <c r="C1153" s="11" t="s">
        <v>10</v>
      </c>
      <c r="D1153" s="12">
        <v>45623</v>
      </c>
      <c r="E1153" s="13" t="str">
        <f>+HYPERLINK("http://trademark.i-assist.jp/data/china/image_1913th/80578858.pdf","80578858")</f>
        <v>80578858</v>
      </c>
      <c r="F1153" s="11" t="s">
        <v>716</v>
      </c>
      <c r="G1153" s="11" t="s">
        <v>3426</v>
      </c>
      <c r="H1153" s="11" t="s">
        <v>3427</v>
      </c>
      <c r="I1153" s="12">
        <v>45531</v>
      </c>
    </row>
    <row r="1154" spans="1:9" x14ac:dyDescent="0.15">
      <c r="A1154" s="9">
        <v>1153</v>
      </c>
      <c r="B1154" s="10" t="s">
        <v>9</v>
      </c>
      <c r="C1154" s="11" t="s">
        <v>10</v>
      </c>
      <c r="D1154" s="12">
        <v>45623</v>
      </c>
      <c r="E1154" s="13" t="str">
        <f>+HYPERLINK("http://trademark.i-assist.jp/data/china/image_1913th/80581547.pdf","80581547")</f>
        <v>80581547</v>
      </c>
      <c r="F1154" s="11" t="s">
        <v>3428</v>
      </c>
      <c r="G1154" s="11" t="s">
        <v>3429</v>
      </c>
      <c r="H1154" s="11" t="s">
        <v>3430</v>
      </c>
      <c r="I1154" s="12">
        <v>45531</v>
      </c>
    </row>
    <row r="1155" spans="1:9" x14ac:dyDescent="0.15">
      <c r="A1155" s="9">
        <v>1154</v>
      </c>
      <c r="B1155" s="10" t="s">
        <v>9</v>
      </c>
      <c r="C1155" s="11" t="s">
        <v>10</v>
      </c>
      <c r="D1155" s="12">
        <v>45623</v>
      </c>
      <c r="E1155" s="13" t="str">
        <f>+HYPERLINK("http://trademark.i-assist.jp/data/china/image_1913th/80583130.pdf","80583130")</f>
        <v>80583130</v>
      </c>
      <c r="F1155" s="11" t="s">
        <v>3431</v>
      </c>
      <c r="G1155" s="11" t="s">
        <v>3432</v>
      </c>
      <c r="H1155" s="11" t="s">
        <v>3433</v>
      </c>
      <c r="I1155" s="12">
        <v>45531</v>
      </c>
    </row>
    <row r="1156" spans="1:9" x14ac:dyDescent="0.15">
      <c r="A1156" s="9">
        <v>1155</v>
      </c>
      <c r="B1156" s="10" t="s">
        <v>9</v>
      </c>
      <c r="C1156" s="11" t="s">
        <v>10</v>
      </c>
      <c r="D1156" s="12">
        <v>45623</v>
      </c>
      <c r="E1156" s="13" t="str">
        <f>+HYPERLINK("http://trademark.i-assist.jp/data/china/image_1913th/80586045.pdf","80586045")</f>
        <v>80586045</v>
      </c>
      <c r="F1156" s="11" t="s">
        <v>3434</v>
      </c>
      <c r="G1156" s="11" t="s">
        <v>3435</v>
      </c>
      <c r="H1156" s="11" t="s">
        <v>1480</v>
      </c>
      <c r="I1156" s="12">
        <v>45531</v>
      </c>
    </row>
    <row r="1157" spans="1:9" x14ac:dyDescent="0.15">
      <c r="A1157" s="9">
        <v>1156</v>
      </c>
      <c r="B1157" s="10" t="s">
        <v>9</v>
      </c>
      <c r="C1157" s="11" t="s">
        <v>10</v>
      </c>
      <c r="D1157" s="12">
        <v>45623</v>
      </c>
      <c r="E1157" s="13" t="str">
        <f>+HYPERLINK("http://trademark.i-assist.jp/data/china/image_1913th/80591953.pdf","80591953")</f>
        <v>80591953</v>
      </c>
      <c r="F1157" s="11" t="s">
        <v>3436</v>
      </c>
      <c r="G1157" s="11" t="s">
        <v>1479</v>
      </c>
      <c r="H1157" s="11" t="s">
        <v>1480</v>
      </c>
      <c r="I1157" s="12">
        <v>45531</v>
      </c>
    </row>
    <row r="1158" spans="1:9" x14ac:dyDescent="0.15">
      <c r="A1158" s="9">
        <v>1157</v>
      </c>
      <c r="B1158" s="10" t="s">
        <v>9</v>
      </c>
      <c r="C1158" s="11" t="s">
        <v>10</v>
      </c>
      <c r="D1158" s="12">
        <v>45623</v>
      </c>
      <c r="E1158" s="13" t="str">
        <f>+HYPERLINK("http://trademark.i-assist.jp/data/china/image_1913th/80595409.pdf","80595409")</f>
        <v>80595409</v>
      </c>
      <c r="F1158" s="11" t="s">
        <v>3437</v>
      </c>
      <c r="G1158" s="11" t="s">
        <v>3438</v>
      </c>
      <c r="H1158" s="11" t="s">
        <v>1599</v>
      </c>
      <c r="I1158" s="12">
        <v>45531</v>
      </c>
    </row>
    <row r="1159" spans="1:9" x14ac:dyDescent="0.15">
      <c r="A1159" s="9">
        <v>1158</v>
      </c>
      <c r="B1159" s="10" t="s">
        <v>9</v>
      </c>
      <c r="C1159" s="11" t="s">
        <v>10</v>
      </c>
      <c r="D1159" s="12">
        <v>45623</v>
      </c>
      <c r="E1159" s="13" t="str">
        <f>+HYPERLINK("http://trademark.i-assist.jp/data/china/image_1913th/80603802.pdf","80603802")</f>
        <v>80603802</v>
      </c>
      <c r="F1159" s="11" t="s">
        <v>717</v>
      </c>
      <c r="G1159" s="11" t="s">
        <v>3439</v>
      </c>
      <c r="H1159" s="11" t="s">
        <v>3440</v>
      </c>
      <c r="I1159" s="12">
        <v>45532</v>
      </c>
    </row>
    <row r="1160" spans="1:9" x14ac:dyDescent="0.15">
      <c r="A1160" s="9">
        <v>1159</v>
      </c>
      <c r="B1160" s="10" t="s">
        <v>9</v>
      </c>
      <c r="C1160" s="11" t="s">
        <v>10</v>
      </c>
      <c r="D1160" s="12">
        <v>45623</v>
      </c>
      <c r="E1160" s="13" t="str">
        <f>+HYPERLINK("http://trademark.i-assist.jp/data/china/image_1913th/80606522.pdf","80606522")</f>
        <v>80606522</v>
      </c>
      <c r="F1160" s="11" t="s">
        <v>3441</v>
      </c>
      <c r="G1160" s="11" t="s">
        <v>3442</v>
      </c>
      <c r="H1160" s="11" t="s">
        <v>3443</v>
      </c>
      <c r="I1160" s="12">
        <v>45532</v>
      </c>
    </row>
    <row r="1161" spans="1:9" x14ac:dyDescent="0.15">
      <c r="A1161" s="9">
        <v>1160</v>
      </c>
      <c r="B1161" s="10" t="s">
        <v>9</v>
      </c>
      <c r="C1161" s="11" t="s">
        <v>10</v>
      </c>
      <c r="D1161" s="12">
        <v>45623</v>
      </c>
      <c r="E1161" s="13" t="str">
        <f>+HYPERLINK("http://trademark.i-assist.jp/data/china/image_1913th/80611026.pdf","80611026")</f>
        <v>80611026</v>
      </c>
      <c r="F1161" s="11" t="s">
        <v>3444</v>
      </c>
      <c r="G1161" s="11" t="s">
        <v>3445</v>
      </c>
      <c r="H1161" s="11" t="s">
        <v>3446</v>
      </c>
      <c r="I1161" s="12">
        <v>45532</v>
      </c>
    </row>
    <row r="1162" spans="1:9" x14ac:dyDescent="0.15">
      <c r="A1162" s="9">
        <v>1161</v>
      </c>
      <c r="B1162" s="10" t="s">
        <v>9</v>
      </c>
      <c r="C1162" s="11" t="s">
        <v>10</v>
      </c>
      <c r="D1162" s="12">
        <v>45623</v>
      </c>
      <c r="E1162" s="13" t="str">
        <f>+HYPERLINK("http://trademark.i-assist.jp/data/china/image_1913th/80616310.pdf","80616310")</f>
        <v>80616310</v>
      </c>
      <c r="F1162" s="11" t="s">
        <v>718</v>
      </c>
      <c r="G1162" s="11" t="s">
        <v>3447</v>
      </c>
      <c r="H1162" s="11" t="s">
        <v>3448</v>
      </c>
      <c r="I1162" s="12">
        <v>45532</v>
      </c>
    </row>
    <row r="1163" spans="1:9" x14ac:dyDescent="0.15">
      <c r="A1163" s="9">
        <v>1162</v>
      </c>
      <c r="B1163" s="10" t="s">
        <v>9</v>
      </c>
      <c r="C1163" s="11" t="s">
        <v>10</v>
      </c>
      <c r="D1163" s="12">
        <v>45623</v>
      </c>
      <c r="E1163" s="13" t="str">
        <f>+HYPERLINK("http://trademark.i-assist.jp/data/china/image_1913th/80622423.pdf","80622423")</f>
        <v>80622423</v>
      </c>
      <c r="F1163" s="11" t="s">
        <v>3449</v>
      </c>
      <c r="G1163" s="11" t="s">
        <v>3450</v>
      </c>
      <c r="H1163" s="11" t="s">
        <v>3451</v>
      </c>
      <c r="I1163" s="12">
        <v>45532</v>
      </c>
    </row>
    <row r="1164" spans="1:9" x14ac:dyDescent="0.15">
      <c r="A1164" s="9">
        <v>1163</v>
      </c>
      <c r="B1164" s="10" t="s">
        <v>9</v>
      </c>
      <c r="C1164" s="11" t="s">
        <v>10</v>
      </c>
      <c r="D1164" s="12">
        <v>45623</v>
      </c>
      <c r="E1164" s="13" t="str">
        <f>+HYPERLINK("http://trademark.i-assist.jp/data/china/image_1913th/80623065.pdf","80623065")</f>
        <v>80623065</v>
      </c>
      <c r="F1164" s="11" t="s">
        <v>720</v>
      </c>
      <c r="G1164" s="11" t="s">
        <v>719</v>
      </c>
      <c r="H1164" s="11" t="s">
        <v>3452</v>
      </c>
      <c r="I1164" s="12">
        <v>45532</v>
      </c>
    </row>
    <row r="1165" spans="1:9" x14ac:dyDescent="0.15">
      <c r="A1165" s="9">
        <v>1164</v>
      </c>
      <c r="B1165" s="10" t="s">
        <v>9</v>
      </c>
      <c r="C1165" s="11" t="s">
        <v>10</v>
      </c>
      <c r="D1165" s="12">
        <v>45623</v>
      </c>
      <c r="E1165" s="13" t="str">
        <f>+HYPERLINK("http://trademark.i-assist.jp/data/china/image_1913th/80624896.pdf","80624896")</f>
        <v>80624896</v>
      </c>
      <c r="F1165" s="11" t="s">
        <v>721</v>
      </c>
      <c r="G1165" s="11" t="s">
        <v>3453</v>
      </c>
      <c r="H1165" s="11" t="s">
        <v>3454</v>
      </c>
      <c r="I1165" s="12">
        <v>45532</v>
      </c>
    </row>
    <row r="1166" spans="1:9" x14ac:dyDescent="0.15">
      <c r="A1166" s="9">
        <v>1165</v>
      </c>
      <c r="B1166" s="10" t="s">
        <v>9</v>
      </c>
      <c r="C1166" s="11" t="s">
        <v>10</v>
      </c>
      <c r="D1166" s="12">
        <v>45623</v>
      </c>
      <c r="E1166" s="13" t="str">
        <f>+HYPERLINK("http://trademark.i-assist.jp/data/china/image_1913th/80626197.pdf","80626197")</f>
        <v>80626197</v>
      </c>
      <c r="F1166" s="11" t="s">
        <v>722</v>
      </c>
      <c r="G1166" s="11" t="s">
        <v>1625</v>
      </c>
      <c r="H1166" s="11" t="s">
        <v>1626</v>
      </c>
      <c r="I1166" s="12">
        <v>45533</v>
      </c>
    </row>
    <row r="1167" spans="1:9" x14ac:dyDescent="0.15">
      <c r="A1167" s="9">
        <v>1166</v>
      </c>
      <c r="B1167" s="10" t="s">
        <v>9</v>
      </c>
      <c r="C1167" s="11" t="s">
        <v>10</v>
      </c>
      <c r="D1167" s="12">
        <v>45623</v>
      </c>
      <c r="E1167" s="13" t="str">
        <f>+HYPERLINK("http://trademark.i-assist.jp/data/china/image_1913th/80631313.pdf","80631313")</f>
        <v>80631313</v>
      </c>
      <c r="F1167" s="11" t="s">
        <v>723</v>
      </c>
      <c r="G1167" s="11" t="s">
        <v>2655</v>
      </c>
      <c r="H1167" s="11" t="s">
        <v>2656</v>
      </c>
      <c r="I1167" s="12">
        <v>45533</v>
      </c>
    </row>
    <row r="1168" spans="1:9" x14ac:dyDescent="0.15">
      <c r="A1168" s="9">
        <v>1167</v>
      </c>
      <c r="B1168" s="10" t="s">
        <v>9</v>
      </c>
      <c r="C1168" s="11" t="s">
        <v>10</v>
      </c>
      <c r="D1168" s="12">
        <v>45623</v>
      </c>
      <c r="E1168" s="13" t="str">
        <f>+HYPERLINK("http://trademark.i-assist.jp/data/china/image_1913th/80643376.pdf","80643376")</f>
        <v>80643376</v>
      </c>
      <c r="F1168" s="11" t="s">
        <v>3455</v>
      </c>
      <c r="G1168" s="11" t="s">
        <v>3456</v>
      </c>
      <c r="H1168" s="11" t="s">
        <v>3457</v>
      </c>
      <c r="I1168" s="12">
        <v>45533</v>
      </c>
    </row>
    <row r="1169" spans="1:9" x14ac:dyDescent="0.15">
      <c r="A1169" s="9">
        <v>1168</v>
      </c>
      <c r="B1169" s="10" t="s">
        <v>9</v>
      </c>
      <c r="C1169" s="11" t="s">
        <v>10</v>
      </c>
      <c r="D1169" s="12">
        <v>45623</v>
      </c>
      <c r="E1169" s="13" t="str">
        <f>+HYPERLINK("http://trademark.i-assist.jp/data/china/image_1913th/80646435.pdf","80646435")</f>
        <v>80646435</v>
      </c>
      <c r="F1169" s="11" t="s">
        <v>724</v>
      </c>
      <c r="G1169" s="11" t="s">
        <v>1388</v>
      </c>
      <c r="H1169" s="11" t="s">
        <v>1389</v>
      </c>
      <c r="I1169" s="12">
        <v>45533</v>
      </c>
    </row>
    <row r="1170" spans="1:9" x14ac:dyDescent="0.15">
      <c r="A1170" s="9">
        <v>1169</v>
      </c>
      <c r="B1170" s="10" t="s">
        <v>9</v>
      </c>
      <c r="C1170" s="11" t="s">
        <v>10</v>
      </c>
      <c r="D1170" s="12">
        <v>45623</v>
      </c>
      <c r="E1170" s="13" t="str">
        <f>+HYPERLINK("http://trademark.i-assist.jp/data/china/image_1913th/80405182.pdf","80405182")</f>
        <v>80405182</v>
      </c>
      <c r="F1170" s="11" t="s">
        <v>725</v>
      </c>
      <c r="G1170" s="11" t="s">
        <v>2829</v>
      </c>
      <c r="H1170" s="11" t="s">
        <v>2830</v>
      </c>
      <c r="I1170" s="12">
        <v>45520</v>
      </c>
    </row>
    <row r="1171" spans="1:9" x14ac:dyDescent="0.15">
      <c r="A1171" s="9">
        <v>1170</v>
      </c>
      <c r="B1171" s="10" t="s">
        <v>9</v>
      </c>
      <c r="C1171" s="11" t="s">
        <v>10</v>
      </c>
      <c r="D1171" s="12">
        <v>45623</v>
      </c>
      <c r="E1171" s="13" t="str">
        <f>+HYPERLINK("http://trademark.i-assist.jp/data/china/image_1913th/80445099.pdf","80445099")</f>
        <v>80445099</v>
      </c>
      <c r="F1171" s="11" t="s">
        <v>1335</v>
      </c>
      <c r="G1171" s="11" t="s">
        <v>3458</v>
      </c>
      <c r="H1171" s="11" t="s">
        <v>3459</v>
      </c>
      <c r="I1171" s="12">
        <v>45523</v>
      </c>
    </row>
    <row r="1172" spans="1:9" x14ac:dyDescent="0.15">
      <c r="A1172" s="9">
        <v>1171</v>
      </c>
      <c r="B1172" s="10" t="s">
        <v>9</v>
      </c>
      <c r="C1172" s="11" t="s">
        <v>10</v>
      </c>
      <c r="D1172" s="12">
        <v>45623</v>
      </c>
      <c r="E1172" s="13" t="str">
        <f>+HYPERLINK("http://trademark.i-assist.jp/data/china/image_1913th/80648190.pdf","80648190")</f>
        <v>80648190</v>
      </c>
      <c r="F1172" s="11" t="s">
        <v>3460</v>
      </c>
      <c r="G1172" s="11" t="s">
        <v>2299</v>
      </c>
      <c r="H1172" s="11" t="s">
        <v>2300</v>
      </c>
      <c r="I1172" s="12">
        <v>45533</v>
      </c>
    </row>
    <row r="1173" spans="1:9" x14ac:dyDescent="0.15">
      <c r="A1173" s="9">
        <v>1172</v>
      </c>
      <c r="B1173" s="10" t="s">
        <v>9</v>
      </c>
      <c r="C1173" s="11" t="s">
        <v>10</v>
      </c>
      <c r="D1173" s="12">
        <v>45623</v>
      </c>
      <c r="E1173" s="13" t="str">
        <f>+HYPERLINK("http://trademark.i-assist.jp/data/china/image_1913th/80649331.pdf","80649331")</f>
        <v>80649331</v>
      </c>
      <c r="F1173" s="11" t="s">
        <v>726</v>
      </c>
      <c r="G1173" s="11" t="s">
        <v>3461</v>
      </c>
      <c r="H1173" s="11" t="s">
        <v>1290</v>
      </c>
      <c r="I1173" s="12">
        <v>45534</v>
      </c>
    </row>
    <row r="1174" spans="1:9" x14ac:dyDescent="0.15">
      <c r="A1174" s="9">
        <v>1173</v>
      </c>
      <c r="B1174" s="10" t="s">
        <v>9</v>
      </c>
      <c r="C1174" s="11" t="s">
        <v>10</v>
      </c>
      <c r="D1174" s="12">
        <v>45623</v>
      </c>
      <c r="E1174" s="13" t="str">
        <f>+HYPERLINK("http://trademark.i-assist.jp/data/china/image_1913th/80649878.pdf","80649878")</f>
        <v>80649878</v>
      </c>
      <c r="F1174" s="11" t="s">
        <v>727</v>
      </c>
      <c r="G1174" s="11" t="s">
        <v>3462</v>
      </c>
      <c r="H1174" s="11" t="s">
        <v>3463</v>
      </c>
      <c r="I1174" s="12">
        <v>45534</v>
      </c>
    </row>
    <row r="1175" spans="1:9" x14ac:dyDescent="0.15">
      <c r="A1175" s="9">
        <v>1174</v>
      </c>
      <c r="B1175" s="10" t="s">
        <v>9</v>
      </c>
      <c r="C1175" s="11" t="s">
        <v>10</v>
      </c>
      <c r="D1175" s="12">
        <v>45623</v>
      </c>
      <c r="E1175" s="13" t="str">
        <f>+HYPERLINK("http://trademark.i-assist.jp/data/china/image_1913th/80653791.pdf","80653791")</f>
        <v>80653791</v>
      </c>
      <c r="F1175" s="11" t="s">
        <v>728</v>
      </c>
      <c r="G1175" s="11" t="s">
        <v>3464</v>
      </c>
      <c r="H1175" s="11" t="s">
        <v>1291</v>
      </c>
      <c r="I1175" s="12">
        <v>45534</v>
      </c>
    </row>
    <row r="1176" spans="1:9" x14ac:dyDescent="0.15">
      <c r="A1176" s="9">
        <v>1175</v>
      </c>
      <c r="B1176" s="10" t="s">
        <v>9</v>
      </c>
      <c r="C1176" s="11" t="s">
        <v>10</v>
      </c>
      <c r="D1176" s="12">
        <v>45623</v>
      </c>
      <c r="E1176" s="13" t="str">
        <f>+HYPERLINK("http://trademark.i-assist.jp/data/china/image_1913th/80655162.pdf","80655162")</f>
        <v>80655162</v>
      </c>
      <c r="F1176" s="11" t="s">
        <v>729</v>
      </c>
      <c r="G1176" s="11" t="s">
        <v>3465</v>
      </c>
      <c r="H1176" s="11" t="s">
        <v>3466</v>
      </c>
      <c r="I1176" s="12">
        <v>45534</v>
      </c>
    </row>
    <row r="1177" spans="1:9" x14ac:dyDescent="0.15">
      <c r="A1177" s="9">
        <v>1176</v>
      </c>
      <c r="B1177" s="10" t="s">
        <v>9</v>
      </c>
      <c r="C1177" s="11" t="s">
        <v>10</v>
      </c>
      <c r="D1177" s="12">
        <v>45623</v>
      </c>
      <c r="E1177" s="13" t="str">
        <f>+HYPERLINK("http://trademark.i-assist.jp/data/china/image_1913th/80662115.pdf","80662115")</f>
        <v>80662115</v>
      </c>
      <c r="F1177" s="11" t="s">
        <v>1335</v>
      </c>
      <c r="G1177" s="11" t="s">
        <v>3467</v>
      </c>
      <c r="H1177" s="11" t="s">
        <v>3468</v>
      </c>
      <c r="I1177" s="12">
        <v>45534</v>
      </c>
    </row>
    <row r="1178" spans="1:9" x14ac:dyDescent="0.15">
      <c r="A1178" s="9">
        <v>1177</v>
      </c>
      <c r="B1178" s="10" t="s">
        <v>9</v>
      </c>
      <c r="C1178" s="11" t="s">
        <v>10</v>
      </c>
      <c r="D1178" s="12">
        <v>45623</v>
      </c>
      <c r="E1178" s="13" t="str">
        <f>+HYPERLINK("http://trademark.i-assist.jp/data/china/image_1913th/80663523.pdf","80663523")</f>
        <v>80663523</v>
      </c>
      <c r="F1178" s="11" t="s">
        <v>3469</v>
      </c>
      <c r="G1178" s="11" t="s">
        <v>3470</v>
      </c>
      <c r="H1178" s="11" t="s">
        <v>3471</v>
      </c>
      <c r="I1178" s="12">
        <v>45534</v>
      </c>
    </row>
    <row r="1179" spans="1:9" x14ac:dyDescent="0.15">
      <c r="A1179" s="9">
        <v>1178</v>
      </c>
      <c r="B1179" s="10" t="s">
        <v>9</v>
      </c>
      <c r="C1179" s="11" t="s">
        <v>10</v>
      </c>
      <c r="D1179" s="12">
        <v>45623</v>
      </c>
      <c r="E1179" s="13" t="str">
        <f>+HYPERLINK("http://trademark.i-assist.jp/data/china/image_1913th/80666610.pdf","80666610")</f>
        <v>80666610</v>
      </c>
      <c r="F1179" s="11" t="s">
        <v>3472</v>
      </c>
      <c r="G1179" s="11" t="s">
        <v>309</v>
      </c>
      <c r="H1179" s="11" t="s">
        <v>1914</v>
      </c>
      <c r="I1179" s="12">
        <v>45534</v>
      </c>
    </row>
    <row r="1180" spans="1:9" x14ac:dyDescent="0.15">
      <c r="A1180" s="9">
        <v>1179</v>
      </c>
      <c r="B1180" s="10" t="s">
        <v>9</v>
      </c>
      <c r="C1180" s="11" t="s">
        <v>10</v>
      </c>
      <c r="D1180" s="12">
        <v>45623</v>
      </c>
      <c r="E1180" s="13" t="str">
        <f>+HYPERLINK("http://trademark.i-assist.jp/data/china/image_1913th/80024879.pdf","80024879")</f>
        <v>80024879</v>
      </c>
      <c r="F1180" s="11" t="s">
        <v>730</v>
      </c>
      <c r="G1180" s="11" t="s">
        <v>260</v>
      </c>
      <c r="H1180" s="11" t="s">
        <v>2032</v>
      </c>
      <c r="I1180" s="12">
        <v>45499</v>
      </c>
    </row>
    <row r="1181" spans="1:9" x14ac:dyDescent="0.15">
      <c r="A1181" s="9">
        <v>1180</v>
      </c>
      <c r="B1181" s="10" t="s">
        <v>9</v>
      </c>
      <c r="C1181" s="11" t="s">
        <v>10</v>
      </c>
      <c r="D1181" s="12">
        <v>45623</v>
      </c>
      <c r="E1181" s="13" t="str">
        <f>+HYPERLINK("http://trademark.i-assist.jp/data/china/image_1913th/80309824.pdf","80309824")</f>
        <v>80309824</v>
      </c>
      <c r="F1181" s="11" t="s">
        <v>3473</v>
      </c>
      <c r="G1181" s="11" t="s">
        <v>3474</v>
      </c>
      <c r="H1181" s="11" t="s">
        <v>3475</v>
      </c>
      <c r="I1181" s="12">
        <v>45516</v>
      </c>
    </row>
    <row r="1182" spans="1:9" x14ac:dyDescent="0.15">
      <c r="A1182" s="9">
        <v>1181</v>
      </c>
      <c r="B1182" s="10" t="s">
        <v>9</v>
      </c>
      <c r="C1182" s="11" t="s">
        <v>10</v>
      </c>
      <c r="D1182" s="12">
        <v>45623</v>
      </c>
      <c r="E1182" s="13" t="str">
        <f>+HYPERLINK("http://trademark.i-assist.jp/data/china/image_1913th/80757973.pdf","80757973")</f>
        <v>80757973</v>
      </c>
      <c r="F1182" s="11" t="s">
        <v>3476</v>
      </c>
      <c r="G1182" s="11" t="s">
        <v>1986</v>
      </c>
      <c r="H1182" s="11" t="s">
        <v>1807</v>
      </c>
      <c r="I1182" s="12">
        <v>45540</v>
      </c>
    </row>
    <row r="1183" spans="1:9" x14ac:dyDescent="0.15">
      <c r="A1183" s="9">
        <v>1182</v>
      </c>
      <c r="B1183" s="10" t="s">
        <v>9</v>
      </c>
      <c r="C1183" s="11" t="s">
        <v>10</v>
      </c>
      <c r="D1183" s="12">
        <v>45623</v>
      </c>
      <c r="E1183" s="13" t="str">
        <f>+HYPERLINK("http://trademark.i-assist.jp/data/china/image_1913th/80759627.pdf","80759627")</f>
        <v>80759627</v>
      </c>
      <c r="F1183" s="11" t="s">
        <v>731</v>
      </c>
      <c r="G1183" s="11" t="s">
        <v>3477</v>
      </c>
      <c r="H1183" s="11" t="s">
        <v>3478</v>
      </c>
      <c r="I1183" s="12">
        <v>45540</v>
      </c>
    </row>
    <row r="1184" spans="1:9" x14ac:dyDescent="0.15">
      <c r="A1184" s="9">
        <v>1183</v>
      </c>
      <c r="B1184" s="10" t="s">
        <v>9</v>
      </c>
      <c r="C1184" s="11" t="s">
        <v>10</v>
      </c>
      <c r="D1184" s="12">
        <v>45623</v>
      </c>
      <c r="E1184" s="13" t="str">
        <f>+HYPERLINK("http://trademark.i-assist.jp/data/china/image_1913th/80764947.pdf","80764947")</f>
        <v>80764947</v>
      </c>
      <c r="F1184" s="11" t="s">
        <v>3479</v>
      </c>
      <c r="G1184" s="11" t="s">
        <v>3306</v>
      </c>
      <c r="H1184" s="11" t="s">
        <v>1807</v>
      </c>
      <c r="I1184" s="12">
        <v>45540</v>
      </c>
    </row>
    <row r="1185" spans="1:9" x14ac:dyDescent="0.15">
      <c r="A1185" s="9">
        <v>1184</v>
      </c>
      <c r="B1185" s="10" t="s">
        <v>9</v>
      </c>
      <c r="C1185" s="11" t="s">
        <v>10</v>
      </c>
      <c r="D1185" s="12">
        <v>45623</v>
      </c>
      <c r="E1185" s="13" t="str">
        <f>+HYPERLINK("http://trademark.i-assist.jp/data/china/image_1913th/80770340.pdf","80770340")</f>
        <v>80770340</v>
      </c>
      <c r="F1185" s="11" t="s">
        <v>732</v>
      </c>
      <c r="G1185" s="11" t="s">
        <v>2396</v>
      </c>
      <c r="H1185" s="11" t="s">
        <v>2145</v>
      </c>
      <c r="I1185" s="12">
        <v>45540</v>
      </c>
    </row>
    <row r="1186" spans="1:9" x14ac:dyDescent="0.15">
      <c r="A1186" s="9">
        <v>1185</v>
      </c>
      <c r="B1186" s="10" t="s">
        <v>9</v>
      </c>
      <c r="C1186" s="11" t="s">
        <v>10</v>
      </c>
      <c r="D1186" s="12">
        <v>45623</v>
      </c>
      <c r="E1186" s="13" t="str">
        <f>+HYPERLINK("http://trademark.i-assist.jp/data/china/image_1913th/80772642.pdf","80772642")</f>
        <v>80772642</v>
      </c>
      <c r="F1186" s="11" t="s">
        <v>733</v>
      </c>
      <c r="G1186" s="11" t="s">
        <v>1984</v>
      </c>
      <c r="H1186" s="11" t="s">
        <v>1401</v>
      </c>
      <c r="I1186" s="12">
        <v>45540</v>
      </c>
    </row>
    <row r="1187" spans="1:9" x14ac:dyDescent="0.15">
      <c r="A1187" s="9">
        <v>1186</v>
      </c>
      <c r="B1187" s="10" t="s">
        <v>9</v>
      </c>
      <c r="C1187" s="11" t="s">
        <v>10</v>
      </c>
      <c r="D1187" s="12">
        <v>45623</v>
      </c>
      <c r="E1187" s="13" t="str">
        <f>+HYPERLINK("http://trademark.i-assist.jp/data/china/image_1913th/80780042.pdf","80780042")</f>
        <v>80780042</v>
      </c>
      <c r="F1187" s="11" t="s">
        <v>734</v>
      </c>
      <c r="G1187" s="11" t="s">
        <v>1400</v>
      </c>
      <c r="H1187" s="11" t="s">
        <v>1401</v>
      </c>
      <c r="I1187" s="12">
        <v>45541</v>
      </c>
    </row>
    <row r="1188" spans="1:9" x14ac:dyDescent="0.15">
      <c r="A1188" s="9">
        <v>1187</v>
      </c>
      <c r="B1188" s="10" t="s">
        <v>9</v>
      </c>
      <c r="C1188" s="11" t="s">
        <v>10</v>
      </c>
      <c r="D1188" s="12">
        <v>45623</v>
      </c>
      <c r="E1188" s="13" t="str">
        <f>+HYPERLINK("http://trademark.i-assist.jp/data/china/image_1913th/80783638.pdf","80783638")</f>
        <v>80783638</v>
      </c>
      <c r="F1188" s="11" t="s">
        <v>1458</v>
      </c>
      <c r="G1188" s="11" t="s">
        <v>1459</v>
      </c>
      <c r="H1188" s="11" t="s">
        <v>1460</v>
      </c>
      <c r="I1188" s="12">
        <v>45541</v>
      </c>
    </row>
    <row r="1189" spans="1:9" x14ac:dyDescent="0.15">
      <c r="A1189" s="9">
        <v>1188</v>
      </c>
      <c r="B1189" s="10" t="s">
        <v>9</v>
      </c>
      <c r="C1189" s="11" t="s">
        <v>10</v>
      </c>
      <c r="D1189" s="12">
        <v>45623</v>
      </c>
      <c r="E1189" s="13" t="str">
        <f>+HYPERLINK("http://trademark.i-assist.jp/data/china/image_1913th/80783869.pdf","80783869")</f>
        <v>80783869</v>
      </c>
      <c r="F1189" s="11" t="s">
        <v>3480</v>
      </c>
      <c r="G1189" s="11" t="s">
        <v>3481</v>
      </c>
      <c r="H1189" s="11" t="s">
        <v>3482</v>
      </c>
      <c r="I1189" s="12">
        <v>45541</v>
      </c>
    </row>
    <row r="1190" spans="1:9" x14ac:dyDescent="0.15">
      <c r="A1190" s="9">
        <v>1189</v>
      </c>
      <c r="B1190" s="10" t="s">
        <v>9</v>
      </c>
      <c r="C1190" s="11" t="s">
        <v>10</v>
      </c>
      <c r="D1190" s="12">
        <v>45623</v>
      </c>
      <c r="E1190" s="13" t="str">
        <f>+HYPERLINK("http://trademark.i-assist.jp/data/china/image_1913th/80786300.pdf","80786300")</f>
        <v>80786300</v>
      </c>
      <c r="F1190" s="11" t="s">
        <v>3483</v>
      </c>
      <c r="G1190" s="11" t="s">
        <v>3484</v>
      </c>
      <c r="H1190" s="11" t="s">
        <v>3485</v>
      </c>
      <c r="I1190" s="12">
        <v>45541</v>
      </c>
    </row>
    <row r="1191" spans="1:9" x14ac:dyDescent="0.15">
      <c r="A1191" s="9">
        <v>1190</v>
      </c>
      <c r="B1191" s="10" t="s">
        <v>9</v>
      </c>
      <c r="C1191" s="11" t="s">
        <v>10</v>
      </c>
      <c r="D1191" s="12">
        <v>45623</v>
      </c>
      <c r="E1191" s="13" t="str">
        <f>+HYPERLINK("http://trademark.i-assist.jp/data/china/image_1913th/80466649.pdf","80466649")</f>
        <v>80466649</v>
      </c>
      <c r="F1191" s="11" t="s">
        <v>735</v>
      </c>
      <c r="G1191" s="11" t="s">
        <v>3486</v>
      </c>
      <c r="H1191" s="11" t="s">
        <v>3487</v>
      </c>
      <c r="I1191" s="12">
        <v>45524</v>
      </c>
    </row>
    <row r="1192" spans="1:9" x14ac:dyDescent="0.15">
      <c r="A1192" s="9">
        <v>1191</v>
      </c>
      <c r="B1192" s="10" t="s">
        <v>9</v>
      </c>
      <c r="C1192" s="11" t="s">
        <v>10</v>
      </c>
      <c r="D1192" s="12">
        <v>45623</v>
      </c>
      <c r="E1192" s="13" t="str">
        <f>+HYPERLINK("http://trademark.i-assist.jp/data/china/image_1913th/80467138.pdf","80467138")</f>
        <v>80467138</v>
      </c>
      <c r="F1192" s="11" t="s">
        <v>1335</v>
      </c>
      <c r="G1192" s="11" t="s">
        <v>3488</v>
      </c>
      <c r="H1192" s="11" t="s">
        <v>3489</v>
      </c>
      <c r="I1192" s="12">
        <v>45524</v>
      </c>
    </row>
    <row r="1193" spans="1:9" x14ac:dyDescent="0.15">
      <c r="A1193" s="9">
        <v>1192</v>
      </c>
      <c r="B1193" s="10" t="s">
        <v>9</v>
      </c>
      <c r="C1193" s="11" t="s">
        <v>10</v>
      </c>
      <c r="D1193" s="12">
        <v>45623</v>
      </c>
      <c r="E1193" s="13" t="str">
        <f>+HYPERLINK("http://trademark.i-assist.jp/data/china/image_1913th/80468402.pdf","80468402")</f>
        <v>80468402</v>
      </c>
      <c r="F1193" s="11" t="s">
        <v>736</v>
      </c>
      <c r="G1193" s="11" t="s">
        <v>3490</v>
      </c>
      <c r="H1193" s="11" t="s">
        <v>3491</v>
      </c>
      <c r="I1193" s="12">
        <v>45524</v>
      </c>
    </row>
    <row r="1194" spans="1:9" x14ac:dyDescent="0.15">
      <c r="A1194" s="9">
        <v>1193</v>
      </c>
      <c r="B1194" s="10" t="s">
        <v>9</v>
      </c>
      <c r="C1194" s="11" t="s">
        <v>10</v>
      </c>
      <c r="D1194" s="12">
        <v>45623</v>
      </c>
      <c r="E1194" s="13" t="str">
        <f>+HYPERLINK("http://trademark.i-assist.jp/data/china/image_1913th/80529606.pdf","80529606")</f>
        <v>80529606</v>
      </c>
      <c r="F1194" s="11" t="s">
        <v>737</v>
      </c>
      <c r="G1194" s="11" t="s">
        <v>3492</v>
      </c>
      <c r="H1194" s="11" t="s">
        <v>3493</v>
      </c>
      <c r="I1194" s="12">
        <v>45527</v>
      </c>
    </row>
    <row r="1195" spans="1:9" x14ac:dyDescent="0.15">
      <c r="A1195" s="9">
        <v>1194</v>
      </c>
      <c r="B1195" s="10" t="s">
        <v>9</v>
      </c>
      <c r="C1195" s="11" t="s">
        <v>10</v>
      </c>
      <c r="D1195" s="12">
        <v>45623</v>
      </c>
      <c r="E1195" s="13" t="str">
        <f>+HYPERLINK("http://trademark.i-assist.jp/data/china/image_1913th/80537705.pdf","80537705")</f>
        <v>80537705</v>
      </c>
      <c r="F1195" s="11" t="s">
        <v>738</v>
      </c>
      <c r="G1195" s="11" t="s">
        <v>3494</v>
      </c>
      <c r="H1195" s="11" t="s">
        <v>3495</v>
      </c>
      <c r="I1195" s="12">
        <v>45527</v>
      </c>
    </row>
    <row r="1196" spans="1:9" x14ac:dyDescent="0.15">
      <c r="A1196" s="9">
        <v>1195</v>
      </c>
      <c r="B1196" s="10" t="s">
        <v>9</v>
      </c>
      <c r="C1196" s="11" t="s">
        <v>10</v>
      </c>
      <c r="D1196" s="12">
        <v>45623</v>
      </c>
      <c r="E1196" s="13" t="str">
        <f>+HYPERLINK("http://trademark.i-assist.jp/data/china/image_1913th/80539258.pdf","80539258")</f>
        <v>80539258</v>
      </c>
      <c r="F1196" s="11" t="s">
        <v>739</v>
      </c>
      <c r="G1196" s="11" t="s">
        <v>1313</v>
      </c>
      <c r="H1196" s="11" t="s">
        <v>1314</v>
      </c>
      <c r="I1196" s="12">
        <v>45527</v>
      </c>
    </row>
    <row r="1197" spans="1:9" x14ac:dyDescent="0.15">
      <c r="A1197" s="9">
        <v>1196</v>
      </c>
      <c r="B1197" s="10" t="s">
        <v>9</v>
      </c>
      <c r="C1197" s="11" t="s">
        <v>10</v>
      </c>
      <c r="D1197" s="12">
        <v>45623</v>
      </c>
      <c r="E1197" s="13" t="str">
        <f>+HYPERLINK("http://trademark.i-assist.jp/data/china/image_1913th/80708223.pdf","80708223")</f>
        <v>80708223</v>
      </c>
      <c r="F1197" s="11" t="s">
        <v>740</v>
      </c>
      <c r="G1197" s="11" t="s">
        <v>3496</v>
      </c>
      <c r="H1197" s="11" t="s">
        <v>3497</v>
      </c>
      <c r="I1197" s="12">
        <v>45538</v>
      </c>
    </row>
    <row r="1198" spans="1:9" x14ac:dyDescent="0.15">
      <c r="A1198" s="9">
        <v>1197</v>
      </c>
      <c r="B1198" s="10" t="s">
        <v>9</v>
      </c>
      <c r="C1198" s="11" t="s">
        <v>10</v>
      </c>
      <c r="D1198" s="12">
        <v>45623</v>
      </c>
      <c r="E1198" s="13" t="str">
        <f>+HYPERLINK("http://trademark.i-assist.jp/data/china/image_1913th/80708589.pdf","80708589")</f>
        <v>80708589</v>
      </c>
      <c r="F1198" s="11" t="s">
        <v>3498</v>
      </c>
      <c r="G1198" s="11" t="s">
        <v>1425</v>
      </c>
      <c r="H1198" s="11" t="s">
        <v>1426</v>
      </c>
      <c r="I1198" s="12">
        <v>45538</v>
      </c>
    </row>
    <row r="1199" spans="1:9" x14ac:dyDescent="0.15">
      <c r="A1199" s="9">
        <v>1198</v>
      </c>
      <c r="B1199" s="10" t="s">
        <v>9</v>
      </c>
      <c r="C1199" s="11" t="s">
        <v>10</v>
      </c>
      <c r="D1199" s="12">
        <v>45623</v>
      </c>
      <c r="E1199" s="13" t="str">
        <f>+HYPERLINK("http://trademark.i-assist.jp/data/china/image_1913th/80710183.pdf","80710183")</f>
        <v>80710183</v>
      </c>
      <c r="F1199" s="11" t="s">
        <v>742</v>
      </c>
      <c r="G1199" s="11" t="s">
        <v>741</v>
      </c>
      <c r="H1199" s="11" t="s">
        <v>3499</v>
      </c>
      <c r="I1199" s="12">
        <v>45538</v>
      </c>
    </row>
    <row r="1200" spans="1:9" x14ac:dyDescent="0.15">
      <c r="A1200" s="9">
        <v>1199</v>
      </c>
      <c r="B1200" s="10" t="s">
        <v>9</v>
      </c>
      <c r="C1200" s="11" t="s">
        <v>10</v>
      </c>
      <c r="D1200" s="12">
        <v>45623</v>
      </c>
      <c r="E1200" s="13" t="str">
        <f>+HYPERLINK("http://trademark.i-assist.jp/data/china/image_1913th/80711269.pdf","80711269")</f>
        <v>80711269</v>
      </c>
      <c r="F1200" s="11" t="s">
        <v>743</v>
      </c>
      <c r="G1200" s="11" t="s">
        <v>3500</v>
      </c>
      <c r="H1200" s="11" t="s">
        <v>3501</v>
      </c>
      <c r="I1200" s="12">
        <v>45538</v>
      </c>
    </row>
    <row r="1201" spans="1:9" x14ac:dyDescent="0.15">
      <c r="A1201" s="9">
        <v>1200</v>
      </c>
      <c r="B1201" s="10" t="s">
        <v>9</v>
      </c>
      <c r="C1201" s="11" t="s">
        <v>10</v>
      </c>
      <c r="D1201" s="12">
        <v>45623</v>
      </c>
      <c r="E1201" s="13" t="str">
        <f>+HYPERLINK("http://trademark.i-assist.jp/data/china/image_1913th/80712997.pdf","80712997")</f>
        <v>80712997</v>
      </c>
      <c r="F1201" s="11" t="s">
        <v>745</v>
      </c>
      <c r="G1201" s="11" t="s">
        <v>744</v>
      </c>
      <c r="H1201" s="11" t="s">
        <v>3502</v>
      </c>
      <c r="I1201" s="12">
        <v>45538</v>
      </c>
    </row>
    <row r="1202" spans="1:9" x14ac:dyDescent="0.15">
      <c r="A1202" s="9">
        <v>1201</v>
      </c>
      <c r="B1202" s="10" t="s">
        <v>9</v>
      </c>
      <c r="C1202" s="11" t="s">
        <v>10</v>
      </c>
      <c r="D1202" s="12">
        <v>45623</v>
      </c>
      <c r="E1202" s="13" t="str">
        <f>+HYPERLINK("http://trademark.i-assist.jp/data/china/image_1913th/80714787.pdf","80714787")</f>
        <v>80714787</v>
      </c>
      <c r="F1202" s="11" t="s">
        <v>3503</v>
      </c>
      <c r="G1202" s="11" t="s">
        <v>746</v>
      </c>
      <c r="H1202" s="11" t="s">
        <v>3504</v>
      </c>
      <c r="I1202" s="12">
        <v>45538</v>
      </c>
    </row>
    <row r="1203" spans="1:9" x14ac:dyDescent="0.15">
      <c r="A1203" s="9">
        <v>1202</v>
      </c>
      <c r="B1203" s="10" t="s">
        <v>9</v>
      </c>
      <c r="C1203" s="11" t="s">
        <v>10</v>
      </c>
      <c r="D1203" s="12">
        <v>45623</v>
      </c>
      <c r="E1203" s="13" t="str">
        <f>+HYPERLINK("http://trademark.i-assist.jp/data/china/image_1913th/80715203.pdf","80715203")</f>
        <v>80715203</v>
      </c>
      <c r="F1203" s="11" t="s">
        <v>747</v>
      </c>
      <c r="G1203" s="11" t="s">
        <v>3505</v>
      </c>
      <c r="H1203" s="11" t="s">
        <v>3506</v>
      </c>
      <c r="I1203" s="12">
        <v>45538</v>
      </c>
    </row>
    <row r="1204" spans="1:9" x14ac:dyDescent="0.15">
      <c r="A1204" s="9">
        <v>1203</v>
      </c>
      <c r="B1204" s="10" t="s">
        <v>9</v>
      </c>
      <c r="C1204" s="11" t="s">
        <v>10</v>
      </c>
      <c r="D1204" s="12">
        <v>45623</v>
      </c>
      <c r="E1204" s="13" t="str">
        <f>+HYPERLINK("http://trademark.i-assist.jp/data/china/image_1913th/80716316.pdf","80716316")</f>
        <v>80716316</v>
      </c>
      <c r="F1204" s="11" t="s">
        <v>3507</v>
      </c>
      <c r="G1204" s="11" t="s">
        <v>3508</v>
      </c>
      <c r="H1204" s="11" t="s">
        <v>3509</v>
      </c>
      <c r="I1204" s="12">
        <v>45538</v>
      </c>
    </row>
    <row r="1205" spans="1:9" x14ac:dyDescent="0.15">
      <c r="A1205" s="9">
        <v>1204</v>
      </c>
      <c r="B1205" s="10" t="s">
        <v>9</v>
      </c>
      <c r="C1205" s="11" t="s">
        <v>10</v>
      </c>
      <c r="D1205" s="12">
        <v>45623</v>
      </c>
      <c r="E1205" s="13" t="str">
        <f>+HYPERLINK("http://trademark.i-assist.jp/data/china/image_1913th/80720123.pdf","80720123")</f>
        <v>80720123</v>
      </c>
      <c r="F1205" s="11" t="s">
        <v>3510</v>
      </c>
      <c r="G1205" s="11" t="s">
        <v>1659</v>
      </c>
      <c r="H1205" s="11" t="s">
        <v>1660</v>
      </c>
      <c r="I1205" s="12">
        <v>45538</v>
      </c>
    </row>
    <row r="1206" spans="1:9" x14ac:dyDescent="0.15">
      <c r="A1206" s="9">
        <v>1205</v>
      </c>
      <c r="B1206" s="10" t="s">
        <v>9</v>
      </c>
      <c r="C1206" s="11" t="s">
        <v>10</v>
      </c>
      <c r="D1206" s="12">
        <v>45623</v>
      </c>
      <c r="E1206" s="13" t="str">
        <f>+HYPERLINK("http://trademark.i-assist.jp/data/china/image_1913th/80727542.pdf","80727542")</f>
        <v>80727542</v>
      </c>
      <c r="F1206" s="11" t="s">
        <v>1335</v>
      </c>
      <c r="G1206" s="11" t="s">
        <v>748</v>
      </c>
      <c r="H1206" s="11" t="s">
        <v>3511</v>
      </c>
      <c r="I1206" s="12">
        <v>45538</v>
      </c>
    </row>
    <row r="1207" spans="1:9" x14ac:dyDescent="0.15">
      <c r="A1207" s="9">
        <v>1206</v>
      </c>
      <c r="B1207" s="10" t="s">
        <v>9</v>
      </c>
      <c r="C1207" s="11" t="s">
        <v>10</v>
      </c>
      <c r="D1207" s="12">
        <v>45623</v>
      </c>
      <c r="E1207" s="13" t="str">
        <f>+HYPERLINK("http://trademark.i-assist.jp/data/china/image_1913th/80748355.pdf","80748355")</f>
        <v>80748355</v>
      </c>
      <c r="F1207" s="11" t="s">
        <v>3512</v>
      </c>
      <c r="G1207" s="11" t="s">
        <v>3513</v>
      </c>
      <c r="H1207" s="11" t="s">
        <v>1963</v>
      </c>
      <c r="I1207" s="12">
        <v>45539</v>
      </c>
    </row>
    <row r="1208" spans="1:9" x14ac:dyDescent="0.15">
      <c r="A1208" s="9">
        <v>1207</v>
      </c>
      <c r="B1208" s="10" t="s">
        <v>9</v>
      </c>
      <c r="C1208" s="11" t="s">
        <v>10</v>
      </c>
      <c r="D1208" s="12">
        <v>45623</v>
      </c>
      <c r="E1208" s="13" t="str">
        <f>+HYPERLINK("http://trademark.i-assist.jp/data/china/image_1913th/80748942.pdf","80748942")</f>
        <v>80748942</v>
      </c>
      <c r="F1208" s="11" t="s">
        <v>3514</v>
      </c>
      <c r="G1208" s="11" t="s">
        <v>3515</v>
      </c>
      <c r="H1208" s="11" t="s">
        <v>3516</v>
      </c>
      <c r="I1208" s="12">
        <v>45539</v>
      </c>
    </row>
    <row r="1209" spans="1:9" x14ac:dyDescent="0.15">
      <c r="A1209" s="9">
        <v>1208</v>
      </c>
      <c r="B1209" s="10" t="s">
        <v>9</v>
      </c>
      <c r="C1209" s="11" t="s">
        <v>10</v>
      </c>
      <c r="D1209" s="12">
        <v>45623</v>
      </c>
      <c r="E1209" s="13" t="str">
        <f>+HYPERLINK("http://trademark.i-assist.jp/data/china/image_1913th/80912715.pdf","80912715")</f>
        <v>80912715</v>
      </c>
      <c r="F1209" s="11" t="s">
        <v>3517</v>
      </c>
      <c r="G1209" s="11" t="s">
        <v>391</v>
      </c>
      <c r="H1209" s="11" t="s">
        <v>2428</v>
      </c>
      <c r="I1209" s="12">
        <v>45547</v>
      </c>
    </row>
    <row r="1210" spans="1:9" x14ac:dyDescent="0.15">
      <c r="A1210" s="9">
        <v>1209</v>
      </c>
      <c r="B1210" s="10" t="s">
        <v>9</v>
      </c>
      <c r="C1210" s="11" t="s">
        <v>10</v>
      </c>
      <c r="D1210" s="12">
        <v>45623</v>
      </c>
      <c r="E1210" s="13" t="str">
        <f>+HYPERLINK("http://trademark.i-assist.jp/data/china/image_1913th/80916228.pdf","80916228")</f>
        <v>80916228</v>
      </c>
      <c r="F1210" s="11" t="s">
        <v>3518</v>
      </c>
      <c r="G1210" s="11" t="s">
        <v>749</v>
      </c>
      <c r="H1210" s="11" t="s">
        <v>3519</v>
      </c>
      <c r="I1210" s="12">
        <v>45548</v>
      </c>
    </row>
    <row r="1211" spans="1:9" x14ac:dyDescent="0.15">
      <c r="A1211" s="9">
        <v>1210</v>
      </c>
      <c r="B1211" s="10" t="s">
        <v>9</v>
      </c>
      <c r="C1211" s="11" t="s">
        <v>10</v>
      </c>
      <c r="D1211" s="12">
        <v>45623</v>
      </c>
      <c r="E1211" s="13" t="str">
        <f>+HYPERLINK("http://trademark.i-assist.jp/data/china/image_1913th/80938918.pdf","80938918")</f>
        <v>80938918</v>
      </c>
      <c r="F1211" s="11" t="s">
        <v>750</v>
      </c>
      <c r="G1211" s="11" t="s">
        <v>3520</v>
      </c>
      <c r="H1211" s="11" t="s">
        <v>3521</v>
      </c>
      <c r="I1211" s="12">
        <v>45549</v>
      </c>
    </row>
    <row r="1212" spans="1:9" x14ac:dyDescent="0.15">
      <c r="A1212" s="9">
        <v>1211</v>
      </c>
      <c r="B1212" s="10" t="s">
        <v>9</v>
      </c>
      <c r="C1212" s="11" t="s">
        <v>10</v>
      </c>
      <c r="D1212" s="12">
        <v>45623</v>
      </c>
      <c r="E1212" s="13" t="str">
        <f>+HYPERLINK("http://trademark.i-assist.jp/data/china/image_1913th/80961617.pdf","80961617")</f>
        <v>80961617</v>
      </c>
      <c r="F1212" s="11" t="s">
        <v>3522</v>
      </c>
      <c r="G1212" s="11" t="s">
        <v>3523</v>
      </c>
      <c r="H1212" s="11" t="s">
        <v>1423</v>
      </c>
      <c r="I1212" s="12">
        <v>45553</v>
      </c>
    </row>
    <row r="1213" spans="1:9" x14ac:dyDescent="0.15">
      <c r="A1213" s="9">
        <v>1212</v>
      </c>
      <c r="B1213" s="10" t="s">
        <v>9</v>
      </c>
      <c r="C1213" s="11" t="s">
        <v>10</v>
      </c>
      <c r="D1213" s="12">
        <v>45623</v>
      </c>
      <c r="E1213" s="13" t="str">
        <f>+HYPERLINK("http://trademark.i-assist.jp/data/china/image_1913th/80828991.pdf","80828991")</f>
        <v>80828991</v>
      </c>
      <c r="F1213" s="11" t="s">
        <v>751</v>
      </c>
      <c r="G1213" s="11" t="s">
        <v>3524</v>
      </c>
      <c r="H1213" s="11" t="s">
        <v>3525</v>
      </c>
      <c r="I1213" s="12">
        <v>45544</v>
      </c>
    </row>
    <row r="1214" spans="1:9" x14ac:dyDescent="0.15">
      <c r="A1214" s="9">
        <v>1213</v>
      </c>
      <c r="B1214" s="10" t="s">
        <v>9</v>
      </c>
      <c r="C1214" s="11" t="s">
        <v>10</v>
      </c>
      <c r="D1214" s="12">
        <v>45623</v>
      </c>
      <c r="E1214" s="13" t="str">
        <f>+HYPERLINK("http://trademark.i-assist.jp/data/china/image_1913th/80835493.pdf","80835493")</f>
        <v>80835493</v>
      </c>
      <c r="F1214" s="11" t="s">
        <v>3526</v>
      </c>
      <c r="G1214" s="11" t="s">
        <v>752</v>
      </c>
      <c r="H1214" s="11" t="s">
        <v>1302</v>
      </c>
      <c r="I1214" s="12">
        <v>45545</v>
      </c>
    </row>
    <row r="1215" spans="1:9" x14ac:dyDescent="0.15">
      <c r="A1215" s="9">
        <v>1214</v>
      </c>
      <c r="B1215" s="10" t="s">
        <v>9</v>
      </c>
      <c r="C1215" s="11" t="s">
        <v>10</v>
      </c>
      <c r="D1215" s="12">
        <v>45623</v>
      </c>
      <c r="E1215" s="13" t="str">
        <f>+HYPERLINK("http://trademark.i-assist.jp/data/china/image_1913th/80835643.pdf","80835643")</f>
        <v>80835643</v>
      </c>
      <c r="F1215" s="11" t="s">
        <v>753</v>
      </c>
      <c r="G1215" s="11" t="s">
        <v>3527</v>
      </c>
      <c r="H1215" s="11" t="s">
        <v>2411</v>
      </c>
      <c r="I1215" s="12">
        <v>45545</v>
      </c>
    </row>
    <row r="1216" spans="1:9" x14ac:dyDescent="0.15">
      <c r="A1216" s="9">
        <v>1215</v>
      </c>
      <c r="B1216" s="10" t="s">
        <v>9</v>
      </c>
      <c r="C1216" s="11" t="s">
        <v>10</v>
      </c>
      <c r="D1216" s="12">
        <v>45623</v>
      </c>
      <c r="E1216" s="13" t="str">
        <f>+HYPERLINK("http://trademark.i-assist.jp/data/china/image_1913th/80855165.pdf","80855165")</f>
        <v>80855165</v>
      </c>
      <c r="F1216" s="11" t="s">
        <v>754</v>
      </c>
      <c r="G1216" s="11" t="s">
        <v>2728</v>
      </c>
      <c r="H1216" s="11" t="s">
        <v>1430</v>
      </c>
      <c r="I1216" s="12">
        <v>45545</v>
      </c>
    </row>
    <row r="1217" spans="1:9" x14ac:dyDescent="0.15">
      <c r="A1217" s="9">
        <v>1216</v>
      </c>
      <c r="B1217" s="10" t="s">
        <v>9</v>
      </c>
      <c r="C1217" s="11" t="s">
        <v>10</v>
      </c>
      <c r="D1217" s="12">
        <v>45623</v>
      </c>
      <c r="E1217" s="13" t="str">
        <f>+HYPERLINK("http://trademark.i-assist.jp/data/china/image_1913th/80877477.pdf","80877477")</f>
        <v>80877477</v>
      </c>
      <c r="F1217" s="11" t="s">
        <v>756</v>
      </c>
      <c r="G1217" s="11" t="s">
        <v>755</v>
      </c>
      <c r="H1217" s="11" t="s">
        <v>2049</v>
      </c>
      <c r="I1217" s="12">
        <v>45547</v>
      </c>
    </row>
    <row r="1218" spans="1:9" x14ac:dyDescent="0.15">
      <c r="A1218" s="9">
        <v>1217</v>
      </c>
      <c r="B1218" s="10" t="s">
        <v>9</v>
      </c>
      <c r="C1218" s="11" t="s">
        <v>10</v>
      </c>
      <c r="D1218" s="12">
        <v>45623</v>
      </c>
      <c r="E1218" s="13" t="str">
        <f>+HYPERLINK("http://trademark.i-assist.jp/data/china/image_1913th/80878891.pdf","80878891")</f>
        <v>80878891</v>
      </c>
      <c r="F1218" s="11" t="s">
        <v>3528</v>
      </c>
      <c r="G1218" s="11" t="s">
        <v>3529</v>
      </c>
      <c r="H1218" s="11" t="s">
        <v>3530</v>
      </c>
      <c r="I1218" s="12">
        <v>45547</v>
      </c>
    </row>
    <row r="1219" spans="1:9" x14ac:dyDescent="0.15">
      <c r="A1219" s="9">
        <v>1218</v>
      </c>
      <c r="B1219" s="10" t="s">
        <v>9</v>
      </c>
      <c r="C1219" s="11" t="s">
        <v>10</v>
      </c>
      <c r="D1219" s="12">
        <v>45623</v>
      </c>
      <c r="E1219" s="13" t="str">
        <f>+HYPERLINK("http://trademark.i-assist.jp/data/china/image_1913th/80688096.pdf","80688096")</f>
        <v>80688096</v>
      </c>
      <c r="F1219" s="11" t="s">
        <v>1335</v>
      </c>
      <c r="G1219" s="11" t="s">
        <v>3531</v>
      </c>
      <c r="H1219" s="11" t="s">
        <v>3532</v>
      </c>
      <c r="I1219" s="12">
        <v>45537</v>
      </c>
    </row>
    <row r="1220" spans="1:9" x14ac:dyDescent="0.15">
      <c r="A1220" s="9">
        <v>1219</v>
      </c>
      <c r="B1220" s="10" t="s">
        <v>9</v>
      </c>
      <c r="C1220" s="11" t="s">
        <v>10</v>
      </c>
      <c r="D1220" s="12">
        <v>45623</v>
      </c>
      <c r="E1220" s="13" t="str">
        <f>+HYPERLINK("http://trademark.i-assist.jp/data/china/image_1913th/80688465.pdf","80688465")</f>
        <v>80688465</v>
      </c>
      <c r="F1220" s="11" t="s">
        <v>3533</v>
      </c>
      <c r="G1220" s="11" t="s">
        <v>3534</v>
      </c>
      <c r="H1220" s="11" t="s">
        <v>3535</v>
      </c>
      <c r="I1220" s="12">
        <v>45537</v>
      </c>
    </row>
    <row r="1221" spans="1:9" x14ac:dyDescent="0.15">
      <c r="A1221" s="9">
        <v>1220</v>
      </c>
      <c r="B1221" s="10" t="s">
        <v>9</v>
      </c>
      <c r="C1221" s="11" t="s">
        <v>10</v>
      </c>
      <c r="D1221" s="12">
        <v>45623</v>
      </c>
      <c r="E1221" s="13" t="str">
        <f>+HYPERLINK("http://trademark.i-assist.jp/data/china/image_1913th/80688849.pdf","80688849")</f>
        <v>80688849</v>
      </c>
      <c r="F1221" s="11" t="s">
        <v>3536</v>
      </c>
      <c r="G1221" s="11" t="s">
        <v>3537</v>
      </c>
      <c r="H1221" s="11" t="s">
        <v>3538</v>
      </c>
      <c r="I1221" s="12">
        <v>45537</v>
      </c>
    </row>
    <row r="1222" spans="1:9" x14ac:dyDescent="0.15">
      <c r="A1222" s="9">
        <v>1221</v>
      </c>
      <c r="B1222" s="10" t="s">
        <v>9</v>
      </c>
      <c r="C1222" s="11" t="s">
        <v>10</v>
      </c>
      <c r="D1222" s="12">
        <v>45623</v>
      </c>
      <c r="E1222" s="13" t="str">
        <f>+HYPERLINK("http://trademark.i-assist.jp/data/china/image_1913th/80689703.pdf","80689703")</f>
        <v>80689703</v>
      </c>
      <c r="F1222" s="11" t="s">
        <v>3539</v>
      </c>
      <c r="G1222" s="11" t="s">
        <v>3540</v>
      </c>
      <c r="H1222" s="11" t="s">
        <v>3541</v>
      </c>
      <c r="I1222" s="12">
        <v>45537</v>
      </c>
    </row>
    <row r="1223" spans="1:9" x14ac:dyDescent="0.15">
      <c r="A1223" s="9">
        <v>1222</v>
      </c>
      <c r="B1223" s="10" t="s">
        <v>9</v>
      </c>
      <c r="C1223" s="11" t="s">
        <v>10</v>
      </c>
      <c r="D1223" s="12">
        <v>45623</v>
      </c>
      <c r="E1223" s="13" t="str">
        <f>+HYPERLINK("http://trademark.i-assist.jp/data/china/image_1913th/80692977.pdf","80692977")</f>
        <v>80692977</v>
      </c>
      <c r="F1223" s="11" t="s">
        <v>3542</v>
      </c>
      <c r="G1223" s="11" t="s">
        <v>3543</v>
      </c>
      <c r="H1223" s="11" t="s">
        <v>3544</v>
      </c>
      <c r="I1223" s="12">
        <v>45537</v>
      </c>
    </row>
    <row r="1224" spans="1:9" x14ac:dyDescent="0.15">
      <c r="A1224" s="9">
        <v>1223</v>
      </c>
      <c r="B1224" s="10" t="s">
        <v>9</v>
      </c>
      <c r="C1224" s="11" t="s">
        <v>10</v>
      </c>
      <c r="D1224" s="12">
        <v>45623</v>
      </c>
      <c r="E1224" s="13" t="str">
        <f>+HYPERLINK("http://trademark.i-assist.jp/data/china/image_1913th/80697261.pdf","80697261")</f>
        <v>80697261</v>
      </c>
      <c r="F1224" s="11" t="s">
        <v>757</v>
      </c>
      <c r="G1224" s="11" t="s">
        <v>2767</v>
      </c>
      <c r="H1224" s="11" t="s">
        <v>2768</v>
      </c>
      <c r="I1224" s="12">
        <v>45537</v>
      </c>
    </row>
    <row r="1225" spans="1:9" x14ac:dyDescent="0.15">
      <c r="A1225" s="9">
        <v>1224</v>
      </c>
      <c r="B1225" s="10" t="s">
        <v>9</v>
      </c>
      <c r="C1225" s="11" t="s">
        <v>10</v>
      </c>
      <c r="D1225" s="12">
        <v>45623</v>
      </c>
      <c r="E1225" s="13" t="str">
        <f>+HYPERLINK("http://trademark.i-assist.jp/data/china/image_1913th/80699316.pdf","80699316")</f>
        <v>80699316</v>
      </c>
      <c r="F1225" s="11" t="s">
        <v>759</v>
      </c>
      <c r="G1225" s="11" t="s">
        <v>758</v>
      </c>
      <c r="H1225" s="11" t="s">
        <v>3545</v>
      </c>
      <c r="I1225" s="12">
        <v>45537</v>
      </c>
    </row>
    <row r="1226" spans="1:9" x14ac:dyDescent="0.15">
      <c r="A1226" s="9">
        <v>1225</v>
      </c>
      <c r="B1226" s="10" t="s">
        <v>9</v>
      </c>
      <c r="C1226" s="11" t="s">
        <v>10</v>
      </c>
      <c r="D1226" s="12">
        <v>45623</v>
      </c>
      <c r="E1226" s="13" t="str">
        <f>+HYPERLINK("http://trademark.i-assist.jp/data/china/image_1913th/80699992.pdf","80699992")</f>
        <v>80699992</v>
      </c>
      <c r="F1226" s="11" t="s">
        <v>760</v>
      </c>
      <c r="G1226" s="11" t="s">
        <v>3546</v>
      </c>
      <c r="H1226" s="11" t="s">
        <v>2164</v>
      </c>
      <c r="I1226" s="12">
        <v>45537</v>
      </c>
    </row>
    <row r="1227" spans="1:9" x14ac:dyDescent="0.15">
      <c r="A1227" s="9">
        <v>1226</v>
      </c>
      <c r="B1227" s="10" t="s">
        <v>9</v>
      </c>
      <c r="C1227" s="11" t="s">
        <v>10</v>
      </c>
      <c r="D1227" s="12">
        <v>45623</v>
      </c>
      <c r="E1227" s="13" t="str">
        <f>+HYPERLINK("http://trademark.i-assist.jp/data/china/image_1913th/80700291.pdf","80700291")</f>
        <v>80700291</v>
      </c>
      <c r="F1227" s="11" t="s">
        <v>3547</v>
      </c>
      <c r="G1227" s="11" t="s">
        <v>3548</v>
      </c>
      <c r="H1227" s="11" t="s">
        <v>3549</v>
      </c>
      <c r="I1227" s="12">
        <v>45537</v>
      </c>
    </row>
    <row r="1228" spans="1:9" x14ac:dyDescent="0.15">
      <c r="A1228" s="9">
        <v>1227</v>
      </c>
      <c r="B1228" s="10" t="s">
        <v>9</v>
      </c>
      <c r="C1228" s="11" t="s">
        <v>10</v>
      </c>
      <c r="D1228" s="12">
        <v>45623</v>
      </c>
      <c r="E1228" s="13" t="str">
        <f>+HYPERLINK("http://trademark.i-assist.jp/data/china/image_1913th/80700965.pdf","80700965")</f>
        <v>80700965</v>
      </c>
      <c r="F1228" s="11" t="s">
        <v>1335</v>
      </c>
      <c r="G1228" s="11" t="s">
        <v>761</v>
      </c>
      <c r="H1228" s="11" t="s">
        <v>3550</v>
      </c>
      <c r="I1228" s="12">
        <v>45537</v>
      </c>
    </row>
    <row r="1229" spans="1:9" x14ac:dyDescent="0.15">
      <c r="A1229" s="9">
        <v>1228</v>
      </c>
      <c r="B1229" s="10" t="s">
        <v>9</v>
      </c>
      <c r="C1229" s="11" t="s">
        <v>10</v>
      </c>
      <c r="D1229" s="12">
        <v>45623</v>
      </c>
      <c r="E1229" s="13" t="str">
        <f>+HYPERLINK("http://trademark.i-assist.jp/data/china/image_1913th/80702077.pdf","80702077")</f>
        <v>80702077</v>
      </c>
      <c r="F1229" s="11" t="s">
        <v>762</v>
      </c>
      <c r="G1229" s="11" t="s">
        <v>3551</v>
      </c>
      <c r="H1229" s="11" t="s">
        <v>3552</v>
      </c>
      <c r="I1229" s="12">
        <v>45537</v>
      </c>
    </row>
    <row r="1230" spans="1:9" x14ac:dyDescent="0.15">
      <c r="A1230" s="9">
        <v>1229</v>
      </c>
      <c r="B1230" s="10" t="s">
        <v>9</v>
      </c>
      <c r="C1230" s="11" t="s">
        <v>10</v>
      </c>
      <c r="D1230" s="12">
        <v>45623</v>
      </c>
      <c r="E1230" s="13" t="str">
        <f>+HYPERLINK("http://trademark.i-assist.jp/data/china/image_1913th/80790786.pdf","80790786")</f>
        <v>80790786</v>
      </c>
      <c r="F1230" s="11" t="s">
        <v>1335</v>
      </c>
      <c r="G1230" s="11" t="s">
        <v>3553</v>
      </c>
      <c r="H1230" s="11" t="s">
        <v>3554</v>
      </c>
      <c r="I1230" s="12">
        <v>45541</v>
      </c>
    </row>
    <row r="1231" spans="1:9" x14ac:dyDescent="0.15">
      <c r="A1231" s="9">
        <v>1230</v>
      </c>
      <c r="B1231" s="10" t="s">
        <v>9</v>
      </c>
      <c r="C1231" s="11" t="s">
        <v>10</v>
      </c>
      <c r="D1231" s="12">
        <v>45623</v>
      </c>
      <c r="E1231" s="13" t="str">
        <f>+HYPERLINK("http://trademark.i-assist.jp/data/china/image_1913th/80800065.pdf","80800065")</f>
        <v>80800065</v>
      </c>
      <c r="F1231" s="11" t="s">
        <v>3555</v>
      </c>
      <c r="G1231" s="11" t="s">
        <v>115</v>
      </c>
      <c r="H1231" s="11" t="s">
        <v>1567</v>
      </c>
      <c r="I1231" s="12">
        <v>45541</v>
      </c>
    </row>
    <row r="1232" spans="1:9" x14ac:dyDescent="0.15">
      <c r="A1232" s="9">
        <v>1231</v>
      </c>
      <c r="B1232" s="10" t="s">
        <v>9</v>
      </c>
      <c r="C1232" s="11" t="s">
        <v>10</v>
      </c>
      <c r="D1232" s="12">
        <v>45623</v>
      </c>
      <c r="E1232" s="13" t="str">
        <f>+HYPERLINK("http://trademark.i-assist.jp/data/china/image_1913th/80802427.pdf","80802427")</f>
        <v>80802427</v>
      </c>
      <c r="F1232" s="11" t="s">
        <v>763</v>
      </c>
      <c r="G1232" s="11" t="s">
        <v>3556</v>
      </c>
      <c r="H1232" s="11" t="s">
        <v>3557</v>
      </c>
      <c r="I1232" s="12">
        <v>45542</v>
      </c>
    </row>
    <row r="1233" spans="1:9" x14ac:dyDescent="0.15">
      <c r="A1233" s="9">
        <v>1232</v>
      </c>
      <c r="B1233" s="10" t="s">
        <v>9</v>
      </c>
      <c r="C1233" s="11" t="s">
        <v>10</v>
      </c>
      <c r="D1233" s="12">
        <v>45623</v>
      </c>
      <c r="E1233" s="13" t="str">
        <f>+HYPERLINK("http://trademark.i-assist.jp/data/china/image_1913th/80812155.pdf","80812155")</f>
        <v>80812155</v>
      </c>
      <c r="F1233" s="11" t="s">
        <v>764</v>
      </c>
      <c r="G1233" s="11" t="s">
        <v>3558</v>
      </c>
      <c r="H1233" s="11" t="s">
        <v>3559</v>
      </c>
      <c r="I1233" s="12">
        <v>45544</v>
      </c>
    </row>
    <row r="1234" spans="1:9" x14ac:dyDescent="0.15">
      <c r="A1234" s="9">
        <v>1233</v>
      </c>
      <c r="B1234" s="10" t="s">
        <v>9</v>
      </c>
      <c r="C1234" s="11" t="s">
        <v>10</v>
      </c>
      <c r="D1234" s="12">
        <v>45623</v>
      </c>
      <c r="E1234" s="13" t="str">
        <f>+HYPERLINK("http://trademark.i-assist.jp/data/china/image_1913th/80813128.pdf","80813128")</f>
        <v>80813128</v>
      </c>
      <c r="F1234" s="11" t="s">
        <v>3560</v>
      </c>
      <c r="G1234" s="11" t="s">
        <v>2624</v>
      </c>
      <c r="H1234" s="11" t="s">
        <v>2625</v>
      </c>
      <c r="I1234" s="12">
        <v>45544</v>
      </c>
    </row>
    <row r="1235" spans="1:9" x14ac:dyDescent="0.15">
      <c r="A1235" s="9">
        <v>1234</v>
      </c>
      <c r="B1235" s="10" t="s">
        <v>9</v>
      </c>
      <c r="C1235" s="11" t="s">
        <v>10</v>
      </c>
      <c r="D1235" s="12">
        <v>45623</v>
      </c>
      <c r="E1235" s="13" t="str">
        <f>+HYPERLINK("http://trademark.i-assist.jp/data/china/image_1913th/80816806.pdf","80816806")</f>
        <v>80816806</v>
      </c>
      <c r="F1235" s="11" t="s">
        <v>3561</v>
      </c>
      <c r="G1235" s="11" t="s">
        <v>3562</v>
      </c>
      <c r="H1235" s="11" t="s">
        <v>3563</v>
      </c>
      <c r="I1235" s="12">
        <v>45544</v>
      </c>
    </row>
    <row r="1236" spans="1:9" x14ac:dyDescent="0.15">
      <c r="A1236" s="9">
        <v>1235</v>
      </c>
      <c r="B1236" s="10" t="s">
        <v>9</v>
      </c>
      <c r="C1236" s="11" t="s">
        <v>10</v>
      </c>
      <c r="D1236" s="12">
        <v>45623</v>
      </c>
      <c r="E1236" s="13" t="str">
        <f>+HYPERLINK("http://trademark.i-assist.jp/data/china/image_1913th/80101520.pdf","80101520")</f>
        <v>80101520</v>
      </c>
      <c r="F1236" s="11" t="s">
        <v>765</v>
      </c>
      <c r="G1236" s="11" t="s">
        <v>260</v>
      </c>
      <c r="H1236" s="11" t="s">
        <v>2032</v>
      </c>
      <c r="I1236" s="12">
        <v>45504</v>
      </c>
    </row>
    <row r="1237" spans="1:9" x14ac:dyDescent="0.15">
      <c r="A1237" s="9">
        <v>1236</v>
      </c>
      <c r="B1237" s="10" t="s">
        <v>9</v>
      </c>
      <c r="C1237" s="11" t="s">
        <v>10</v>
      </c>
      <c r="D1237" s="12">
        <v>45623</v>
      </c>
      <c r="E1237" s="13" t="str">
        <f>+HYPERLINK("http://trademark.i-assist.jp/data/china/image_1913th/80274967.pdf","80274967")</f>
        <v>80274967</v>
      </c>
      <c r="F1237" s="11" t="s">
        <v>3564</v>
      </c>
      <c r="G1237" s="11" t="s">
        <v>766</v>
      </c>
      <c r="H1237" s="11" t="s">
        <v>1302</v>
      </c>
      <c r="I1237" s="12">
        <v>45513</v>
      </c>
    </row>
    <row r="1238" spans="1:9" x14ac:dyDescent="0.15">
      <c r="A1238" s="9">
        <v>1237</v>
      </c>
      <c r="B1238" s="10" t="s">
        <v>9</v>
      </c>
      <c r="C1238" s="11" t="s">
        <v>10</v>
      </c>
      <c r="D1238" s="12">
        <v>45623</v>
      </c>
      <c r="E1238" s="13" t="str">
        <f>+HYPERLINK("http://trademark.i-assist.jp/data/china/image_1913th/80279261.pdf","80279261")</f>
        <v>80279261</v>
      </c>
      <c r="F1238" s="11" t="s">
        <v>3565</v>
      </c>
      <c r="G1238" s="11" t="s">
        <v>3566</v>
      </c>
      <c r="H1238" s="11" t="s">
        <v>3567</v>
      </c>
      <c r="I1238" s="12">
        <v>45513</v>
      </c>
    </row>
    <row r="1239" spans="1:9" x14ac:dyDescent="0.15">
      <c r="A1239" s="9">
        <v>1238</v>
      </c>
      <c r="B1239" s="10" t="s">
        <v>9</v>
      </c>
      <c r="C1239" s="11" t="s">
        <v>10</v>
      </c>
      <c r="D1239" s="12">
        <v>45623</v>
      </c>
      <c r="E1239" s="13" t="str">
        <f>+HYPERLINK("http://trademark.i-assist.jp/data/china/image_1913th/80280178.pdf","80280178")</f>
        <v>80280178</v>
      </c>
      <c r="F1239" s="11" t="s">
        <v>768</v>
      </c>
      <c r="G1239" s="11" t="s">
        <v>767</v>
      </c>
      <c r="H1239" s="11" t="s">
        <v>3568</v>
      </c>
      <c r="I1239" s="12">
        <v>45513</v>
      </c>
    </row>
    <row r="1240" spans="1:9" x14ac:dyDescent="0.15">
      <c r="A1240" s="9">
        <v>1239</v>
      </c>
      <c r="B1240" s="10" t="s">
        <v>9</v>
      </c>
      <c r="C1240" s="11" t="s">
        <v>10</v>
      </c>
      <c r="D1240" s="12">
        <v>45623</v>
      </c>
      <c r="E1240" s="13" t="str">
        <f>+HYPERLINK("http://trademark.i-assist.jp/data/china/image_1913th/80299510.pdf","80299510")</f>
        <v>80299510</v>
      </c>
      <c r="F1240" s="11" t="s">
        <v>3569</v>
      </c>
      <c r="G1240" s="11" t="s">
        <v>3570</v>
      </c>
      <c r="H1240" s="11" t="s">
        <v>1430</v>
      </c>
      <c r="I1240" s="12">
        <v>45516</v>
      </c>
    </row>
    <row r="1241" spans="1:9" x14ac:dyDescent="0.15">
      <c r="A1241" s="9">
        <v>1240</v>
      </c>
      <c r="B1241" s="10" t="s">
        <v>9</v>
      </c>
      <c r="C1241" s="11" t="s">
        <v>10</v>
      </c>
      <c r="D1241" s="12">
        <v>45623</v>
      </c>
      <c r="E1241" s="13" t="str">
        <f>+HYPERLINK("http://trademark.i-assist.jp/data/china/image_1913th/80461434.pdf","80461434")</f>
        <v>80461434</v>
      </c>
      <c r="F1241" s="11" t="s">
        <v>3571</v>
      </c>
      <c r="G1241" s="11" t="s">
        <v>3490</v>
      </c>
      <c r="H1241" s="11" t="s">
        <v>3491</v>
      </c>
      <c r="I1241" s="12">
        <v>45524</v>
      </c>
    </row>
    <row r="1242" spans="1:9" x14ac:dyDescent="0.15">
      <c r="A1242" s="9">
        <v>1241</v>
      </c>
      <c r="B1242" s="10" t="s">
        <v>9</v>
      </c>
      <c r="C1242" s="11" t="s">
        <v>10</v>
      </c>
      <c r="D1242" s="12">
        <v>45623</v>
      </c>
      <c r="E1242" s="13" t="str">
        <f>+HYPERLINK("http://trademark.i-assist.jp/data/china/image_1913th/80465709.pdf","80465709")</f>
        <v>80465709</v>
      </c>
      <c r="F1242" s="11" t="s">
        <v>769</v>
      </c>
      <c r="G1242" s="11" t="s">
        <v>1947</v>
      </c>
      <c r="H1242" s="11" t="s">
        <v>3572</v>
      </c>
      <c r="I1242" s="12">
        <v>45524</v>
      </c>
    </row>
    <row r="1243" spans="1:9" x14ac:dyDescent="0.15">
      <c r="A1243" s="9">
        <v>1242</v>
      </c>
      <c r="B1243" s="10" t="s">
        <v>9</v>
      </c>
      <c r="C1243" s="11" t="s">
        <v>10</v>
      </c>
      <c r="D1243" s="12">
        <v>45623</v>
      </c>
      <c r="E1243" s="13" t="str">
        <f>+HYPERLINK("http://trademark.i-assist.jp/data/china/image_1913th/80468713.pdf","80468713")</f>
        <v>80468713</v>
      </c>
      <c r="F1243" s="11" t="s">
        <v>770</v>
      </c>
      <c r="G1243" s="11" t="s">
        <v>1338</v>
      </c>
      <c r="H1243" s="11" t="s">
        <v>1339</v>
      </c>
      <c r="I1243" s="12">
        <v>45524</v>
      </c>
    </row>
    <row r="1244" spans="1:9" x14ac:dyDescent="0.15">
      <c r="A1244" s="9">
        <v>1243</v>
      </c>
      <c r="B1244" s="10" t="s">
        <v>9</v>
      </c>
      <c r="C1244" s="11" t="s">
        <v>10</v>
      </c>
      <c r="D1244" s="12">
        <v>45623</v>
      </c>
      <c r="E1244" s="13" t="str">
        <f>+HYPERLINK("http://trademark.i-assist.jp/data/china/image_1913th/80484247.pdf","80484247")</f>
        <v>80484247</v>
      </c>
      <c r="F1244" s="11" t="s">
        <v>3573</v>
      </c>
      <c r="G1244" s="11" t="s">
        <v>3574</v>
      </c>
      <c r="H1244" s="11" t="s">
        <v>3575</v>
      </c>
      <c r="I1244" s="12">
        <v>45525</v>
      </c>
    </row>
    <row r="1245" spans="1:9" x14ac:dyDescent="0.15">
      <c r="A1245" s="9">
        <v>1244</v>
      </c>
      <c r="B1245" s="10" t="s">
        <v>9</v>
      </c>
      <c r="C1245" s="11" t="s">
        <v>10</v>
      </c>
      <c r="D1245" s="12">
        <v>45623</v>
      </c>
      <c r="E1245" s="13" t="str">
        <f>+HYPERLINK("http://trademark.i-assist.jp/data/china/image_1913th/80495600.pdf","80495600")</f>
        <v>80495600</v>
      </c>
      <c r="F1245" s="11" t="s">
        <v>771</v>
      </c>
      <c r="G1245" s="11" t="s">
        <v>3576</v>
      </c>
      <c r="H1245" s="11" t="s">
        <v>3577</v>
      </c>
      <c r="I1245" s="12">
        <v>45525</v>
      </c>
    </row>
    <row r="1246" spans="1:9" x14ac:dyDescent="0.15">
      <c r="A1246" s="9">
        <v>1245</v>
      </c>
      <c r="B1246" s="10" t="s">
        <v>9</v>
      </c>
      <c r="C1246" s="11" t="s">
        <v>10</v>
      </c>
      <c r="D1246" s="12">
        <v>45623</v>
      </c>
      <c r="E1246" s="13" t="str">
        <f>+HYPERLINK("http://trademark.i-assist.jp/data/china/image_1913th/80504110.pdf","80504110")</f>
        <v>80504110</v>
      </c>
      <c r="F1246" s="11" t="s">
        <v>772</v>
      </c>
      <c r="G1246" s="11" t="s">
        <v>3578</v>
      </c>
      <c r="H1246" s="11" t="s">
        <v>3579</v>
      </c>
      <c r="I1246" s="12">
        <v>45526</v>
      </c>
    </row>
    <row r="1247" spans="1:9" x14ac:dyDescent="0.15">
      <c r="A1247" s="9">
        <v>1246</v>
      </c>
      <c r="B1247" s="10" t="s">
        <v>9</v>
      </c>
      <c r="C1247" s="11" t="s">
        <v>10</v>
      </c>
      <c r="D1247" s="12">
        <v>45623</v>
      </c>
      <c r="E1247" s="13" t="str">
        <f>+HYPERLINK("http://trademark.i-assist.jp/data/china/image_1913th/80513213.pdf","80513213")</f>
        <v>80513213</v>
      </c>
      <c r="F1247" s="11" t="s">
        <v>773</v>
      </c>
      <c r="G1247" s="11" t="s">
        <v>3580</v>
      </c>
      <c r="H1247" s="11" t="s">
        <v>3581</v>
      </c>
      <c r="I1247" s="12">
        <v>45526</v>
      </c>
    </row>
    <row r="1248" spans="1:9" x14ac:dyDescent="0.15">
      <c r="A1248" s="9">
        <v>1247</v>
      </c>
      <c r="B1248" s="10" t="s">
        <v>9</v>
      </c>
      <c r="C1248" s="11" t="s">
        <v>10</v>
      </c>
      <c r="D1248" s="12">
        <v>45623</v>
      </c>
      <c r="E1248" s="13" t="str">
        <f>+HYPERLINK("http://trademark.i-assist.jp/data/china/image_1913th/80518481.pdf","80518481")</f>
        <v>80518481</v>
      </c>
      <c r="F1248" s="11" t="s">
        <v>775</v>
      </c>
      <c r="G1248" s="11" t="s">
        <v>774</v>
      </c>
      <c r="H1248" s="11" t="s">
        <v>3582</v>
      </c>
      <c r="I1248" s="12">
        <v>45526</v>
      </c>
    </row>
    <row r="1249" spans="1:9" x14ac:dyDescent="0.15">
      <c r="A1249" s="9">
        <v>1248</v>
      </c>
      <c r="B1249" s="10" t="s">
        <v>9</v>
      </c>
      <c r="C1249" s="11" t="s">
        <v>10</v>
      </c>
      <c r="D1249" s="12">
        <v>45623</v>
      </c>
      <c r="E1249" s="13" t="str">
        <f>+HYPERLINK("http://trademark.i-assist.jp/data/china/image_1913th/80536286.pdf","80536286")</f>
        <v>80536286</v>
      </c>
      <c r="F1249" s="11" t="s">
        <v>776</v>
      </c>
      <c r="G1249" s="11" t="s">
        <v>3416</v>
      </c>
      <c r="H1249" s="11" t="s">
        <v>1319</v>
      </c>
      <c r="I1249" s="12">
        <v>45527</v>
      </c>
    </row>
    <row r="1250" spans="1:9" x14ac:dyDescent="0.15">
      <c r="A1250" s="9">
        <v>1249</v>
      </c>
      <c r="B1250" s="10" t="s">
        <v>9</v>
      </c>
      <c r="C1250" s="11" t="s">
        <v>10</v>
      </c>
      <c r="D1250" s="12">
        <v>45623</v>
      </c>
      <c r="E1250" s="13" t="str">
        <f>+HYPERLINK("http://trademark.i-assist.jp/data/china/image_1913th/80536572.pdf","80536572")</f>
        <v>80536572</v>
      </c>
      <c r="F1250" s="11" t="s">
        <v>3583</v>
      </c>
      <c r="G1250" s="11" t="s">
        <v>328</v>
      </c>
      <c r="H1250" s="11" t="s">
        <v>1721</v>
      </c>
      <c r="I1250" s="12">
        <v>45527</v>
      </c>
    </row>
    <row r="1251" spans="1:9" x14ac:dyDescent="0.15">
      <c r="A1251" s="9">
        <v>1250</v>
      </c>
      <c r="B1251" s="10" t="s">
        <v>9</v>
      </c>
      <c r="C1251" s="11" t="s">
        <v>10</v>
      </c>
      <c r="D1251" s="12">
        <v>45623</v>
      </c>
      <c r="E1251" s="13" t="str">
        <f>+HYPERLINK("http://trademark.i-assist.jp/data/china/image_1913th/80543070.pdf","80543070")</f>
        <v>80543070</v>
      </c>
      <c r="F1251" s="11" t="s">
        <v>3584</v>
      </c>
      <c r="G1251" s="11" t="s">
        <v>3585</v>
      </c>
      <c r="H1251" s="11" t="s">
        <v>3586</v>
      </c>
      <c r="I1251" s="12">
        <v>45527</v>
      </c>
    </row>
    <row r="1252" spans="1:9" x14ac:dyDescent="0.15">
      <c r="A1252" s="9">
        <v>1251</v>
      </c>
      <c r="B1252" s="10" t="s">
        <v>9</v>
      </c>
      <c r="C1252" s="11" t="s">
        <v>10</v>
      </c>
      <c r="D1252" s="12">
        <v>45623</v>
      </c>
      <c r="E1252" s="13" t="str">
        <f>+HYPERLINK("http://trademark.i-assist.jp/data/china/image_1913th/80545778.pdf","80545778")</f>
        <v>80545778</v>
      </c>
      <c r="F1252" s="11" t="s">
        <v>777</v>
      </c>
      <c r="G1252" s="11" t="s">
        <v>3587</v>
      </c>
      <c r="H1252" s="11" t="s">
        <v>3588</v>
      </c>
      <c r="I1252" s="12">
        <v>45528</v>
      </c>
    </row>
    <row r="1253" spans="1:9" x14ac:dyDescent="0.15">
      <c r="A1253" s="9">
        <v>1252</v>
      </c>
      <c r="B1253" s="10" t="s">
        <v>9</v>
      </c>
      <c r="C1253" s="11" t="s">
        <v>10</v>
      </c>
      <c r="D1253" s="12">
        <v>45623</v>
      </c>
      <c r="E1253" s="13" t="str">
        <f>+HYPERLINK("http://trademark.i-assist.jp/data/china/image_1913th/80549385.pdf","80549385")</f>
        <v>80549385</v>
      </c>
      <c r="F1253" s="11" t="s">
        <v>3589</v>
      </c>
      <c r="G1253" s="11" t="s">
        <v>2539</v>
      </c>
      <c r="H1253" s="11" t="s">
        <v>2540</v>
      </c>
      <c r="I1253" s="12">
        <v>45528</v>
      </c>
    </row>
    <row r="1254" spans="1:9" x14ac:dyDescent="0.15">
      <c r="A1254" s="9">
        <v>1253</v>
      </c>
      <c r="B1254" s="10" t="s">
        <v>9</v>
      </c>
      <c r="C1254" s="11" t="s">
        <v>10</v>
      </c>
      <c r="D1254" s="12">
        <v>45623</v>
      </c>
      <c r="E1254" s="13" t="str">
        <f>+HYPERLINK("http://trademark.i-assist.jp/data/china/image_1913th/79848174.pdf","79848174")</f>
        <v>79848174</v>
      </c>
      <c r="F1254" s="11" t="s">
        <v>3590</v>
      </c>
      <c r="G1254" s="11" t="s">
        <v>3591</v>
      </c>
      <c r="H1254" s="11" t="s">
        <v>3592</v>
      </c>
      <c r="I1254" s="12">
        <v>45490</v>
      </c>
    </row>
    <row r="1255" spans="1:9" x14ac:dyDescent="0.15">
      <c r="A1255" s="9">
        <v>1254</v>
      </c>
      <c r="B1255" s="10" t="s">
        <v>9</v>
      </c>
      <c r="C1255" s="11" t="s">
        <v>10</v>
      </c>
      <c r="D1255" s="12">
        <v>45623</v>
      </c>
      <c r="E1255" s="13" t="str">
        <f>+HYPERLINK("http://trademark.i-assist.jp/data/china/image_1913th/79890745.pdf","79890745")</f>
        <v>79890745</v>
      </c>
      <c r="F1255" s="11" t="s">
        <v>3593</v>
      </c>
      <c r="G1255" s="11" t="s">
        <v>3594</v>
      </c>
      <c r="H1255" s="11" t="s">
        <v>1302</v>
      </c>
      <c r="I1255" s="12">
        <v>45492</v>
      </c>
    </row>
    <row r="1256" spans="1:9" x14ac:dyDescent="0.15">
      <c r="A1256" s="9">
        <v>1255</v>
      </c>
      <c r="B1256" s="10" t="s">
        <v>9</v>
      </c>
      <c r="C1256" s="11" t="s">
        <v>10</v>
      </c>
      <c r="D1256" s="12">
        <v>45623</v>
      </c>
      <c r="E1256" s="13" t="str">
        <f>+HYPERLINK("http://trademark.i-assist.jp/data/china/image_1913th/79953993.pdf","79953993")</f>
        <v>79953993</v>
      </c>
      <c r="F1256" s="11" t="s">
        <v>778</v>
      </c>
      <c r="G1256" s="11" t="s">
        <v>3595</v>
      </c>
      <c r="H1256" s="11" t="s">
        <v>3596</v>
      </c>
      <c r="I1256" s="12">
        <v>45496</v>
      </c>
    </row>
    <row r="1257" spans="1:9" x14ac:dyDescent="0.15">
      <c r="A1257" s="9">
        <v>1256</v>
      </c>
      <c r="B1257" s="10" t="s">
        <v>9</v>
      </c>
      <c r="C1257" s="11" t="s">
        <v>10</v>
      </c>
      <c r="D1257" s="12">
        <v>45623</v>
      </c>
      <c r="E1257" s="13" t="str">
        <f>+HYPERLINK("http://trademark.i-assist.jp/data/china/image_1913th/79958859.pdf","79958859")</f>
        <v>79958859</v>
      </c>
      <c r="F1257" s="11" t="s">
        <v>1335</v>
      </c>
      <c r="G1257" s="11" t="s">
        <v>3597</v>
      </c>
      <c r="H1257" s="11" t="s">
        <v>3598</v>
      </c>
      <c r="I1257" s="12">
        <v>45496</v>
      </c>
    </row>
    <row r="1258" spans="1:9" x14ac:dyDescent="0.15">
      <c r="A1258" s="9">
        <v>1257</v>
      </c>
      <c r="B1258" s="10" t="s">
        <v>9</v>
      </c>
      <c r="C1258" s="11" t="s">
        <v>10</v>
      </c>
      <c r="D1258" s="12">
        <v>45623</v>
      </c>
      <c r="E1258" s="13" t="str">
        <f>+HYPERLINK("http://trademark.i-assist.jp/data/china/image_1913th/80575837.pdf","80575837")</f>
        <v>80575837</v>
      </c>
      <c r="F1258" s="11" t="s">
        <v>779</v>
      </c>
      <c r="G1258" s="11" t="s">
        <v>3599</v>
      </c>
      <c r="H1258" s="11" t="s">
        <v>3600</v>
      </c>
      <c r="I1258" s="12">
        <v>45530</v>
      </c>
    </row>
    <row r="1259" spans="1:9" x14ac:dyDescent="0.15">
      <c r="A1259" s="9">
        <v>1258</v>
      </c>
      <c r="B1259" s="10" t="s">
        <v>9</v>
      </c>
      <c r="C1259" s="11" t="s">
        <v>10</v>
      </c>
      <c r="D1259" s="12">
        <v>45623</v>
      </c>
      <c r="E1259" s="13" t="str">
        <f>+HYPERLINK("http://trademark.i-assist.jp/data/china/image_1913th/80594551.pdf","80594551")</f>
        <v>80594551</v>
      </c>
      <c r="F1259" s="11" t="s">
        <v>780</v>
      </c>
      <c r="G1259" s="11" t="s">
        <v>3601</v>
      </c>
      <c r="H1259" s="11" t="s">
        <v>3602</v>
      </c>
      <c r="I1259" s="12">
        <v>45531</v>
      </c>
    </row>
    <row r="1260" spans="1:9" x14ac:dyDescent="0.15">
      <c r="A1260" s="9">
        <v>1259</v>
      </c>
      <c r="B1260" s="10" t="s">
        <v>9</v>
      </c>
      <c r="C1260" s="11" t="s">
        <v>10</v>
      </c>
      <c r="D1260" s="12">
        <v>45623</v>
      </c>
      <c r="E1260" s="13" t="str">
        <f>+HYPERLINK("http://trademark.i-assist.jp/data/china/image_1913th/80683127.pdf","80683127")</f>
        <v>80683127</v>
      </c>
      <c r="F1260" s="11" t="s">
        <v>781</v>
      </c>
      <c r="G1260" s="11" t="s">
        <v>3603</v>
      </c>
      <c r="H1260" s="11" t="s">
        <v>3604</v>
      </c>
      <c r="I1260" s="12">
        <v>45537</v>
      </c>
    </row>
    <row r="1261" spans="1:9" x14ac:dyDescent="0.15">
      <c r="A1261" s="9">
        <v>1260</v>
      </c>
      <c r="B1261" s="10" t="s">
        <v>9</v>
      </c>
      <c r="C1261" s="11" t="s">
        <v>10</v>
      </c>
      <c r="D1261" s="12">
        <v>45623</v>
      </c>
      <c r="E1261" s="13" t="str">
        <f>+HYPERLINK("http://trademark.i-assist.jp/data/china/image_1913th/80683588.pdf","80683588")</f>
        <v>80683588</v>
      </c>
      <c r="F1261" s="11" t="s">
        <v>782</v>
      </c>
      <c r="G1261" s="11" t="s">
        <v>3605</v>
      </c>
      <c r="H1261" s="11" t="s">
        <v>3606</v>
      </c>
      <c r="I1261" s="12">
        <v>45537</v>
      </c>
    </row>
    <row r="1262" spans="1:9" x14ac:dyDescent="0.15">
      <c r="A1262" s="9">
        <v>1261</v>
      </c>
      <c r="B1262" s="10" t="s">
        <v>9</v>
      </c>
      <c r="C1262" s="11" t="s">
        <v>10</v>
      </c>
      <c r="D1262" s="12">
        <v>45623</v>
      </c>
      <c r="E1262" s="13" t="str">
        <f>+HYPERLINK("http://trademark.i-assist.jp/data/china/image_1913th/80684908.pdf","80684908")</f>
        <v>80684908</v>
      </c>
      <c r="F1262" s="11" t="s">
        <v>3607</v>
      </c>
      <c r="G1262" s="11" t="s">
        <v>1407</v>
      </c>
      <c r="H1262" s="11" t="s">
        <v>1408</v>
      </c>
      <c r="I1262" s="12">
        <v>45537</v>
      </c>
    </row>
    <row r="1263" spans="1:9" x14ac:dyDescent="0.15">
      <c r="A1263" s="9">
        <v>1262</v>
      </c>
      <c r="B1263" s="10" t="s">
        <v>9</v>
      </c>
      <c r="C1263" s="11" t="s">
        <v>10</v>
      </c>
      <c r="D1263" s="12">
        <v>45623</v>
      </c>
      <c r="E1263" s="13" t="str">
        <f>+HYPERLINK("http://trademark.i-assist.jp/data/china/image_1913th/80686925.pdf","80686925")</f>
        <v>80686925</v>
      </c>
      <c r="F1263" s="11" t="s">
        <v>783</v>
      </c>
      <c r="G1263" s="11" t="s">
        <v>3608</v>
      </c>
      <c r="H1263" s="11" t="s">
        <v>3609</v>
      </c>
      <c r="I1263" s="12">
        <v>45537</v>
      </c>
    </row>
    <row r="1264" spans="1:9" x14ac:dyDescent="0.15">
      <c r="A1264" s="9">
        <v>1263</v>
      </c>
      <c r="B1264" s="10" t="s">
        <v>9</v>
      </c>
      <c r="C1264" s="11" t="s">
        <v>10</v>
      </c>
      <c r="D1264" s="12">
        <v>45623</v>
      </c>
      <c r="E1264" s="13" t="str">
        <f>+HYPERLINK("http://trademark.i-assist.jp/data/china/image_1913th/80688206.pdf","80688206")</f>
        <v>80688206</v>
      </c>
      <c r="F1264" s="11" t="s">
        <v>784</v>
      </c>
      <c r="G1264" s="11" t="s">
        <v>3610</v>
      </c>
      <c r="H1264" s="11" t="s">
        <v>1768</v>
      </c>
      <c r="I1264" s="12">
        <v>45537</v>
      </c>
    </row>
    <row r="1265" spans="1:9" x14ac:dyDescent="0.15">
      <c r="A1265" s="9">
        <v>1264</v>
      </c>
      <c r="B1265" s="10" t="s">
        <v>9</v>
      </c>
      <c r="C1265" s="11" t="s">
        <v>10</v>
      </c>
      <c r="D1265" s="12">
        <v>45623</v>
      </c>
      <c r="E1265" s="13" t="str">
        <f>+HYPERLINK("http://trademark.i-assist.jp/data/china/image_1913th/80688524.pdf","80688524")</f>
        <v>80688524</v>
      </c>
      <c r="F1265" s="11" t="s">
        <v>3611</v>
      </c>
      <c r="G1265" s="11" t="s">
        <v>460</v>
      </c>
      <c r="H1265" s="11" t="s">
        <v>1382</v>
      </c>
      <c r="I1265" s="12">
        <v>45537</v>
      </c>
    </row>
    <row r="1266" spans="1:9" x14ac:dyDescent="0.15">
      <c r="A1266" s="9">
        <v>1265</v>
      </c>
      <c r="B1266" s="10" t="s">
        <v>9</v>
      </c>
      <c r="C1266" s="11" t="s">
        <v>10</v>
      </c>
      <c r="D1266" s="12">
        <v>45623</v>
      </c>
      <c r="E1266" s="13" t="str">
        <f>+HYPERLINK("http://trademark.i-assist.jp/data/china/image_1913th/80688718.pdf","80688718")</f>
        <v>80688718</v>
      </c>
      <c r="F1266" s="11" t="s">
        <v>1335</v>
      </c>
      <c r="G1266" s="11" t="s">
        <v>3612</v>
      </c>
      <c r="H1266" s="11" t="s">
        <v>3613</v>
      </c>
      <c r="I1266" s="12">
        <v>45537</v>
      </c>
    </row>
    <row r="1267" spans="1:9" x14ac:dyDescent="0.15">
      <c r="A1267" s="9">
        <v>1266</v>
      </c>
      <c r="B1267" s="10" t="s">
        <v>9</v>
      </c>
      <c r="C1267" s="11" t="s">
        <v>10</v>
      </c>
      <c r="D1267" s="12">
        <v>45623</v>
      </c>
      <c r="E1267" s="13" t="str">
        <f>+HYPERLINK("http://trademark.i-assist.jp/data/china/image_1913th/80691405.pdf","80691405")</f>
        <v>80691405</v>
      </c>
      <c r="F1267" s="11" t="s">
        <v>785</v>
      </c>
      <c r="G1267" s="11" t="s">
        <v>3614</v>
      </c>
      <c r="H1267" s="11" t="s">
        <v>3615</v>
      </c>
      <c r="I1267" s="12">
        <v>45537</v>
      </c>
    </row>
    <row r="1268" spans="1:9" x14ac:dyDescent="0.15">
      <c r="A1268" s="9">
        <v>1267</v>
      </c>
      <c r="B1268" s="10" t="s">
        <v>9</v>
      </c>
      <c r="C1268" s="11" t="s">
        <v>10</v>
      </c>
      <c r="D1268" s="12">
        <v>45623</v>
      </c>
      <c r="E1268" s="13" t="str">
        <f>+HYPERLINK("http://trademark.i-assist.jp/data/china/image_1913th/80701883.pdf","80701883")</f>
        <v>80701883</v>
      </c>
      <c r="F1268" s="11" t="s">
        <v>3616</v>
      </c>
      <c r="G1268" s="11" t="s">
        <v>1806</v>
      </c>
      <c r="H1268" s="11" t="s">
        <v>1807</v>
      </c>
      <c r="I1268" s="12">
        <v>45537</v>
      </c>
    </row>
    <row r="1269" spans="1:9" x14ac:dyDescent="0.15">
      <c r="A1269" s="9">
        <v>1268</v>
      </c>
      <c r="B1269" s="10" t="s">
        <v>9</v>
      </c>
      <c r="C1269" s="11" t="s">
        <v>10</v>
      </c>
      <c r="D1269" s="12">
        <v>45623</v>
      </c>
      <c r="E1269" s="13" t="str">
        <f>+HYPERLINK("http://trademark.i-assist.jp/data/china/image_1913th/80704025.pdf","80704025")</f>
        <v>80704025</v>
      </c>
      <c r="F1269" s="11" t="s">
        <v>787</v>
      </c>
      <c r="G1269" s="11" t="s">
        <v>786</v>
      </c>
      <c r="H1269" s="11" t="s">
        <v>1768</v>
      </c>
      <c r="I1269" s="12">
        <v>45537</v>
      </c>
    </row>
    <row r="1270" spans="1:9" x14ac:dyDescent="0.15">
      <c r="A1270" s="9">
        <v>1269</v>
      </c>
      <c r="B1270" s="10" t="s">
        <v>9</v>
      </c>
      <c r="C1270" s="11" t="s">
        <v>10</v>
      </c>
      <c r="D1270" s="12">
        <v>45623</v>
      </c>
      <c r="E1270" s="13" t="str">
        <f>+HYPERLINK("http://trademark.i-assist.jp/data/china/image_1913th/80337783.pdf","80337783")</f>
        <v>80337783</v>
      </c>
      <c r="F1270" s="11" t="s">
        <v>3617</v>
      </c>
      <c r="G1270" s="11" t="s">
        <v>3618</v>
      </c>
      <c r="H1270" s="11" t="s">
        <v>2809</v>
      </c>
      <c r="I1270" s="12">
        <v>45517</v>
      </c>
    </row>
    <row r="1271" spans="1:9" x14ac:dyDescent="0.15">
      <c r="A1271" s="9">
        <v>1270</v>
      </c>
      <c r="B1271" s="10" t="s">
        <v>9</v>
      </c>
      <c r="C1271" s="11" t="s">
        <v>10</v>
      </c>
      <c r="D1271" s="12">
        <v>45623</v>
      </c>
      <c r="E1271" s="13" t="str">
        <f>+HYPERLINK("http://trademark.i-assist.jp/data/china/image_1913th/80418701.pdf","80418701")</f>
        <v>80418701</v>
      </c>
      <c r="F1271" s="11" t="s">
        <v>3619</v>
      </c>
      <c r="G1271" s="11" t="s">
        <v>788</v>
      </c>
      <c r="H1271" s="11" t="s">
        <v>3620</v>
      </c>
      <c r="I1271" s="12">
        <v>45521</v>
      </c>
    </row>
    <row r="1272" spans="1:9" x14ac:dyDescent="0.15">
      <c r="A1272" s="9">
        <v>1271</v>
      </c>
      <c r="B1272" s="10" t="s">
        <v>9</v>
      </c>
      <c r="C1272" s="11" t="s">
        <v>10</v>
      </c>
      <c r="D1272" s="12">
        <v>45623</v>
      </c>
      <c r="E1272" s="13" t="str">
        <f>+HYPERLINK("http://trademark.i-assist.jp/data/china/image_1913th/80426528.pdf","80426528")</f>
        <v>80426528</v>
      </c>
      <c r="F1272" s="11" t="s">
        <v>789</v>
      </c>
      <c r="G1272" s="11" t="s">
        <v>3621</v>
      </c>
      <c r="H1272" s="11" t="s">
        <v>3622</v>
      </c>
      <c r="I1272" s="12">
        <v>45523</v>
      </c>
    </row>
    <row r="1273" spans="1:9" x14ac:dyDescent="0.15">
      <c r="A1273" s="9">
        <v>1272</v>
      </c>
      <c r="B1273" s="10" t="s">
        <v>9</v>
      </c>
      <c r="C1273" s="11" t="s">
        <v>10</v>
      </c>
      <c r="D1273" s="12">
        <v>45623</v>
      </c>
      <c r="E1273" s="13" t="str">
        <f>+HYPERLINK("http://trademark.i-assist.jp/data/china/image_1913th/80428140.pdf","80428140")</f>
        <v>80428140</v>
      </c>
      <c r="F1273" s="11" t="s">
        <v>3623</v>
      </c>
      <c r="G1273" s="11" t="s">
        <v>790</v>
      </c>
      <c r="H1273" s="11" t="s">
        <v>3624</v>
      </c>
      <c r="I1273" s="12">
        <v>45523</v>
      </c>
    </row>
    <row r="1274" spans="1:9" x14ac:dyDescent="0.15">
      <c r="A1274" s="9">
        <v>1273</v>
      </c>
      <c r="B1274" s="10" t="s">
        <v>9</v>
      </c>
      <c r="C1274" s="11" t="s">
        <v>10</v>
      </c>
      <c r="D1274" s="12">
        <v>45623</v>
      </c>
      <c r="E1274" s="13" t="str">
        <f>+HYPERLINK("http://trademark.i-assist.jp/data/china/image_1913th/80455658.pdf","80455658")</f>
        <v>80455658</v>
      </c>
      <c r="F1274" s="11" t="s">
        <v>791</v>
      </c>
      <c r="G1274" s="11" t="s">
        <v>3625</v>
      </c>
      <c r="H1274" s="11" t="s">
        <v>3626</v>
      </c>
      <c r="I1274" s="12">
        <v>45524</v>
      </c>
    </row>
    <row r="1275" spans="1:9" x14ac:dyDescent="0.15">
      <c r="A1275" s="9">
        <v>1274</v>
      </c>
      <c r="B1275" s="10" t="s">
        <v>9</v>
      </c>
      <c r="C1275" s="11" t="s">
        <v>10</v>
      </c>
      <c r="D1275" s="12">
        <v>45623</v>
      </c>
      <c r="E1275" s="13" t="str">
        <f>+HYPERLINK("http://trademark.i-assist.jp/data/china/image_1913th/80608087.pdf","80608087")</f>
        <v>80608087</v>
      </c>
      <c r="F1275" s="11" t="s">
        <v>3627</v>
      </c>
      <c r="G1275" s="11" t="s">
        <v>3628</v>
      </c>
      <c r="H1275" s="11" t="s">
        <v>3629</v>
      </c>
      <c r="I1275" s="12">
        <v>45532</v>
      </c>
    </row>
    <row r="1276" spans="1:9" x14ac:dyDescent="0.15">
      <c r="A1276" s="9">
        <v>1275</v>
      </c>
      <c r="B1276" s="10" t="s">
        <v>9</v>
      </c>
      <c r="C1276" s="11" t="s">
        <v>10</v>
      </c>
      <c r="D1276" s="12">
        <v>45623</v>
      </c>
      <c r="E1276" s="13" t="str">
        <f>+HYPERLINK("http://trademark.i-assist.jp/data/china/image_1913th/80609568.pdf","80609568")</f>
        <v>80609568</v>
      </c>
      <c r="F1276" s="11" t="s">
        <v>3630</v>
      </c>
      <c r="G1276" s="11" t="s">
        <v>1722</v>
      </c>
      <c r="H1276" s="11" t="s">
        <v>1376</v>
      </c>
      <c r="I1276" s="12">
        <v>45532</v>
      </c>
    </row>
    <row r="1277" spans="1:9" x14ac:dyDescent="0.15">
      <c r="A1277" s="9">
        <v>1276</v>
      </c>
      <c r="B1277" s="10" t="s">
        <v>9</v>
      </c>
      <c r="C1277" s="11" t="s">
        <v>10</v>
      </c>
      <c r="D1277" s="12">
        <v>45623</v>
      </c>
      <c r="E1277" s="13" t="str">
        <f>+HYPERLINK("http://trademark.i-assist.jp/data/china/image_1913th/80610295.pdf","80610295")</f>
        <v>80610295</v>
      </c>
      <c r="F1277" s="11" t="s">
        <v>792</v>
      </c>
      <c r="G1277" s="11" t="s">
        <v>1566</v>
      </c>
      <c r="H1277" s="11" t="s">
        <v>1567</v>
      </c>
      <c r="I1277" s="12">
        <v>45532</v>
      </c>
    </row>
    <row r="1278" spans="1:9" x14ac:dyDescent="0.15">
      <c r="A1278" s="9">
        <v>1277</v>
      </c>
      <c r="B1278" s="10" t="s">
        <v>9</v>
      </c>
      <c r="C1278" s="11" t="s">
        <v>10</v>
      </c>
      <c r="D1278" s="12">
        <v>45623</v>
      </c>
      <c r="E1278" s="13" t="str">
        <f>+HYPERLINK("http://trademark.i-assist.jp/data/china/image_1913th/80610593.pdf","80610593")</f>
        <v>80610593</v>
      </c>
      <c r="F1278" s="11" t="s">
        <v>3631</v>
      </c>
      <c r="G1278" s="11" t="s">
        <v>3632</v>
      </c>
      <c r="H1278" s="11" t="s">
        <v>3633</v>
      </c>
      <c r="I1278" s="12">
        <v>45532</v>
      </c>
    </row>
    <row r="1279" spans="1:9" x14ac:dyDescent="0.15">
      <c r="A1279" s="9">
        <v>1278</v>
      </c>
      <c r="B1279" s="10" t="s">
        <v>9</v>
      </c>
      <c r="C1279" s="11" t="s">
        <v>10</v>
      </c>
      <c r="D1279" s="12">
        <v>45623</v>
      </c>
      <c r="E1279" s="13" t="str">
        <f>+HYPERLINK("http://trademark.i-assist.jp/data/china/image_1913th/80612023.pdf","80612023")</f>
        <v>80612023</v>
      </c>
      <c r="F1279" s="11" t="s">
        <v>3634</v>
      </c>
      <c r="G1279" s="11" t="s">
        <v>145</v>
      </c>
      <c r="H1279" s="11" t="s">
        <v>1666</v>
      </c>
      <c r="I1279" s="12">
        <v>45532</v>
      </c>
    </row>
    <row r="1280" spans="1:9" x14ac:dyDescent="0.15">
      <c r="A1280" s="9">
        <v>1279</v>
      </c>
      <c r="B1280" s="10" t="s">
        <v>9</v>
      </c>
      <c r="C1280" s="11" t="s">
        <v>10</v>
      </c>
      <c r="D1280" s="12">
        <v>45623</v>
      </c>
      <c r="E1280" s="13" t="str">
        <f>+HYPERLINK("http://trademark.i-assist.jp/data/china/image_1913th/80616793.pdf","80616793")</f>
        <v>80616793</v>
      </c>
      <c r="F1280" s="11" t="s">
        <v>793</v>
      </c>
      <c r="G1280" s="11" t="s">
        <v>3635</v>
      </c>
      <c r="H1280" s="11" t="s">
        <v>3636</v>
      </c>
      <c r="I1280" s="12">
        <v>45532</v>
      </c>
    </row>
    <row r="1281" spans="1:9" x14ac:dyDescent="0.15">
      <c r="A1281" s="9">
        <v>1280</v>
      </c>
      <c r="B1281" s="10" t="s">
        <v>9</v>
      </c>
      <c r="C1281" s="11" t="s">
        <v>10</v>
      </c>
      <c r="D1281" s="12">
        <v>45623</v>
      </c>
      <c r="E1281" s="13" t="str">
        <f>+HYPERLINK("http://trademark.i-assist.jp/data/china/image_1913th/80618067.pdf","80618067")</f>
        <v>80618067</v>
      </c>
      <c r="F1281" s="11" t="s">
        <v>3637</v>
      </c>
      <c r="G1281" s="11" t="s">
        <v>3638</v>
      </c>
      <c r="H1281" s="11" t="s">
        <v>3639</v>
      </c>
      <c r="I1281" s="12">
        <v>45532</v>
      </c>
    </row>
    <row r="1282" spans="1:9" x14ac:dyDescent="0.15">
      <c r="A1282" s="9">
        <v>1281</v>
      </c>
      <c r="B1282" s="10" t="s">
        <v>9</v>
      </c>
      <c r="C1282" s="11" t="s">
        <v>10</v>
      </c>
      <c r="D1282" s="12">
        <v>45623</v>
      </c>
      <c r="E1282" s="13" t="str">
        <f>+HYPERLINK("http://trademark.i-assist.jp/data/china/image_1913th/80623042.pdf","80623042")</f>
        <v>80623042</v>
      </c>
      <c r="F1282" s="11" t="s">
        <v>3640</v>
      </c>
      <c r="G1282" s="11" t="s">
        <v>2153</v>
      </c>
      <c r="H1282" s="11" t="s">
        <v>2154</v>
      </c>
      <c r="I1282" s="12">
        <v>45532</v>
      </c>
    </row>
    <row r="1283" spans="1:9" x14ac:dyDescent="0.15">
      <c r="A1283" s="9">
        <v>1282</v>
      </c>
      <c r="B1283" s="10" t="s">
        <v>9</v>
      </c>
      <c r="C1283" s="11" t="s">
        <v>10</v>
      </c>
      <c r="D1283" s="12">
        <v>45623</v>
      </c>
      <c r="E1283" s="13" t="str">
        <f>+HYPERLINK("http://trademark.i-assist.jp/data/china/image_1913th/80624596.pdf","80624596")</f>
        <v>80624596</v>
      </c>
      <c r="F1283" s="11" t="s">
        <v>3641</v>
      </c>
      <c r="G1283" s="11" t="s">
        <v>1611</v>
      </c>
      <c r="H1283" s="11" t="s">
        <v>1612</v>
      </c>
      <c r="I1283" s="12">
        <v>45532</v>
      </c>
    </row>
    <row r="1284" spans="1:9" x14ac:dyDescent="0.15">
      <c r="A1284" s="9">
        <v>1283</v>
      </c>
      <c r="B1284" s="10" t="s">
        <v>9</v>
      </c>
      <c r="C1284" s="11" t="s">
        <v>10</v>
      </c>
      <c r="D1284" s="12">
        <v>45623</v>
      </c>
      <c r="E1284" s="13" t="str">
        <f>+HYPERLINK("http://trademark.i-assist.jp/data/china/image_1913th/80627700.pdf","80627700")</f>
        <v>80627700</v>
      </c>
      <c r="F1284" s="11" t="s">
        <v>794</v>
      </c>
      <c r="G1284" s="11" t="s">
        <v>3642</v>
      </c>
      <c r="H1284" s="11" t="s">
        <v>1588</v>
      </c>
      <c r="I1284" s="12">
        <v>45533</v>
      </c>
    </row>
    <row r="1285" spans="1:9" x14ac:dyDescent="0.15">
      <c r="A1285" s="9">
        <v>1284</v>
      </c>
      <c r="B1285" s="10" t="s">
        <v>9</v>
      </c>
      <c r="C1285" s="11" t="s">
        <v>10</v>
      </c>
      <c r="D1285" s="12">
        <v>45623</v>
      </c>
      <c r="E1285" s="13" t="str">
        <f>+HYPERLINK("http://trademark.i-assist.jp/data/china/image_1913th/80627748.pdf","80627748")</f>
        <v>80627748</v>
      </c>
      <c r="F1285" s="11" t="s">
        <v>3643</v>
      </c>
      <c r="G1285" s="11" t="s">
        <v>3644</v>
      </c>
      <c r="H1285" s="11" t="s">
        <v>3645</v>
      </c>
      <c r="I1285" s="12">
        <v>45533</v>
      </c>
    </row>
    <row r="1286" spans="1:9" x14ac:dyDescent="0.15">
      <c r="A1286" s="9">
        <v>1285</v>
      </c>
      <c r="B1286" s="10" t="s">
        <v>9</v>
      </c>
      <c r="C1286" s="11" t="s">
        <v>10</v>
      </c>
      <c r="D1286" s="12">
        <v>45623</v>
      </c>
      <c r="E1286" s="13" t="str">
        <f>+HYPERLINK("http://trademark.i-assist.jp/data/china/image_1913th/80641801.pdf","80641801")</f>
        <v>80641801</v>
      </c>
      <c r="F1286" s="11" t="s">
        <v>795</v>
      </c>
      <c r="G1286" s="11" t="s">
        <v>3646</v>
      </c>
      <c r="H1286" s="11" t="s">
        <v>2344</v>
      </c>
      <c r="I1286" s="12">
        <v>45533</v>
      </c>
    </row>
    <row r="1287" spans="1:9" x14ac:dyDescent="0.15">
      <c r="A1287" s="9">
        <v>1286</v>
      </c>
      <c r="B1287" s="10" t="s">
        <v>9</v>
      </c>
      <c r="C1287" s="11" t="s">
        <v>10</v>
      </c>
      <c r="D1287" s="12">
        <v>45623</v>
      </c>
      <c r="E1287" s="13" t="str">
        <f>+HYPERLINK("http://trademark.i-assist.jp/data/china/image_1913th/80654480.pdf","80654480")</f>
        <v>80654480</v>
      </c>
      <c r="F1287" s="11" t="s">
        <v>796</v>
      </c>
      <c r="G1287" s="11" t="s">
        <v>3647</v>
      </c>
      <c r="H1287" s="11" t="s">
        <v>3648</v>
      </c>
      <c r="I1287" s="12">
        <v>45534</v>
      </c>
    </row>
    <row r="1288" spans="1:9" x14ac:dyDescent="0.15">
      <c r="A1288" s="9">
        <v>1287</v>
      </c>
      <c r="B1288" s="10" t="s">
        <v>9</v>
      </c>
      <c r="C1288" s="11" t="s">
        <v>10</v>
      </c>
      <c r="D1288" s="12">
        <v>45623</v>
      </c>
      <c r="E1288" s="13" t="str">
        <f>+HYPERLINK("http://trademark.i-assist.jp/data/china/image_1913th/80657062.pdf","80657062")</f>
        <v>80657062</v>
      </c>
      <c r="F1288" s="11" t="s">
        <v>797</v>
      </c>
      <c r="G1288" s="11" t="s">
        <v>3169</v>
      </c>
      <c r="H1288" s="11" t="s">
        <v>1807</v>
      </c>
      <c r="I1288" s="12">
        <v>45534</v>
      </c>
    </row>
    <row r="1289" spans="1:9" x14ac:dyDescent="0.15">
      <c r="A1289" s="9">
        <v>1288</v>
      </c>
      <c r="B1289" s="10" t="s">
        <v>9</v>
      </c>
      <c r="C1289" s="11" t="s">
        <v>10</v>
      </c>
      <c r="D1289" s="12">
        <v>45623</v>
      </c>
      <c r="E1289" s="13" t="str">
        <f>+HYPERLINK("http://trademark.i-assist.jp/data/china/image_1913th/80659863.pdf","80659863")</f>
        <v>80659863</v>
      </c>
      <c r="F1289" s="11" t="s">
        <v>3649</v>
      </c>
      <c r="G1289" s="11" t="s">
        <v>3650</v>
      </c>
      <c r="H1289" s="11" t="s">
        <v>3651</v>
      </c>
      <c r="I1289" s="12">
        <v>45534</v>
      </c>
    </row>
    <row r="1290" spans="1:9" x14ac:dyDescent="0.15">
      <c r="A1290" s="9">
        <v>1289</v>
      </c>
      <c r="B1290" s="10" t="s">
        <v>9</v>
      </c>
      <c r="C1290" s="11" t="s">
        <v>10</v>
      </c>
      <c r="D1290" s="12">
        <v>45623</v>
      </c>
      <c r="E1290" s="13" t="str">
        <f>+HYPERLINK("http://trademark.i-assist.jp/data/china/image_1913th/80662063.pdf","80662063")</f>
        <v>80662063</v>
      </c>
      <c r="F1290" s="11" t="s">
        <v>798</v>
      </c>
      <c r="G1290" s="11" t="s">
        <v>3652</v>
      </c>
      <c r="H1290" s="11" t="s">
        <v>3653</v>
      </c>
      <c r="I1290" s="12">
        <v>45534</v>
      </c>
    </row>
    <row r="1291" spans="1:9" x14ac:dyDescent="0.15">
      <c r="A1291" s="9">
        <v>1290</v>
      </c>
      <c r="B1291" s="10" t="s">
        <v>9</v>
      </c>
      <c r="C1291" s="11" t="s">
        <v>10</v>
      </c>
      <c r="D1291" s="12">
        <v>45623</v>
      </c>
      <c r="E1291" s="13" t="str">
        <f>+HYPERLINK("http://trademark.i-assist.jp/data/china/image_1913th/80664586.pdf","80664586")</f>
        <v>80664586</v>
      </c>
      <c r="F1291" s="11" t="s">
        <v>3654</v>
      </c>
      <c r="G1291" s="11" t="s">
        <v>3655</v>
      </c>
      <c r="H1291" s="11" t="s">
        <v>3656</v>
      </c>
      <c r="I1291" s="12">
        <v>45534</v>
      </c>
    </row>
    <row r="1292" spans="1:9" x14ac:dyDescent="0.15">
      <c r="A1292" s="9">
        <v>1291</v>
      </c>
      <c r="B1292" s="10" t="s">
        <v>9</v>
      </c>
      <c r="C1292" s="11" t="s">
        <v>10</v>
      </c>
      <c r="D1292" s="12">
        <v>45623</v>
      </c>
      <c r="E1292" s="13" t="str">
        <f>+HYPERLINK("http://trademark.i-assist.jp/data/china/image_1913th/80669964.pdf","80669964")</f>
        <v>80669964</v>
      </c>
      <c r="F1292" s="11" t="s">
        <v>799</v>
      </c>
      <c r="G1292" s="11" t="s">
        <v>3657</v>
      </c>
      <c r="H1292" s="11" t="s">
        <v>3658</v>
      </c>
      <c r="I1292" s="12">
        <v>45534</v>
      </c>
    </row>
    <row r="1293" spans="1:9" x14ac:dyDescent="0.15">
      <c r="A1293" s="9">
        <v>1292</v>
      </c>
      <c r="B1293" s="10" t="s">
        <v>9</v>
      </c>
      <c r="C1293" s="11" t="s">
        <v>10</v>
      </c>
      <c r="D1293" s="12">
        <v>45623</v>
      </c>
      <c r="E1293" s="13" t="str">
        <f>+HYPERLINK("http://trademark.i-assist.jp/data/china/image_1913th/80677622.pdf","80677622")</f>
        <v>80677622</v>
      </c>
      <c r="F1293" s="11" t="s">
        <v>800</v>
      </c>
      <c r="G1293" s="11" t="s">
        <v>51</v>
      </c>
      <c r="H1293" s="11" t="s">
        <v>3659</v>
      </c>
      <c r="I1293" s="12">
        <v>45535</v>
      </c>
    </row>
    <row r="1294" spans="1:9" x14ac:dyDescent="0.15">
      <c r="A1294" s="9">
        <v>1293</v>
      </c>
      <c r="B1294" s="10" t="s">
        <v>9</v>
      </c>
      <c r="C1294" s="11" t="s">
        <v>10</v>
      </c>
      <c r="D1294" s="12">
        <v>45623</v>
      </c>
      <c r="E1294" s="13" t="str">
        <f>+HYPERLINK("http://trademark.i-assist.jp/data/china/image_1913th/67353614.pdf","67353614")</f>
        <v>67353614</v>
      </c>
      <c r="F1294" s="11" t="s">
        <v>801</v>
      </c>
      <c r="G1294" s="11" t="s">
        <v>3660</v>
      </c>
      <c r="H1294" s="11" t="s">
        <v>1298</v>
      </c>
      <c r="I1294" s="12">
        <v>44826</v>
      </c>
    </row>
    <row r="1295" spans="1:9" x14ac:dyDescent="0.15">
      <c r="A1295" s="9">
        <v>1294</v>
      </c>
      <c r="B1295" s="10" t="s">
        <v>9</v>
      </c>
      <c r="C1295" s="11" t="s">
        <v>10</v>
      </c>
      <c r="D1295" s="12">
        <v>45623</v>
      </c>
      <c r="E1295" s="13" t="str">
        <f>+HYPERLINK("http://trademark.i-assist.jp/data/china/image_1913th/67446112.pdf","67446112")</f>
        <v>67446112</v>
      </c>
      <c r="F1295" s="11" t="s">
        <v>575</v>
      </c>
      <c r="G1295" s="11" t="s">
        <v>2981</v>
      </c>
      <c r="H1295" s="11" t="s">
        <v>2982</v>
      </c>
      <c r="I1295" s="12">
        <v>44831</v>
      </c>
    </row>
    <row r="1296" spans="1:9" x14ac:dyDescent="0.15">
      <c r="A1296" s="9">
        <v>1295</v>
      </c>
      <c r="B1296" s="10" t="s">
        <v>9</v>
      </c>
      <c r="C1296" s="11" t="s">
        <v>10</v>
      </c>
      <c r="D1296" s="12">
        <v>45623</v>
      </c>
      <c r="E1296" s="13" t="str">
        <f>+HYPERLINK("http://trademark.i-assist.jp/data/china/image_1913th/72150064.pdf","72150064")</f>
        <v>72150064</v>
      </c>
      <c r="F1296" s="11" t="s">
        <v>3661</v>
      </c>
      <c r="G1296" s="11" t="s">
        <v>3662</v>
      </c>
      <c r="H1296" s="11" t="s">
        <v>3663</v>
      </c>
      <c r="I1296" s="12">
        <v>45087</v>
      </c>
    </row>
    <row r="1297" spans="1:9" x14ac:dyDescent="0.15">
      <c r="A1297" s="9">
        <v>1296</v>
      </c>
      <c r="B1297" s="10" t="s">
        <v>9</v>
      </c>
      <c r="C1297" s="11" t="s">
        <v>10</v>
      </c>
      <c r="D1297" s="12">
        <v>45623</v>
      </c>
      <c r="E1297" s="13" t="str">
        <f>+HYPERLINK("http://trademark.i-assist.jp/data/china/image_1913th/73537981.pdf","73537981")</f>
        <v>73537981</v>
      </c>
      <c r="F1297" s="11" t="s">
        <v>803</v>
      </c>
      <c r="G1297" s="11" t="s">
        <v>802</v>
      </c>
      <c r="H1297" s="11" t="s">
        <v>3664</v>
      </c>
      <c r="I1297" s="12">
        <v>45155</v>
      </c>
    </row>
    <row r="1298" spans="1:9" x14ac:dyDescent="0.15">
      <c r="A1298" s="9">
        <v>1297</v>
      </c>
      <c r="B1298" s="10" t="s">
        <v>9</v>
      </c>
      <c r="C1298" s="11" t="s">
        <v>10</v>
      </c>
      <c r="D1298" s="12">
        <v>45623</v>
      </c>
      <c r="E1298" s="13" t="str">
        <f>+HYPERLINK("http://trademark.i-assist.jp/data/china/image_1913th/77768486.pdf","77768486")</f>
        <v>77768486</v>
      </c>
      <c r="F1298" s="11" t="s">
        <v>804</v>
      </c>
      <c r="G1298" s="11" t="s">
        <v>3665</v>
      </c>
      <c r="H1298" s="11" t="s">
        <v>3666</v>
      </c>
      <c r="I1298" s="12">
        <v>45387</v>
      </c>
    </row>
    <row r="1299" spans="1:9" x14ac:dyDescent="0.15">
      <c r="A1299" s="9">
        <v>1298</v>
      </c>
      <c r="B1299" s="10" t="s">
        <v>9</v>
      </c>
      <c r="C1299" s="11" t="s">
        <v>10</v>
      </c>
      <c r="D1299" s="12">
        <v>45623</v>
      </c>
      <c r="E1299" s="13" t="str">
        <f>+HYPERLINK("http://trademark.i-assist.jp/data/china/image_1913th/77812735.pdf","77812735")</f>
        <v>77812735</v>
      </c>
      <c r="F1299" s="11" t="s">
        <v>805</v>
      </c>
      <c r="G1299" s="11" t="s">
        <v>3667</v>
      </c>
      <c r="H1299" s="11" t="s">
        <v>3668</v>
      </c>
      <c r="I1299" s="12">
        <v>45390</v>
      </c>
    </row>
    <row r="1300" spans="1:9" x14ac:dyDescent="0.15">
      <c r="A1300" s="9">
        <v>1299</v>
      </c>
      <c r="B1300" s="10" t="s">
        <v>9</v>
      </c>
      <c r="C1300" s="11" t="s">
        <v>10</v>
      </c>
      <c r="D1300" s="12">
        <v>45623</v>
      </c>
      <c r="E1300" s="13" t="str">
        <f>+HYPERLINK("http://trademark.i-assist.jp/data/china/image_1913th/78924841.pdf","78924841")</f>
        <v>78924841</v>
      </c>
      <c r="F1300" s="11" t="s">
        <v>806</v>
      </c>
      <c r="G1300" s="11" t="s">
        <v>260</v>
      </c>
      <c r="H1300" s="11" t="s">
        <v>2032</v>
      </c>
      <c r="I1300" s="12">
        <v>45442</v>
      </c>
    </row>
    <row r="1301" spans="1:9" x14ac:dyDescent="0.15">
      <c r="A1301" s="9">
        <v>1300</v>
      </c>
      <c r="B1301" s="10" t="s">
        <v>9</v>
      </c>
      <c r="C1301" s="11" t="s">
        <v>10</v>
      </c>
      <c r="D1301" s="12">
        <v>45623</v>
      </c>
      <c r="E1301" s="13" t="str">
        <f>+HYPERLINK("http://trademark.i-assist.jp/data/china/image_1913th/80707558.pdf","80707558")</f>
        <v>80707558</v>
      </c>
      <c r="F1301" s="11" t="s">
        <v>808</v>
      </c>
      <c r="G1301" s="11" t="s">
        <v>807</v>
      </c>
      <c r="H1301" s="11" t="s">
        <v>3669</v>
      </c>
      <c r="I1301" s="12">
        <v>45538</v>
      </c>
    </row>
    <row r="1302" spans="1:9" x14ac:dyDescent="0.15">
      <c r="A1302" s="9">
        <v>1301</v>
      </c>
      <c r="B1302" s="10" t="s">
        <v>9</v>
      </c>
      <c r="C1302" s="11" t="s">
        <v>10</v>
      </c>
      <c r="D1302" s="12">
        <v>45623</v>
      </c>
      <c r="E1302" s="13" t="str">
        <f>+HYPERLINK("http://trademark.i-assist.jp/data/china/image_1913th/80712818.pdf","80712818")</f>
        <v>80712818</v>
      </c>
      <c r="F1302" s="11" t="s">
        <v>1335</v>
      </c>
      <c r="G1302" s="11" t="s">
        <v>809</v>
      </c>
      <c r="H1302" s="11" t="s">
        <v>3670</v>
      </c>
      <c r="I1302" s="12">
        <v>45538</v>
      </c>
    </row>
    <row r="1303" spans="1:9" x14ac:dyDescent="0.15">
      <c r="A1303" s="9">
        <v>1302</v>
      </c>
      <c r="B1303" s="10" t="s">
        <v>9</v>
      </c>
      <c r="C1303" s="11" t="s">
        <v>10</v>
      </c>
      <c r="D1303" s="12">
        <v>45623</v>
      </c>
      <c r="E1303" s="13" t="str">
        <f>+HYPERLINK("http://trademark.i-assist.jp/data/china/image_1913th/80714962.pdf","80714962")</f>
        <v>80714962</v>
      </c>
      <c r="F1303" s="11" t="s">
        <v>3671</v>
      </c>
      <c r="G1303" s="11" t="s">
        <v>1780</v>
      </c>
      <c r="H1303" s="11" t="s">
        <v>1781</v>
      </c>
      <c r="I1303" s="12">
        <v>45538</v>
      </c>
    </row>
    <row r="1304" spans="1:9" x14ac:dyDescent="0.15">
      <c r="A1304" s="9">
        <v>1303</v>
      </c>
      <c r="B1304" s="10" t="s">
        <v>9</v>
      </c>
      <c r="C1304" s="11" t="s">
        <v>10</v>
      </c>
      <c r="D1304" s="12">
        <v>45623</v>
      </c>
      <c r="E1304" s="13" t="str">
        <f>+HYPERLINK("http://trademark.i-assist.jp/data/china/image_1913th/80788884.pdf","80788884")</f>
        <v>80788884</v>
      </c>
      <c r="F1304" s="11" t="s">
        <v>3672</v>
      </c>
      <c r="G1304" s="11" t="s">
        <v>1400</v>
      </c>
      <c r="H1304" s="11" t="s">
        <v>1401</v>
      </c>
      <c r="I1304" s="12">
        <v>45541</v>
      </c>
    </row>
    <row r="1305" spans="1:9" x14ac:dyDescent="0.15">
      <c r="A1305" s="9">
        <v>1304</v>
      </c>
      <c r="B1305" s="10" t="s">
        <v>9</v>
      </c>
      <c r="C1305" s="11" t="s">
        <v>10</v>
      </c>
      <c r="D1305" s="12">
        <v>45623</v>
      </c>
      <c r="E1305" s="13" t="str">
        <f>+HYPERLINK("http://trademark.i-assist.jp/data/china/image_1913th/80796562.pdf","80796562")</f>
        <v>80796562</v>
      </c>
      <c r="F1305" s="11" t="s">
        <v>1335</v>
      </c>
      <c r="G1305" s="11" t="s">
        <v>3553</v>
      </c>
      <c r="H1305" s="11" t="s">
        <v>3554</v>
      </c>
      <c r="I1305" s="12">
        <v>45541</v>
      </c>
    </row>
    <row r="1306" spans="1:9" x14ac:dyDescent="0.15">
      <c r="A1306" s="9">
        <v>1305</v>
      </c>
      <c r="B1306" s="10" t="s">
        <v>9</v>
      </c>
      <c r="C1306" s="11" t="s">
        <v>10</v>
      </c>
      <c r="D1306" s="12">
        <v>45623</v>
      </c>
      <c r="E1306" s="13" t="str">
        <f>+HYPERLINK("http://trademark.i-assist.jp/data/china/image_1913th/80801177.pdf","80801177")</f>
        <v>80801177</v>
      </c>
      <c r="F1306" s="11" t="s">
        <v>811</v>
      </c>
      <c r="G1306" s="11" t="s">
        <v>810</v>
      </c>
      <c r="H1306" s="11" t="s">
        <v>3673</v>
      </c>
      <c r="I1306" s="12">
        <v>45541</v>
      </c>
    </row>
    <row r="1307" spans="1:9" x14ac:dyDescent="0.15">
      <c r="A1307" s="9">
        <v>1306</v>
      </c>
      <c r="B1307" s="10" t="s">
        <v>9</v>
      </c>
      <c r="C1307" s="11" t="s">
        <v>10</v>
      </c>
      <c r="D1307" s="12">
        <v>45623</v>
      </c>
      <c r="E1307" s="13" t="str">
        <f>+HYPERLINK("http://trademark.i-assist.jp/data/china/image_1913th/80810464.pdf","80810464")</f>
        <v>80810464</v>
      </c>
      <c r="F1307" s="11" t="s">
        <v>812</v>
      </c>
      <c r="G1307" s="11" t="s">
        <v>1842</v>
      </c>
      <c r="H1307" s="11" t="s">
        <v>1843</v>
      </c>
      <c r="I1307" s="12">
        <v>45544</v>
      </c>
    </row>
    <row r="1308" spans="1:9" x14ac:dyDescent="0.15">
      <c r="A1308" s="9">
        <v>1307</v>
      </c>
      <c r="B1308" s="10" t="s">
        <v>9</v>
      </c>
      <c r="C1308" s="11" t="s">
        <v>10</v>
      </c>
      <c r="D1308" s="12">
        <v>45623</v>
      </c>
      <c r="E1308" s="13" t="str">
        <f>+HYPERLINK("http://trademark.i-assist.jp/data/china/image_1913th/80822052.pdf","80822052")</f>
        <v>80822052</v>
      </c>
      <c r="F1308" s="11" t="s">
        <v>3674</v>
      </c>
      <c r="G1308" s="11" t="s">
        <v>3675</v>
      </c>
      <c r="H1308" s="11" t="s">
        <v>3676</v>
      </c>
      <c r="I1308" s="12">
        <v>45544</v>
      </c>
    </row>
    <row r="1309" spans="1:9" x14ac:dyDescent="0.15">
      <c r="A1309" s="9">
        <v>1308</v>
      </c>
      <c r="B1309" s="10" t="s">
        <v>9</v>
      </c>
      <c r="C1309" s="11" t="s">
        <v>10</v>
      </c>
      <c r="D1309" s="12">
        <v>45623</v>
      </c>
      <c r="E1309" s="13" t="str">
        <f>+HYPERLINK("http://trademark.i-assist.jp/data/china/image_1913th/80823126.pdf","80823126")</f>
        <v>80823126</v>
      </c>
      <c r="F1309" s="11" t="s">
        <v>813</v>
      </c>
      <c r="G1309" s="11" t="s">
        <v>3677</v>
      </c>
      <c r="H1309" s="11" t="s">
        <v>3678</v>
      </c>
      <c r="I1309" s="12">
        <v>45544</v>
      </c>
    </row>
    <row r="1310" spans="1:9" x14ac:dyDescent="0.15">
      <c r="A1310" s="9">
        <v>1309</v>
      </c>
      <c r="B1310" s="10" t="s">
        <v>9</v>
      </c>
      <c r="C1310" s="11" t="s">
        <v>10</v>
      </c>
      <c r="D1310" s="12">
        <v>45623</v>
      </c>
      <c r="E1310" s="13" t="str">
        <f>+HYPERLINK("http://trademark.i-assist.jp/data/china/image_1913th/80823695.pdf","80823695")</f>
        <v>80823695</v>
      </c>
      <c r="F1310" s="11" t="s">
        <v>814</v>
      </c>
      <c r="G1310" s="11" t="s">
        <v>3009</v>
      </c>
      <c r="H1310" s="11" t="s">
        <v>3010</v>
      </c>
      <c r="I1310" s="12">
        <v>45544</v>
      </c>
    </row>
    <row r="1311" spans="1:9" x14ac:dyDescent="0.15">
      <c r="A1311" s="9">
        <v>1310</v>
      </c>
      <c r="B1311" s="10" t="s">
        <v>9</v>
      </c>
      <c r="C1311" s="11" t="s">
        <v>10</v>
      </c>
      <c r="D1311" s="12">
        <v>45623</v>
      </c>
      <c r="E1311" s="13" t="str">
        <f>+HYPERLINK("http://trademark.i-assist.jp/data/china/image_1913th/80740309.pdf","80740309")</f>
        <v>80740309</v>
      </c>
      <c r="F1311" s="11" t="s">
        <v>3679</v>
      </c>
      <c r="G1311" s="11" t="s">
        <v>3680</v>
      </c>
      <c r="H1311" s="11" t="s">
        <v>2762</v>
      </c>
      <c r="I1311" s="12">
        <v>45539</v>
      </c>
    </row>
    <row r="1312" spans="1:9" x14ac:dyDescent="0.15">
      <c r="A1312" s="9">
        <v>1311</v>
      </c>
      <c r="B1312" s="10" t="s">
        <v>9</v>
      </c>
      <c r="C1312" s="11" t="s">
        <v>10</v>
      </c>
      <c r="D1312" s="12">
        <v>45623</v>
      </c>
      <c r="E1312" s="13" t="str">
        <f>+HYPERLINK("http://trademark.i-assist.jp/data/china/image_1913th/80741600.pdf","80741600")</f>
        <v>80741600</v>
      </c>
      <c r="F1312" s="11" t="s">
        <v>3681</v>
      </c>
      <c r="G1312" s="11" t="s">
        <v>815</v>
      </c>
      <c r="H1312" s="11" t="s">
        <v>3682</v>
      </c>
      <c r="I1312" s="12">
        <v>45539</v>
      </c>
    </row>
    <row r="1313" spans="1:9" x14ac:dyDescent="0.15">
      <c r="A1313" s="9">
        <v>1312</v>
      </c>
      <c r="B1313" s="10" t="s">
        <v>9</v>
      </c>
      <c r="C1313" s="11" t="s">
        <v>10</v>
      </c>
      <c r="D1313" s="12">
        <v>45623</v>
      </c>
      <c r="E1313" s="13" t="str">
        <f>+HYPERLINK("http://trademark.i-assist.jp/data/china/image_1913th/80743121.pdf","80743121")</f>
        <v>80743121</v>
      </c>
      <c r="F1313" s="11" t="s">
        <v>816</v>
      </c>
      <c r="G1313" s="11" t="s">
        <v>3683</v>
      </c>
      <c r="H1313" s="11" t="s">
        <v>1306</v>
      </c>
      <c r="I1313" s="12">
        <v>45539</v>
      </c>
    </row>
    <row r="1314" spans="1:9" x14ac:dyDescent="0.15">
      <c r="A1314" s="9">
        <v>1313</v>
      </c>
      <c r="B1314" s="10" t="s">
        <v>9</v>
      </c>
      <c r="C1314" s="11" t="s">
        <v>10</v>
      </c>
      <c r="D1314" s="12">
        <v>45623</v>
      </c>
      <c r="E1314" s="13" t="str">
        <f>+HYPERLINK("http://trademark.i-assist.jp/data/china/image_1913th/80744907.pdf","80744907")</f>
        <v>80744907</v>
      </c>
      <c r="F1314" s="11" t="s">
        <v>817</v>
      </c>
      <c r="G1314" s="11" t="s">
        <v>1798</v>
      </c>
      <c r="H1314" s="11" t="s">
        <v>1799</v>
      </c>
      <c r="I1314" s="12">
        <v>45539</v>
      </c>
    </row>
    <row r="1315" spans="1:9" x14ac:dyDescent="0.15">
      <c r="A1315" s="9">
        <v>1314</v>
      </c>
      <c r="B1315" s="10" t="s">
        <v>9</v>
      </c>
      <c r="C1315" s="11" t="s">
        <v>10</v>
      </c>
      <c r="D1315" s="12">
        <v>45623</v>
      </c>
      <c r="E1315" s="13" t="str">
        <f>+HYPERLINK("http://trademark.i-assist.jp/data/china/image_1913th/80750483.pdf","80750483")</f>
        <v>80750483</v>
      </c>
      <c r="F1315" s="11" t="s">
        <v>818</v>
      </c>
      <c r="G1315" s="11" t="s">
        <v>3684</v>
      </c>
      <c r="H1315" s="11" t="s">
        <v>3685</v>
      </c>
      <c r="I1315" s="12">
        <v>45539</v>
      </c>
    </row>
    <row r="1316" spans="1:9" x14ac:dyDescent="0.15">
      <c r="A1316" s="9">
        <v>1315</v>
      </c>
      <c r="B1316" s="10" t="s">
        <v>9</v>
      </c>
      <c r="C1316" s="11" t="s">
        <v>10</v>
      </c>
      <c r="D1316" s="12">
        <v>45623</v>
      </c>
      <c r="E1316" s="13" t="str">
        <f>+HYPERLINK("http://trademark.i-assist.jp/data/china/image_1913th/80754768.pdf","80754768")</f>
        <v>80754768</v>
      </c>
      <c r="F1316" s="11" t="s">
        <v>3686</v>
      </c>
      <c r="G1316" s="11" t="s">
        <v>1984</v>
      </c>
      <c r="H1316" s="11" t="s">
        <v>1401</v>
      </c>
      <c r="I1316" s="12">
        <v>45540</v>
      </c>
    </row>
    <row r="1317" spans="1:9" x14ac:dyDescent="0.15">
      <c r="A1317" s="9">
        <v>1316</v>
      </c>
      <c r="B1317" s="10" t="s">
        <v>9</v>
      </c>
      <c r="C1317" s="11" t="s">
        <v>10</v>
      </c>
      <c r="D1317" s="12">
        <v>45623</v>
      </c>
      <c r="E1317" s="13" t="str">
        <f>+HYPERLINK("http://trademark.i-assist.jp/data/china/image_1913th/80902231.pdf","80902231")</f>
        <v>80902231</v>
      </c>
      <c r="F1317" s="11" t="s">
        <v>820</v>
      </c>
      <c r="G1317" s="11" t="s">
        <v>819</v>
      </c>
      <c r="H1317" s="11" t="s">
        <v>3687</v>
      </c>
      <c r="I1317" s="12">
        <v>45547</v>
      </c>
    </row>
    <row r="1318" spans="1:9" x14ac:dyDescent="0.15">
      <c r="A1318" s="9">
        <v>1317</v>
      </c>
      <c r="B1318" s="10" t="s">
        <v>9</v>
      </c>
      <c r="C1318" s="11" t="s">
        <v>10</v>
      </c>
      <c r="D1318" s="12">
        <v>45623</v>
      </c>
      <c r="E1318" s="13" t="str">
        <f>+HYPERLINK("http://trademark.i-assist.jp/data/china/image_1913th/80908832.pdf","80908832")</f>
        <v>80908832</v>
      </c>
      <c r="F1318" s="11" t="s">
        <v>821</v>
      </c>
      <c r="G1318" s="11" t="s">
        <v>3688</v>
      </c>
      <c r="H1318" s="11" t="s">
        <v>3689</v>
      </c>
      <c r="I1318" s="12">
        <v>45548</v>
      </c>
    </row>
    <row r="1319" spans="1:9" x14ac:dyDescent="0.15">
      <c r="A1319" s="9">
        <v>1318</v>
      </c>
      <c r="B1319" s="10" t="s">
        <v>9</v>
      </c>
      <c r="C1319" s="11" t="s">
        <v>10</v>
      </c>
      <c r="D1319" s="12">
        <v>45623</v>
      </c>
      <c r="E1319" s="13" t="str">
        <f>+HYPERLINK("http://trademark.i-assist.jp/data/china/image_1913th/80927126.pdf","80927126")</f>
        <v>80927126</v>
      </c>
      <c r="F1319" s="11" t="s">
        <v>3690</v>
      </c>
      <c r="G1319" s="11" t="s">
        <v>200</v>
      </c>
      <c r="H1319" s="11" t="s">
        <v>1851</v>
      </c>
      <c r="I1319" s="12">
        <v>45549</v>
      </c>
    </row>
    <row r="1320" spans="1:9" x14ac:dyDescent="0.15">
      <c r="A1320" s="9">
        <v>1319</v>
      </c>
      <c r="B1320" s="10" t="s">
        <v>9</v>
      </c>
      <c r="C1320" s="11" t="s">
        <v>10</v>
      </c>
      <c r="D1320" s="12">
        <v>45623</v>
      </c>
      <c r="E1320" s="13" t="str">
        <f>+HYPERLINK("http://trademark.i-assist.jp/data/china/image_1913th/80942499.pdf","80942499")</f>
        <v>80942499</v>
      </c>
      <c r="F1320" s="11" t="s">
        <v>3691</v>
      </c>
      <c r="G1320" s="11" t="s">
        <v>3520</v>
      </c>
      <c r="H1320" s="11" t="s">
        <v>3521</v>
      </c>
      <c r="I1320" s="12">
        <v>45549</v>
      </c>
    </row>
    <row r="1321" spans="1:9" x14ac:dyDescent="0.15">
      <c r="A1321" s="9">
        <v>1320</v>
      </c>
      <c r="B1321" s="10" t="s">
        <v>9</v>
      </c>
      <c r="C1321" s="11" t="s">
        <v>10</v>
      </c>
      <c r="D1321" s="12">
        <v>45623</v>
      </c>
      <c r="E1321" s="13" t="str">
        <f>+HYPERLINK("http://trademark.i-assist.jp/data/china/image_1913th/80958594.pdf","80958594")</f>
        <v>80958594</v>
      </c>
      <c r="F1321" s="11" t="s">
        <v>3692</v>
      </c>
      <c r="G1321" s="11" t="s">
        <v>3693</v>
      </c>
      <c r="H1321" s="11" t="s">
        <v>3694</v>
      </c>
      <c r="I1321" s="12">
        <v>45552</v>
      </c>
    </row>
    <row r="1322" spans="1:9" x14ac:dyDescent="0.15">
      <c r="A1322" s="9">
        <v>1321</v>
      </c>
      <c r="B1322" s="10" t="s">
        <v>9</v>
      </c>
      <c r="C1322" s="11" t="s">
        <v>10</v>
      </c>
      <c r="D1322" s="12">
        <v>45623</v>
      </c>
      <c r="E1322" s="13" t="str">
        <f>+HYPERLINK("http://trademark.i-assist.jp/data/china/image_1913th/80838737.pdf","80838737")</f>
        <v>80838737</v>
      </c>
      <c r="F1322" s="11" t="s">
        <v>822</v>
      </c>
      <c r="G1322" s="11" t="s">
        <v>2419</v>
      </c>
      <c r="H1322" s="11" t="s">
        <v>2420</v>
      </c>
      <c r="I1322" s="12">
        <v>45545</v>
      </c>
    </row>
    <row r="1323" spans="1:9" x14ac:dyDescent="0.15">
      <c r="A1323" s="9">
        <v>1322</v>
      </c>
      <c r="B1323" s="10" t="s">
        <v>9</v>
      </c>
      <c r="C1323" s="11" t="s">
        <v>10</v>
      </c>
      <c r="D1323" s="12">
        <v>45623</v>
      </c>
      <c r="E1323" s="13" t="str">
        <f>+HYPERLINK("http://trademark.i-assist.jp/data/china/image_1913th/80842721.pdf","80842721")</f>
        <v>80842721</v>
      </c>
      <c r="F1323" s="11" t="s">
        <v>823</v>
      </c>
      <c r="G1323" s="11" t="s">
        <v>1457</v>
      </c>
      <c r="H1323" s="11" t="s">
        <v>2415</v>
      </c>
      <c r="I1323" s="12">
        <v>45545</v>
      </c>
    </row>
    <row r="1324" spans="1:9" x14ac:dyDescent="0.15">
      <c r="A1324" s="9">
        <v>1323</v>
      </c>
      <c r="B1324" s="10" t="s">
        <v>9</v>
      </c>
      <c r="C1324" s="11" t="s">
        <v>10</v>
      </c>
      <c r="D1324" s="12">
        <v>45623</v>
      </c>
      <c r="E1324" s="13" t="str">
        <f>+HYPERLINK("http://trademark.i-assist.jp/data/china/image_1913th/80872557.pdf","80872557")</f>
        <v>80872557</v>
      </c>
      <c r="F1324" s="11" t="s">
        <v>824</v>
      </c>
      <c r="G1324" s="11" t="s">
        <v>3695</v>
      </c>
      <c r="H1324" s="11" t="s">
        <v>1831</v>
      </c>
      <c r="I1324" s="12">
        <v>45546</v>
      </c>
    </row>
    <row r="1325" spans="1:9" x14ac:dyDescent="0.15">
      <c r="A1325" s="9">
        <v>1324</v>
      </c>
      <c r="B1325" s="10" t="s">
        <v>9</v>
      </c>
      <c r="C1325" s="11" t="s">
        <v>10</v>
      </c>
      <c r="D1325" s="12">
        <v>45623</v>
      </c>
      <c r="E1325" s="13" t="str">
        <f>+HYPERLINK("http://trademark.i-assist.jp/data/china/image_1913th/80873753.pdf","80873753")</f>
        <v>80873753</v>
      </c>
      <c r="F1325" s="11" t="s">
        <v>825</v>
      </c>
      <c r="G1325" s="11" t="s">
        <v>3696</v>
      </c>
      <c r="H1325" s="11" t="s">
        <v>3697</v>
      </c>
      <c r="I1325" s="12">
        <v>45546</v>
      </c>
    </row>
    <row r="1326" spans="1:9" x14ac:dyDescent="0.15">
      <c r="A1326" s="9">
        <v>1325</v>
      </c>
      <c r="B1326" s="10" t="s">
        <v>9</v>
      </c>
      <c r="C1326" s="11" t="s">
        <v>10</v>
      </c>
      <c r="D1326" s="12">
        <v>45623</v>
      </c>
      <c r="E1326" s="13" t="str">
        <f>+HYPERLINK("http://trademark.i-assist.jp/data/china/image_1913th/80875870.pdf","80875870")</f>
        <v>80875870</v>
      </c>
      <c r="F1326" s="11" t="s">
        <v>3698</v>
      </c>
      <c r="G1326" s="11" t="s">
        <v>3699</v>
      </c>
      <c r="H1326" s="11" t="s">
        <v>3700</v>
      </c>
      <c r="I1326" s="12">
        <v>45546</v>
      </c>
    </row>
    <row r="1327" spans="1:9" x14ac:dyDescent="0.15">
      <c r="A1327" s="9">
        <v>1326</v>
      </c>
      <c r="B1327" s="10" t="s">
        <v>9</v>
      </c>
      <c r="C1327" s="11" t="s">
        <v>10</v>
      </c>
      <c r="D1327" s="12">
        <v>45623</v>
      </c>
      <c r="E1327" s="13" t="str">
        <f>+HYPERLINK("http://trademark.i-assist.jp/data/china/image_1913th/80877059.pdf","80877059")</f>
        <v>80877059</v>
      </c>
      <c r="F1327" s="11" t="s">
        <v>3701</v>
      </c>
      <c r="G1327" s="11" t="s">
        <v>3702</v>
      </c>
      <c r="H1327" s="11" t="s">
        <v>3703</v>
      </c>
      <c r="I1327" s="12">
        <v>45547</v>
      </c>
    </row>
    <row r="1328" spans="1:9" x14ac:dyDescent="0.15">
      <c r="A1328" s="9">
        <v>1327</v>
      </c>
      <c r="B1328" s="10" t="s">
        <v>9</v>
      </c>
      <c r="C1328" s="11" t="s">
        <v>10</v>
      </c>
      <c r="D1328" s="12">
        <v>45623</v>
      </c>
      <c r="E1328" s="13" t="str">
        <f>+HYPERLINK("http://trademark.i-assist.jp/data/china/image_1913th/80886649.pdf","80886649")</f>
        <v>80886649</v>
      </c>
      <c r="F1328" s="11" t="s">
        <v>3704</v>
      </c>
      <c r="G1328" s="11" t="s">
        <v>3705</v>
      </c>
      <c r="H1328" s="11" t="s">
        <v>3706</v>
      </c>
      <c r="I1328" s="12">
        <v>45547</v>
      </c>
    </row>
    <row r="1329" spans="1:9" x14ac:dyDescent="0.15">
      <c r="A1329" s="9">
        <v>1328</v>
      </c>
      <c r="B1329" s="10" t="s">
        <v>9</v>
      </c>
      <c r="C1329" s="11" t="s">
        <v>10</v>
      </c>
      <c r="D1329" s="12">
        <v>45623</v>
      </c>
      <c r="E1329" s="13" t="str">
        <f>+HYPERLINK("http://trademark.i-assist.jp/data/china/image_1913th/80896480.pdf","80896480")</f>
        <v>80896480</v>
      </c>
      <c r="F1329" s="11" t="s">
        <v>826</v>
      </c>
      <c r="G1329" s="11" t="s">
        <v>3707</v>
      </c>
      <c r="H1329" s="11" t="s">
        <v>3708</v>
      </c>
      <c r="I1329" s="12">
        <v>45547</v>
      </c>
    </row>
    <row r="1330" spans="1:9" x14ac:dyDescent="0.15">
      <c r="A1330" s="9">
        <v>1329</v>
      </c>
      <c r="B1330" s="10" t="s">
        <v>9</v>
      </c>
      <c r="C1330" s="11" t="s">
        <v>10</v>
      </c>
      <c r="D1330" s="12">
        <v>45623</v>
      </c>
      <c r="E1330" s="13" t="str">
        <f>+HYPERLINK("http://trademark.i-assist.jp/data/china/image_1913th/80758353.pdf","80758353")</f>
        <v>80758353</v>
      </c>
      <c r="F1330" s="11" t="s">
        <v>827</v>
      </c>
      <c r="G1330" s="11" t="s">
        <v>3709</v>
      </c>
      <c r="H1330" s="11" t="s">
        <v>3710</v>
      </c>
      <c r="I1330" s="12">
        <v>45540</v>
      </c>
    </row>
    <row r="1331" spans="1:9" x14ac:dyDescent="0.15">
      <c r="A1331" s="9">
        <v>1330</v>
      </c>
      <c r="B1331" s="10" t="s">
        <v>9</v>
      </c>
      <c r="C1331" s="11" t="s">
        <v>10</v>
      </c>
      <c r="D1331" s="12">
        <v>45623</v>
      </c>
      <c r="E1331" s="13" t="str">
        <f>+HYPERLINK("http://trademark.i-assist.jp/data/china/image_1913th/80765402.pdf","80765402")</f>
        <v>80765402</v>
      </c>
      <c r="F1331" s="11" t="s">
        <v>828</v>
      </c>
      <c r="G1331" s="11" t="s">
        <v>605</v>
      </c>
      <c r="H1331" s="11" t="s">
        <v>3079</v>
      </c>
      <c r="I1331" s="12">
        <v>45540</v>
      </c>
    </row>
    <row r="1332" spans="1:9" x14ac:dyDescent="0.15">
      <c r="A1332" s="9">
        <v>1331</v>
      </c>
      <c r="B1332" s="10" t="s">
        <v>9</v>
      </c>
      <c r="C1332" s="11" t="s">
        <v>10</v>
      </c>
      <c r="D1332" s="12">
        <v>45623</v>
      </c>
      <c r="E1332" s="13" t="str">
        <f>+HYPERLINK("http://trademark.i-assist.jp/data/china/image_1913th/80768146.pdf","80768146")</f>
        <v>80768146</v>
      </c>
      <c r="F1332" s="11" t="s">
        <v>830</v>
      </c>
      <c r="G1332" s="11" t="s">
        <v>829</v>
      </c>
      <c r="H1332" s="11" t="s">
        <v>3711</v>
      </c>
      <c r="I1332" s="12">
        <v>45540</v>
      </c>
    </row>
    <row r="1333" spans="1:9" x14ac:dyDescent="0.15">
      <c r="A1333" s="9">
        <v>1332</v>
      </c>
      <c r="B1333" s="10" t="s">
        <v>9</v>
      </c>
      <c r="C1333" s="11" t="s">
        <v>10</v>
      </c>
      <c r="D1333" s="12">
        <v>45623</v>
      </c>
      <c r="E1333" s="13" t="str">
        <f>+HYPERLINK("http://trademark.i-assist.jp/data/china/image_1913th/80772960.pdf","80772960")</f>
        <v>80772960</v>
      </c>
      <c r="F1333" s="11" t="s">
        <v>3712</v>
      </c>
      <c r="G1333" s="11" t="s">
        <v>2394</v>
      </c>
      <c r="H1333" s="11" t="s">
        <v>2395</v>
      </c>
      <c r="I1333" s="12">
        <v>45540</v>
      </c>
    </row>
    <row r="1334" spans="1:9" x14ac:dyDescent="0.15">
      <c r="A1334" s="9">
        <v>1333</v>
      </c>
      <c r="B1334" s="10" t="s">
        <v>9</v>
      </c>
      <c r="C1334" s="11" t="s">
        <v>10</v>
      </c>
      <c r="D1334" s="12">
        <v>45623</v>
      </c>
      <c r="E1334" s="13" t="str">
        <f>+HYPERLINK("http://trademark.i-assist.jp/data/china/image_1913th/80779571.pdf","80779571")</f>
        <v>80779571</v>
      </c>
      <c r="F1334" s="11" t="s">
        <v>832</v>
      </c>
      <c r="G1334" s="11" t="s">
        <v>831</v>
      </c>
      <c r="H1334" s="11" t="s">
        <v>1923</v>
      </c>
      <c r="I1334" s="12">
        <v>45541</v>
      </c>
    </row>
    <row r="1335" spans="1:9" x14ac:dyDescent="0.15">
      <c r="A1335" s="9">
        <v>1334</v>
      </c>
      <c r="B1335" s="10" t="s">
        <v>9</v>
      </c>
      <c r="C1335" s="11" t="s">
        <v>10</v>
      </c>
      <c r="D1335" s="12">
        <v>45623</v>
      </c>
      <c r="E1335" s="13" t="str">
        <f>+HYPERLINK("http://trademark.i-assist.jp/data/china/image_1913th/80782000.pdf","80782000")</f>
        <v>80782000</v>
      </c>
      <c r="F1335" s="11" t="s">
        <v>3713</v>
      </c>
      <c r="G1335" s="11" t="s">
        <v>2615</v>
      </c>
      <c r="H1335" s="11" t="s">
        <v>1666</v>
      </c>
      <c r="I1335" s="12">
        <v>45541</v>
      </c>
    </row>
    <row r="1336" spans="1:9" x14ac:dyDescent="0.15">
      <c r="A1336" s="9">
        <v>1335</v>
      </c>
      <c r="B1336" s="10" t="s">
        <v>9</v>
      </c>
      <c r="C1336" s="11" t="s">
        <v>10</v>
      </c>
      <c r="D1336" s="12">
        <v>45623</v>
      </c>
      <c r="E1336" s="13" t="str">
        <f>+HYPERLINK("http://trademark.i-assist.jp/data/china/image_1913th/80784553.pdf","80784553")</f>
        <v>80784553</v>
      </c>
      <c r="F1336" s="11" t="s">
        <v>833</v>
      </c>
      <c r="G1336" s="11" t="s">
        <v>172</v>
      </c>
      <c r="H1336" s="11" t="s">
        <v>1753</v>
      </c>
      <c r="I1336" s="12">
        <v>45541</v>
      </c>
    </row>
    <row r="1337" spans="1:9" x14ac:dyDescent="0.15">
      <c r="A1337" s="9">
        <v>1336</v>
      </c>
      <c r="B1337" s="10" t="s">
        <v>9</v>
      </c>
      <c r="C1337" s="11" t="s">
        <v>10</v>
      </c>
      <c r="D1337" s="12">
        <v>45623</v>
      </c>
      <c r="E1337" s="13" t="str">
        <f>+HYPERLINK("http://trademark.i-assist.jp/data/china/image_1913th/80784658.pdf","80784658")</f>
        <v>80784658</v>
      </c>
      <c r="F1337" s="11" t="s">
        <v>3714</v>
      </c>
      <c r="G1337" s="11" t="s">
        <v>3715</v>
      </c>
      <c r="H1337" s="11" t="s">
        <v>3716</v>
      </c>
      <c r="I1337" s="12">
        <v>45541</v>
      </c>
    </row>
    <row r="1338" spans="1:9" x14ac:dyDescent="0.15">
      <c r="A1338" s="9">
        <v>1337</v>
      </c>
      <c r="B1338" s="10" t="s">
        <v>9</v>
      </c>
      <c r="C1338" s="11" t="s">
        <v>10</v>
      </c>
      <c r="D1338" s="12">
        <v>45623</v>
      </c>
      <c r="E1338" s="13" t="str">
        <f>+HYPERLINK("http://trademark.i-assist.jp/data/china/image_1913th/80787178.pdf","80787178")</f>
        <v>80787178</v>
      </c>
      <c r="F1338" s="11" t="s">
        <v>3717</v>
      </c>
      <c r="G1338" s="11" t="s">
        <v>1349</v>
      </c>
      <c r="H1338" s="11" t="s">
        <v>1350</v>
      </c>
      <c r="I1338" s="12">
        <v>45541</v>
      </c>
    </row>
    <row r="1339" spans="1:9" x14ac:dyDescent="0.15">
      <c r="A1339" s="9">
        <v>1338</v>
      </c>
      <c r="B1339" s="10" t="s">
        <v>9</v>
      </c>
      <c r="C1339" s="11" t="s">
        <v>10</v>
      </c>
      <c r="D1339" s="12">
        <v>45623</v>
      </c>
      <c r="E1339" s="13" t="str">
        <f>+HYPERLINK("http://trademark.i-assist.jp/data/china/image_1913th/80554871.pdf","80554871")</f>
        <v>80554871</v>
      </c>
      <c r="F1339" s="11" t="s">
        <v>834</v>
      </c>
      <c r="G1339" s="11" t="s">
        <v>1558</v>
      </c>
      <c r="H1339" s="11" t="s">
        <v>1559</v>
      </c>
      <c r="I1339" s="12">
        <v>45530</v>
      </c>
    </row>
    <row r="1340" spans="1:9" x14ac:dyDescent="0.15">
      <c r="A1340" s="9">
        <v>1339</v>
      </c>
      <c r="B1340" s="10" t="s">
        <v>9</v>
      </c>
      <c r="C1340" s="11" t="s">
        <v>10</v>
      </c>
      <c r="D1340" s="12">
        <v>45623</v>
      </c>
      <c r="E1340" s="13" t="str">
        <f>+HYPERLINK("http://trademark.i-assist.jp/data/china/image_1913th/80559478.pdf","80559478")</f>
        <v>80559478</v>
      </c>
      <c r="F1340" s="11" t="s">
        <v>835</v>
      </c>
      <c r="G1340" s="11" t="s">
        <v>3718</v>
      </c>
      <c r="H1340" s="11" t="s">
        <v>3719</v>
      </c>
      <c r="I1340" s="12">
        <v>45530</v>
      </c>
    </row>
    <row r="1341" spans="1:9" x14ac:dyDescent="0.15">
      <c r="A1341" s="9">
        <v>1340</v>
      </c>
      <c r="B1341" s="10" t="s">
        <v>9</v>
      </c>
      <c r="C1341" s="11" t="s">
        <v>10</v>
      </c>
      <c r="D1341" s="12">
        <v>45623</v>
      </c>
      <c r="E1341" s="13" t="str">
        <f>+HYPERLINK("http://trademark.i-assist.jp/data/china/image_1913th/80560645.pdf","80560645")</f>
        <v>80560645</v>
      </c>
      <c r="F1341" s="11" t="s">
        <v>3720</v>
      </c>
      <c r="G1341" s="11" t="s">
        <v>3721</v>
      </c>
      <c r="H1341" s="11" t="s">
        <v>3722</v>
      </c>
      <c r="I1341" s="12">
        <v>45530</v>
      </c>
    </row>
    <row r="1342" spans="1:9" x14ac:dyDescent="0.15">
      <c r="A1342" s="9">
        <v>1341</v>
      </c>
      <c r="B1342" s="10" t="s">
        <v>9</v>
      </c>
      <c r="C1342" s="11" t="s">
        <v>10</v>
      </c>
      <c r="D1342" s="12">
        <v>45623</v>
      </c>
      <c r="E1342" s="13" t="str">
        <f>+HYPERLINK("http://trademark.i-assist.jp/data/china/image_1913th/80561336.pdf","80561336")</f>
        <v>80561336</v>
      </c>
      <c r="F1342" s="11" t="s">
        <v>3723</v>
      </c>
      <c r="G1342" s="11" t="s">
        <v>836</v>
      </c>
      <c r="H1342" s="11" t="s">
        <v>3724</v>
      </c>
      <c r="I1342" s="12">
        <v>45530</v>
      </c>
    </row>
    <row r="1343" spans="1:9" x14ac:dyDescent="0.15">
      <c r="A1343" s="9">
        <v>1342</v>
      </c>
      <c r="B1343" s="10" t="s">
        <v>9</v>
      </c>
      <c r="C1343" s="11" t="s">
        <v>10</v>
      </c>
      <c r="D1343" s="12">
        <v>45623</v>
      </c>
      <c r="E1343" s="13" t="str">
        <f>+HYPERLINK("http://trademark.i-assist.jp/data/china/image_1913th/80583101.pdf","80583101")</f>
        <v>80583101</v>
      </c>
      <c r="F1343" s="11" t="s">
        <v>3725</v>
      </c>
      <c r="G1343" s="11" t="s">
        <v>837</v>
      </c>
      <c r="H1343" s="11" t="s">
        <v>3726</v>
      </c>
      <c r="I1343" s="12">
        <v>45531</v>
      </c>
    </row>
    <row r="1344" spans="1:9" x14ac:dyDescent="0.15">
      <c r="A1344" s="9">
        <v>1343</v>
      </c>
      <c r="B1344" s="10" t="s">
        <v>9</v>
      </c>
      <c r="C1344" s="11" t="s">
        <v>10</v>
      </c>
      <c r="D1344" s="12">
        <v>45623</v>
      </c>
      <c r="E1344" s="13" t="str">
        <f>+HYPERLINK("http://trademark.i-assist.jp/data/china/image_1913th/80585380.pdf","80585380")</f>
        <v>80585380</v>
      </c>
      <c r="F1344" s="11" t="s">
        <v>3727</v>
      </c>
      <c r="G1344" s="11" t="s">
        <v>3728</v>
      </c>
      <c r="H1344" s="11" t="s">
        <v>1376</v>
      </c>
      <c r="I1344" s="12">
        <v>45531</v>
      </c>
    </row>
    <row r="1345" spans="1:9" x14ac:dyDescent="0.15">
      <c r="A1345" s="9">
        <v>1344</v>
      </c>
      <c r="B1345" s="10" t="s">
        <v>9</v>
      </c>
      <c r="C1345" s="11" t="s">
        <v>10</v>
      </c>
      <c r="D1345" s="12">
        <v>45623</v>
      </c>
      <c r="E1345" s="13" t="str">
        <f>+HYPERLINK("http://trademark.i-assist.jp/data/china/image_1913th/80597247.pdf","80597247")</f>
        <v>80597247</v>
      </c>
      <c r="F1345" s="11" t="s">
        <v>839</v>
      </c>
      <c r="G1345" s="11" t="s">
        <v>838</v>
      </c>
      <c r="H1345" s="11" t="s">
        <v>3729</v>
      </c>
      <c r="I1345" s="12">
        <v>45531</v>
      </c>
    </row>
    <row r="1346" spans="1:9" x14ac:dyDescent="0.15">
      <c r="A1346" s="9">
        <v>1345</v>
      </c>
      <c r="B1346" s="10" t="s">
        <v>9</v>
      </c>
      <c r="C1346" s="11" t="s">
        <v>10</v>
      </c>
      <c r="D1346" s="12">
        <v>45623</v>
      </c>
      <c r="E1346" s="13" t="str">
        <f>+HYPERLINK("http://trademark.i-assist.jp/data/china/image_1913th/80600605.pdf","80600605")</f>
        <v>80600605</v>
      </c>
      <c r="F1346" s="11" t="s">
        <v>3730</v>
      </c>
      <c r="G1346" s="11" t="s">
        <v>3731</v>
      </c>
      <c r="H1346" s="11" t="s">
        <v>3732</v>
      </c>
      <c r="I1346" s="12">
        <v>45531</v>
      </c>
    </row>
    <row r="1347" spans="1:9" x14ac:dyDescent="0.15">
      <c r="A1347" s="9">
        <v>1346</v>
      </c>
      <c r="B1347" s="10" t="s">
        <v>9</v>
      </c>
      <c r="C1347" s="11" t="s">
        <v>10</v>
      </c>
      <c r="D1347" s="12">
        <v>45623</v>
      </c>
      <c r="E1347" s="13" t="str">
        <f>+HYPERLINK("http://trademark.i-assist.jp/data/china/image_1913th/80180926.pdf","80180926")</f>
        <v>80180926</v>
      </c>
      <c r="F1347" s="11" t="s">
        <v>840</v>
      </c>
      <c r="G1347" s="11" t="s">
        <v>3733</v>
      </c>
      <c r="H1347" s="11" t="s">
        <v>3734</v>
      </c>
      <c r="I1347" s="12">
        <v>45509</v>
      </c>
    </row>
    <row r="1348" spans="1:9" x14ac:dyDescent="0.15">
      <c r="A1348" s="9">
        <v>1347</v>
      </c>
      <c r="B1348" s="10" t="s">
        <v>9</v>
      </c>
      <c r="C1348" s="11" t="s">
        <v>10</v>
      </c>
      <c r="D1348" s="12">
        <v>45623</v>
      </c>
      <c r="E1348" s="13" t="str">
        <f>+HYPERLINK("http://trademark.i-assist.jp/data/china/image_1913th/80203480.pdf","80203480")</f>
        <v>80203480</v>
      </c>
      <c r="F1348" s="11" t="s">
        <v>841</v>
      </c>
      <c r="G1348" s="11" t="s">
        <v>3735</v>
      </c>
      <c r="H1348" s="11" t="s">
        <v>3736</v>
      </c>
      <c r="I1348" s="12">
        <v>45510</v>
      </c>
    </row>
    <row r="1349" spans="1:9" x14ac:dyDescent="0.15">
      <c r="A1349" s="9">
        <v>1348</v>
      </c>
      <c r="B1349" s="10" t="s">
        <v>9</v>
      </c>
      <c r="C1349" s="11" t="s">
        <v>10</v>
      </c>
      <c r="D1349" s="12">
        <v>45623</v>
      </c>
      <c r="E1349" s="13" t="str">
        <f>+HYPERLINK("http://trademark.i-assist.jp/data/china/image_1913th/80209586.pdf","80209586")</f>
        <v>80209586</v>
      </c>
      <c r="F1349" s="11" t="s">
        <v>3737</v>
      </c>
      <c r="G1349" s="11" t="s">
        <v>3738</v>
      </c>
      <c r="H1349" s="11" t="s">
        <v>3739</v>
      </c>
      <c r="I1349" s="12">
        <v>45510</v>
      </c>
    </row>
    <row r="1350" spans="1:9" x14ac:dyDescent="0.15">
      <c r="A1350" s="9">
        <v>1349</v>
      </c>
      <c r="B1350" s="10" t="s">
        <v>9</v>
      </c>
      <c r="C1350" s="11" t="s">
        <v>10</v>
      </c>
      <c r="D1350" s="12">
        <v>45623</v>
      </c>
      <c r="E1350" s="13" t="str">
        <f>+HYPERLINK("http://trademark.i-assist.jp/data/china/image_1913th/80250322.pdf","80250322")</f>
        <v>80250322</v>
      </c>
      <c r="F1350" s="11" t="s">
        <v>3740</v>
      </c>
      <c r="G1350" s="11" t="s">
        <v>3741</v>
      </c>
      <c r="H1350" s="11" t="s">
        <v>3742</v>
      </c>
      <c r="I1350" s="12">
        <v>45512</v>
      </c>
    </row>
    <row r="1351" spans="1:9" x14ac:dyDescent="0.15">
      <c r="A1351" s="9">
        <v>1350</v>
      </c>
      <c r="B1351" s="10" t="s">
        <v>9</v>
      </c>
      <c r="C1351" s="11" t="s">
        <v>10</v>
      </c>
      <c r="D1351" s="12">
        <v>45623</v>
      </c>
      <c r="E1351" s="13" t="str">
        <f>+HYPERLINK("http://trademark.i-assist.jp/data/china/image_1913th/80277038.pdf","80277038")</f>
        <v>80277038</v>
      </c>
      <c r="F1351" s="11" t="s">
        <v>842</v>
      </c>
      <c r="G1351" s="11" t="s">
        <v>3743</v>
      </c>
      <c r="H1351" s="11" t="s">
        <v>3744</v>
      </c>
      <c r="I1351" s="12">
        <v>45513</v>
      </c>
    </row>
    <row r="1352" spans="1:9" x14ac:dyDescent="0.15">
      <c r="A1352" s="9">
        <v>1351</v>
      </c>
      <c r="B1352" s="10" t="s">
        <v>9</v>
      </c>
      <c r="C1352" s="11" t="s">
        <v>10</v>
      </c>
      <c r="D1352" s="12">
        <v>45623</v>
      </c>
      <c r="E1352" s="13" t="str">
        <f>+HYPERLINK("http://trademark.i-assist.jp/data/china/image_1913th/80299686.pdf","80299686")</f>
        <v>80299686</v>
      </c>
      <c r="F1352" s="11" t="s">
        <v>844</v>
      </c>
      <c r="G1352" s="11" t="s">
        <v>843</v>
      </c>
      <c r="H1352" s="11" t="s">
        <v>2825</v>
      </c>
      <c r="I1352" s="12">
        <v>45516</v>
      </c>
    </row>
    <row r="1353" spans="1:9" x14ac:dyDescent="0.15">
      <c r="A1353" s="9">
        <v>1352</v>
      </c>
      <c r="B1353" s="10" t="s">
        <v>9</v>
      </c>
      <c r="C1353" s="11" t="s">
        <v>10</v>
      </c>
      <c r="D1353" s="12">
        <v>45623</v>
      </c>
      <c r="E1353" s="13" t="str">
        <f>+HYPERLINK("http://trademark.i-assist.jp/data/china/image_1913th/80318161.pdf","80318161")</f>
        <v>80318161</v>
      </c>
      <c r="F1353" s="11" t="s">
        <v>845</v>
      </c>
      <c r="G1353" s="11" t="s">
        <v>1338</v>
      </c>
      <c r="H1353" s="11" t="s">
        <v>3745</v>
      </c>
      <c r="I1353" s="12">
        <v>45516</v>
      </c>
    </row>
    <row r="1354" spans="1:9" x14ac:dyDescent="0.15">
      <c r="A1354" s="9">
        <v>1353</v>
      </c>
      <c r="B1354" s="10" t="s">
        <v>9</v>
      </c>
      <c r="C1354" s="11" t="s">
        <v>10</v>
      </c>
      <c r="D1354" s="12">
        <v>45623</v>
      </c>
      <c r="E1354" s="13" t="str">
        <f>+HYPERLINK("http://trademark.i-assist.jp/data/china/image_1913th/80320669.pdf","80320669")</f>
        <v>80320669</v>
      </c>
      <c r="F1354" s="11" t="s">
        <v>846</v>
      </c>
      <c r="G1354" s="11" t="s">
        <v>3746</v>
      </c>
      <c r="H1354" s="11" t="s">
        <v>3747</v>
      </c>
      <c r="I1354" s="12">
        <v>45516</v>
      </c>
    </row>
    <row r="1355" spans="1:9" x14ac:dyDescent="0.15">
      <c r="A1355" s="9">
        <v>1354</v>
      </c>
      <c r="B1355" s="10" t="s">
        <v>9</v>
      </c>
      <c r="C1355" s="11" t="s">
        <v>10</v>
      </c>
      <c r="D1355" s="12">
        <v>45623</v>
      </c>
      <c r="E1355" s="13" t="str">
        <f>+HYPERLINK("http://trademark.i-assist.jp/data/china/image_1913th/80466495.pdf","80466495")</f>
        <v>80466495</v>
      </c>
      <c r="F1355" s="11" t="s">
        <v>847</v>
      </c>
      <c r="G1355" s="11" t="s">
        <v>3748</v>
      </c>
      <c r="H1355" s="11" t="s">
        <v>3749</v>
      </c>
      <c r="I1355" s="12">
        <v>45524</v>
      </c>
    </row>
    <row r="1356" spans="1:9" x14ac:dyDescent="0.15">
      <c r="A1356" s="9">
        <v>1355</v>
      </c>
      <c r="B1356" s="10" t="s">
        <v>9</v>
      </c>
      <c r="C1356" s="11" t="s">
        <v>10</v>
      </c>
      <c r="D1356" s="12">
        <v>45623</v>
      </c>
      <c r="E1356" s="13" t="str">
        <f>+HYPERLINK("http://trademark.i-assist.jp/data/china/image_1913th/80477851.pdf","80477851")</f>
        <v>80477851</v>
      </c>
      <c r="F1356" s="11" t="s">
        <v>848</v>
      </c>
      <c r="G1356" s="11" t="s">
        <v>3750</v>
      </c>
      <c r="H1356" s="11" t="s">
        <v>3751</v>
      </c>
      <c r="I1356" s="12">
        <v>45525</v>
      </c>
    </row>
    <row r="1357" spans="1:9" x14ac:dyDescent="0.15">
      <c r="A1357" s="9">
        <v>1356</v>
      </c>
      <c r="B1357" s="10" t="s">
        <v>9</v>
      </c>
      <c r="C1357" s="11" t="s">
        <v>10</v>
      </c>
      <c r="D1357" s="12">
        <v>45623</v>
      </c>
      <c r="E1357" s="13" t="str">
        <f>+HYPERLINK("http://trademark.i-assist.jp/data/china/image_1913th/80481080.pdf","80481080")</f>
        <v>80481080</v>
      </c>
      <c r="F1357" s="11" t="s">
        <v>3752</v>
      </c>
      <c r="G1357" s="11" t="s">
        <v>3208</v>
      </c>
      <c r="H1357" s="11" t="s">
        <v>3753</v>
      </c>
      <c r="I1357" s="12">
        <v>45525</v>
      </c>
    </row>
    <row r="1358" spans="1:9" x14ac:dyDescent="0.15">
      <c r="A1358" s="9">
        <v>1357</v>
      </c>
      <c r="B1358" s="10" t="s">
        <v>9</v>
      </c>
      <c r="C1358" s="11" t="s">
        <v>10</v>
      </c>
      <c r="D1358" s="12">
        <v>45623</v>
      </c>
      <c r="E1358" s="13" t="str">
        <f>+HYPERLINK("http://trademark.i-assist.jp/data/china/image_1913th/80484451.pdf","80484451")</f>
        <v>80484451</v>
      </c>
      <c r="F1358" s="11" t="s">
        <v>850</v>
      </c>
      <c r="G1358" s="11" t="s">
        <v>849</v>
      </c>
      <c r="H1358" s="11" t="s">
        <v>2514</v>
      </c>
      <c r="I1358" s="12">
        <v>45525</v>
      </c>
    </row>
    <row r="1359" spans="1:9" x14ac:dyDescent="0.15">
      <c r="A1359" s="9">
        <v>1358</v>
      </c>
      <c r="B1359" s="10" t="s">
        <v>9</v>
      </c>
      <c r="C1359" s="11" t="s">
        <v>10</v>
      </c>
      <c r="D1359" s="12">
        <v>45623</v>
      </c>
      <c r="E1359" s="13" t="str">
        <f>+HYPERLINK("http://trademark.i-assist.jp/data/china/image_1913th/80485515.pdf","80485515")</f>
        <v>80485515</v>
      </c>
      <c r="F1359" s="11" t="s">
        <v>3754</v>
      </c>
      <c r="G1359" s="11" t="s">
        <v>2242</v>
      </c>
      <c r="H1359" s="11" t="s">
        <v>2243</v>
      </c>
      <c r="I1359" s="12">
        <v>45525</v>
      </c>
    </row>
    <row r="1360" spans="1:9" x14ac:dyDescent="0.15">
      <c r="A1360" s="9">
        <v>1359</v>
      </c>
      <c r="B1360" s="10" t="s">
        <v>9</v>
      </c>
      <c r="C1360" s="11" t="s">
        <v>10</v>
      </c>
      <c r="D1360" s="12">
        <v>45623</v>
      </c>
      <c r="E1360" s="13" t="str">
        <f>+HYPERLINK("http://trademark.i-assist.jp/data/china/image_1913th/80488173.pdf","80488173")</f>
        <v>80488173</v>
      </c>
      <c r="F1360" s="11" t="s">
        <v>3755</v>
      </c>
      <c r="G1360" s="11" t="s">
        <v>3574</v>
      </c>
      <c r="H1360" s="11" t="s">
        <v>3575</v>
      </c>
      <c r="I1360" s="12">
        <v>45525</v>
      </c>
    </row>
    <row r="1361" spans="1:9" x14ac:dyDescent="0.15">
      <c r="A1361" s="9">
        <v>1360</v>
      </c>
      <c r="B1361" s="10" t="s">
        <v>9</v>
      </c>
      <c r="C1361" s="11" t="s">
        <v>10</v>
      </c>
      <c r="D1361" s="12">
        <v>45623</v>
      </c>
      <c r="E1361" s="13" t="str">
        <f>+HYPERLINK("http://trademark.i-assist.jp/data/china/image_1913th/80506501.pdf","80506501")</f>
        <v>80506501</v>
      </c>
      <c r="F1361" s="11" t="s">
        <v>3756</v>
      </c>
      <c r="G1361" s="11" t="s">
        <v>3757</v>
      </c>
      <c r="H1361" s="11" t="s">
        <v>3758</v>
      </c>
      <c r="I1361" s="12">
        <v>45526</v>
      </c>
    </row>
    <row r="1362" spans="1:9" x14ac:dyDescent="0.15">
      <c r="A1362" s="9">
        <v>1361</v>
      </c>
      <c r="B1362" s="10" t="s">
        <v>9</v>
      </c>
      <c r="C1362" s="11" t="s">
        <v>10</v>
      </c>
      <c r="D1362" s="12">
        <v>45623</v>
      </c>
      <c r="E1362" s="13" t="str">
        <f>+HYPERLINK("http://trademark.i-assist.jp/data/china/image_1913th/80514367.pdf","80514367")</f>
        <v>80514367</v>
      </c>
      <c r="F1362" s="11" t="s">
        <v>852</v>
      </c>
      <c r="G1362" s="11" t="s">
        <v>851</v>
      </c>
      <c r="H1362" s="11" t="s">
        <v>3759</v>
      </c>
      <c r="I1362" s="12">
        <v>45526</v>
      </c>
    </row>
    <row r="1363" spans="1:9" x14ac:dyDescent="0.15">
      <c r="A1363" s="9">
        <v>1362</v>
      </c>
      <c r="B1363" s="10" t="s">
        <v>9</v>
      </c>
      <c r="C1363" s="11" t="s">
        <v>10</v>
      </c>
      <c r="D1363" s="12">
        <v>45623</v>
      </c>
      <c r="E1363" s="13" t="str">
        <f>+HYPERLINK("http://trademark.i-assist.jp/data/china/image_1913th/80517230.pdf","80517230")</f>
        <v>80517230</v>
      </c>
      <c r="F1363" s="11" t="s">
        <v>3760</v>
      </c>
      <c r="G1363" s="11" t="s">
        <v>2313</v>
      </c>
      <c r="H1363" s="11" t="s">
        <v>2314</v>
      </c>
      <c r="I1363" s="12">
        <v>45526</v>
      </c>
    </row>
    <row r="1364" spans="1:9" x14ac:dyDescent="0.15">
      <c r="A1364" s="9">
        <v>1363</v>
      </c>
      <c r="B1364" s="10" t="s">
        <v>9</v>
      </c>
      <c r="C1364" s="11" t="s">
        <v>10</v>
      </c>
      <c r="D1364" s="12">
        <v>45623</v>
      </c>
      <c r="E1364" s="13" t="str">
        <f>+HYPERLINK("http://trademark.i-assist.jp/data/china/image_1913th/80535466.pdf","80535466")</f>
        <v>80535466</v>
      </c>
      <c r="F1364" s="11" t="s">
        <v>854</v>
      </c>
      <c r="G1364" s="11" t="s">
        <v>853</v>
      </c>
      <c r="H1364" s="11" t="s">
        <v>3761</v>
      </c>
      <c r="I1364" s="12">
        <v>45527</v>
      </c>
    </row>
    <row r="1365" spans="1:9" x14ac:dyDescent="0.15">
      <c r="A1365" s="9">
        <v>1364</v>
      </c>
      <c r="B1365" s="10" t="s">
        <v>9</v>
      </c>
      <c r="C1365" s="11" t="s">
        <v>10</v>
      </c>
      <c r="D1365" s="12">
        <v>45623</v>
      </c>
      <c r="E1365" s="13" t="str">
        <f>+HYPERLINK("http://trademark.i-assist.jp/data/china/image_1913th/80545143.pdf","80545143")</f>
        <v>80545143</v>
      </c>
      <c r="F1365" s="11" t="s">
        <v>3762</v>
      </c>
      <c r="G1365" s="11" t="s">
        <v>3763</v>
      </c>
      <c r="H1365" s="11" t="s">
        <v>3764</v>
      </c>
      <c r="I1365" s="12">
        <v>45527</v>
      </c>
    </row>
    <row r="1366" spans="1:9" x14ac:dyDescent="0.15">
      <c r="A1366" s="9">
        <v>1365</v>
      </c>
      <c r="B1366" s="10" t="s">
        <v>9</v>
      </c>
      <c r="C1366" s="11" t="s">
        <v>10</v>
      </c>
      <c r="D1366" s="12">
        <v>45623</v>
      </c>
      <c r="E1366" s="13" t="str">
        <f>+HYPERLINK("http://trademark.i-assist.jp/data/china/image_1913th/79640838.pdf","79640838")</f>
        <v>79640838</v>
      </c>
      <c r="F1366" s="11" t="s">
        <v>855</v>
      </c>
      <c r="G1366" s="11" t="s">
        <v>260</v>
      </c>
      <c r="H1366" s="11" t="s">
        <v>2032</v>
      </c>
      <c r="I1366" s="12">
        <v>45478</v>
      </c>
    </row>
    <row r="1367" spans="1:9" x14ac:dyDescent="0.15">
      <c r="A1367" s="9">
        <v>1366</v>
      </c>
      <c r="B1367" s="10" t="s">
        <v>9</v>
      </c>
      <c r="C1367" s="11" t="s">
        <v>10</v>
      </c>
      <c r="D1367" s="12">
        <v>45623</v>
      </c>
      <c r="E1367" s="13" t="str">
        <f>+HYPERLINK("http://trademark.i-assist.jp/data/china/image_1913th/79671378.pdf","79671378")</f>
        <v>79671378</v>
      </c>
      <c r="F1367" s="11" t="s">
        <v>3765</v>
      </c>
      <c r="G1367" s="11" t="s">
        <v>3766</v>
      </c>
      <c r="H1367" s="11" t="s">
        <v>3767</v>
      </c>
      <c r="I1367" s="12">
        <v>45481</v>
      </c>
    </row>
    <row r="1368" spans="1:9" x14ac:dyDescent="0.15">
      <c r="A1368" s="9">
        <v>1367</v>
      </c>
      <c r="B1368" s="10" t="s">
        <v>9</v>
      </c>
      <c r="C1368" s="11" t="s">
        <v>10</v>
      </c>
      <c r="D1368" s="12">
        <v>45623</v>
      </c>
      <c r="E1368" s="13" t="str">
        <f>+HYPERLINK("http://trademark.i-assist.jp/data/china/image_1913th/79903896.pdf","79903896")</f>
        <v>79903896</v>
      </c>
      <c r="F1368" s="11" t="s">
        <v>856</v>
      </c>
      <c r="G1368" s="11" t="s">
        <v>3768</v>
      </c>
      <c r="H1368" s="11" t="s">
        <v>1302</v>
      </c>
      <c r="I1368" s="12">
        <v>45492</v>
      </c>
    </row>
    <row r="1369" spans="1:9" x14ac:dyDescent="0.15">
      <c r="A1369" s="9">
        <v>1368</v>
      </c>
      <c r="B1369" s="10" t="s">
        <v>9</v>
      </c>
      <c r="C1369" s="11" t="s">
        <v>10</v>
      </c>
      <c r="D1369" s="12">
        <v>45623</v>
      </c>
      <c r="E1369" s="13" t="str">
        <f>+HYPERLINK("http://trademark.i-assist.jp/data/china/image_1913th/67515850.pdf","67515850")</f>
        <v>67515850</v>
      </c>
      <c r="F1369" s="11" t="s">
        <v>468</v>
      </c>
      <c r="G1369" s="11" t="s">
        <v>2644</v>
      </c>
      <c r="H1369" s="11" t="s">
        <v>2645</v>
      </c>
      <c r="I1369" s="12">
        <v>44833</v>
      </c>
    </row>
    <row r="1370" spans="1:9" x14ac:dyDescent="0.15">
      <c r="A1370" s="9">
        <v>1369</v>
      </c>
      <c r="B1370" s="10" t="s">
        <v>9</v>
      </c>
      <c r="C1370" s="11" t="s">
        <v>10</v>
      </c>
      <c r="D1370" s="12">
        <v>45623</v>
      </c>
      <c r="E1370" s="13" t="str">
        <f>+HYPERLINK("http://trademark.i-assist.jp/data/china/image_1913th/72620982.pdf","72620982")</f>
        <v>72620982</v>
      </c>
      <c r="F1370" s="11" t="s">
        <v>3769</v>
      </c>
      <c r="G1370" s="11" t="s">
        <v>3770</v>
      </c>
      <c r="H1370" s="11" t="s">
        <v>3771</v>
      </c>
      <c r="I1370" s="12">
        <v>45111</v>
      </c>
    </row>
    <row r="1371" spans="1:9" x14ac:dyDescent="0.15">
      <c r="A1371" s="9">
        <v>1370</v>
      </c>
      <c r="B1371" s="10" t="s">
        <v>9</v>
      </c>
      <c r="C1371" s="11" t="s">
        <v>10</v>
      </c>
      <c r="D1371" s="12">
        <v>45623</v>
      </c>
      <c r="E1371" s="13" t="str">
        <f>+HYPERLINK("http://trademark.i-assist.jp/data/china/image_1913th/73954526.pdf","73954526")</f>
        <v>73954526</v>
      </c>
      <c r="F1371" s="11" t="s">
        <v>3772</v>
      </c>
      <c r="G1371" s="11" t="s">
        <v>857</v>
      </c>
      <c r="H1371" s="11" t="s">
        <v>3773</v>
      </c>
      <c r="I1371" s="12">
        <v>45176</v>
      </c>
    </row>
    <row r="1372" spans="1:9" x14ac:dyDescent="0.15">
      <c r="A1372" s="9">
        <v>1371</v>
      </c>
      <c r="B1372" s="10" t="s">
        <v>9</v>
      </c>
      <c r="C1372" s="11" t="s">
        <v>10</v>
      </c>
      <c r="D1372" s="12">
        <v>45623</v>
      </c>
      <c r="E1372" s="13" t="str">
        <f>+HYPERLINK("http://trademark.i-assist.jp/data/china/image_1913th/74579353.pdf","74579353")</f>
        <v>74579353</v>
      </c>
      <c r="F1372" s="11" t="s">
        <v>3774</v>
      </c>
      <c r="G1372" s="11" t="s">
        <v>3775</v>
      </c>
      <c r="H1372" s="11" t="s">
        <v>3776</v>
      </c>
      <c r="I1372" s="12">
        <v>45215</v>
      </c>
    </row>
    <row r="1373" spans="1:9" x14ac:dyDescent="0.15">
      <c r="A1373" s="9">
        <v>1372</v>
      </c>
      <c r="B1373" s="10" t="s">
        <v>9</v>
      </c>
      <c r="C1373" s="11" t="s">
        <v>10</v>
      </c>
      <c r="D1373" s="12">
        <v>45623</v>
      </c>
      <c r="E1373" s="13" t="str">
        <f>+HYPERLINK("http://trademark.i-assist.jp/data/china/image_1913th/79506315.pdf","79506315")</f>
        <v>79506315</v>
      </c>
      <c r="F1373" s="11" t="s">
        <v>3777</v>
      </c>
      <c r="G1373" s="11" t="s">
        <v>3777</v>
      </c>
      <c r="H1373" s="11" t="s">
        <v>3778</v>
      </c>
      <c r="I1373" s="12">
        <v>45471</v>
      </c>
    </row>
    <row r="1374" spans="1:9" x14ac:dyDescent="0.15">
      <c r="A1374" s="9">
        <v>1373</v>
      </c>
      <c r="B1374" s="10" t="s">
        <v>9</v>
      </c>
      <c r="C1374" s="11" t="s">
        <v>10</v>
      </c>
      <c r="D1374" s="12">
        <v>45623</v>
      </c>
      <c r="E1374" s="13" t="str">
        <f>+HYPERLINK("http://trademark.i-assist.jp/data/china/image_1913th/80359690.pdf","80359690")</f>
        <v>80359690</v>
      </c>
      <c r="F1374" s="11" t="s">
        <v>859</v>
      </c>
      <c r="G1374" s="11" t="s">
        <v>858</v>
      </c>
      <c r="H1374" s="11" t="s">
        <v>3779</v>
      </c>
      <c r="I1374" s="12">
        <v>45518</v>
      </c>
    </row>
    <row r="1375" spans="1:9" x14ac:dyDescent="0.15">
      <c r="A1375" s="9">
        <v>1374</v>
      </c>
      <c r="B1375" s="10" t="s">
        <v>9</v>
      </c>
      <c r="C1375" s="11" t="s">
        <v>10</v>
      </c>
      <c r="D1375" s="12">
        <v>45623</v>
      </c>
      <c r="E1375" s="13" t="str">
        <f>+HYPERLINK("http://trademark.i-assist.jp/data/china/image_1913th/80362277.pdf","80362277")</f>
        <v>80362277</v>
      </c>
      <c r="F1375" s="11" t="s">
        <v>860</v>
      </c>
      <c r="G1375" s="11" t="s">
        <v>1326</v>
      </c>
      <c r="H1375" s="11" t="s">
        <v>1327</v>
      </c>
      <c r="I1375" s="12">
        <v>45518</v>
      </c>
    </row>
    <row r="1376" spans="1:9" x14ac:dyDescent="0.15">
      <c r="A1376" s="9">
        <v>1375</v>
      </c>
      <c r="B1376" s="10" t="s">
        <v>9</v>
      </c>
      <c r="C1376" s="11" t="s">
        <v>10</v>
      </c>
      <c r="D1376" s="12">
        <v>45623</v>
      </c>
      <c r="E1376" s="13" t="str">
        <f>+HYPERLINK("http://trademark.i-assist.jp/data/china/image_1913th/80362618.pdf","80362618")</f>
        <v>80362618</v>
      </c>
      <c r="F1376" s="11" t="s">
        <v>862</v>
      </c>
      <c r="G1376" s="11" t="s">
        <v>861</v>
      </c>
      <c r="H1376" s="11" t="s">
        <v>3780</v>
      </c>
      <c r="I1376" s="12">
        <v>45518</v>
      </c>
    </row>
    <row r="1377" spans="1:9" x14ac:dyDescent="0.15">
      <c r="A1377" s="9">
        <v>1376</v>
      </c>
      <c r="B1377" s="10" t="s">
        <v>9</v>
      </c>
      <c r="C1377" s="11" t="s">
        <v>10</v>
      </c>
      <c r="D1377" s="12">
        <v>45623</v>
      </c>
      <c r="E1377" s="13" t="str">
        <f>+HYPERLINK("http://trademark.i-assist.jp/data/china/image_1913th/80413089.pdf","80413089")</f>
        <v>80413089</v>
      </c>
      <c r="F1377" s="11" t="s">
        <v>3781</v>
      </c>
      <c r="G1377" s="11" t="s">
        <v>3782</v>
      </c>
      <c r="H1377" s="11" t="s">
        <v>3783</v>
      </c>
      <c r="I1377" s="12">
        <v>45520</v>
      </c>
    </row>
    <row r="1378" spans="1:9" x14ac:dyDescent="0.15">
      <c r="A1378" s="9">
        <v>1377</v>
      </c>
      <c r="B1378" s="10" t="s">
        <v>9</v>
      </c>
      <c r="C1378" s="11" t="s">
        <v>10</v>
      </c>
      <c r="D1378" s="12">
        <v>45623</v>
      </c>
      <c r="E1378" s="13" t="str">
        <f>+HYPERLINK("http://trademark.i-assist.jp/data/china/image_1913th/80416741.pdf","80416741")</f>
        <v>80416741</v>
      </c>
      <c r="F1378" s="11" t="s">
        <v>863</v>
      </c>
      <c r="G1378" s="11" t="s">
        <v>1397</v>
      </c>
      <c r="H1378" s="11" t="s">
        <v>2059</v>
      </c>
      <c r="I1378" s="12">
        <v>45520</v>
      </c>
    </row>
    <row r="1379" spans="1:9" x14ac:dyDescent="0.15">
      <c r="A1379" s="9">
        <v>1378</v>
      </c>
      <c r="B1379" s="10" t="s">
        <v>9</v>
      </c>
      <c r="C1379" s="11" t="s">
        <v>10</v>
      </c>
      <c r="D1379" s="12">
        <v>45623</v>
      </c>
      <c r="E1379" s="13" t="str">
        <f>+HYPERLINK("http://trademark.i-assist.jp/data/china/image_1913th/80433961.pdf","80433961")</f>
        <v>80433961</v>
      </c>
      <c r="F1379" s="11" t="s">
        <v>864</v>
      </c>
      <c r="G1379" s="11" t="s">
        <v>3784</v>
      </c>
      <c r="H1379" s="11" t="s">
        <v>2485</v>
      </c>
      <c r="I1379" s="12">
        <v>45523</v>
      </c>
    </row>
    <row r="1380" spans="1:9" x14ac:dyDescent="0.15">
      <c r="A1380" s="9">
        <v>1379</v>
      </c>
      <c r="B1380" s="10" t="s">
        <v>9</v>
      </c>
      <c r="C1380" s="11" t="s">
        <v>10</v>
      </c>
      <c r="D1380" s="12">
        <v>45623</v>
      </c>
      <c r="E1380" s="13" t="str">
        <f>+HYPERLINK("http://trademark.i-assist.jp/data/china/image_1913th/80704640.pdf","80704640")</f>
        <v>80704640</v>
      </c>
      <c r="F1380" s="11" t="s">
        <v>3785</v>
      </c>
      <c r="G1380" s="11" t="s">
        <v>3786</v>
      </c>
      <c r="H1380" s="11" t="s">
        <v>1721</v>
      </c>
      <c r="I1380" s="12">
        <v>45537</v>
      </c>
    </row>
    <row r="1381" spans="1:9" x14ac:dyDescent="0.15">
      <c r="A1381" s="9">
        <v>1380</v>
      </c>
      <c r="B1381" s="10" t="s">
        <v>9</v>
      </c>
      <c r="C1381" s="11" t="s">
        <v>10</v>
      </c>
      <c r="D1381" s="12">
        <v>45623</v>
      </c>
      <c r="E1381" s="13" t="str">
        <f>+HYPERLINK("http://trademark.i-assist.jp/data/china/image_1913th/80705627.pdf","80705627")</f>
        <v>80705627</v>
      </c>
      <c r="F1381" s="11" t="s">
        <v>3787</v>
      </c>
      <c r="G1381" s="11" t="s">
        <v>3788</v>
      </c>
      <c r="H1381" s="11" t="s">
        <v>3789</v>
      </c>
      <c r="I1381" s="12">
        <v>45537</v>
      </c>
    </row>
    <row r="1382" spans="1:9" x14ac:dyDescent="0.15">
      <c r="A1382" s="9">
        <v>1381</v>
      </c>
      <c r="B1382" s="10" t="s">
        <v>9</v>
      </c>
      <c r="C1382" s="11" t="s">
        <v>10</v>
      </c>
      <c r="D1382" s="12">
        <v>45623</v>
      </c>
      <c r="E1382" s="13" t="str">
        <f>+HYPERLINK("http://trademark.i-assist.jp/data/china/image_1913th/80705638.pdf","80705638")</f>
        <v>80705638</v>
      </c>
      <c r="F1382" s="11" t="s">
        <v>865</v>
      </c>
      <c r="G1382" s="11" t="s">
        <v>501</v>
      </c>
      <c r="H1382" s="11" t="s">
        <v>2758</v>
      </c>
      <c r="I1382" s="12">
        <v>45537</v>
      </c>
    </row>
    <row r="1383" spans="1:9" x14ac:dyDescent="0.15">
      <c r="A1383" s="9">
        <v>1382</v>
      </c>
      <c r="B1383" s="10" t="s">
        <v>9</v>
      </c>
      <c r="C1383" s="11" t="s">
        <v>10</v>
      </c>
      <c r="D1383" s="12">
        <v>45623</v>
      </c>
      <c r="E1383" s="13" t="str">
        <f>+HYPERLINK("http://trademark.i-assist.jp/data/china/image_1913th/80712240.pdf","80712240")</f>
        <v>80712240</v>
      </c>
      <c r="F1383" s="11" t="s">
        <v>866</v>
      </c>
      <c r="G1383" s="11" t="s">
        <v>3790</v>
      </c>
      <c r="H1383" s="11" t="s">
        <v>3791</v>
      </c>
      <c r="I1383" s="12">
        <v>45538</v>
      </c>
    </row>
    <row r="1384" spans="1:9" x14ac:dyDescent="0.15">
      <c r="A1384" s="9">
        <v>1383</v>
      </c>
      <c r="B1384" s="10" t="s">
        <v>9</v>
      </c>
      <c r="C1384" s="11" t="s">
        <v>10</v>
      </c>
      <c r="D1384" s="12">
        <v>45623</v>
      </c>
      <c r="E1384" s="13" t="str">
        <f>+HYPERLINK("http://trademark.i-assist.jp/data/china/image_1913th/80714195.pdf","80714195")</f>
        <v>80714195</v>
      </c>
      <c r="F1384" s="11" t="s">
        <v>868</v>
      </c>
      <c r="G1384" s="11" t="s">
        <v>867</v>
      </c>
      <c r="H1384" s="11" t="s">
        <v>3792</v>
      </c>
      <c r="I1384" s="12">
        <v>45538</v>
      </c>
    </row>
    <row r="1385" spans="1:9" x14ac:dyDescent="0.15">
      <c r="A1385" s="9">
        <v>1384</v>
      </c>
      <c r="B1385" s="10" t="s">
        <v>9</v>
      </c>
      <c r="C1385" s="11" t="s">
        <v>10</v>
      </c>
      <c r="D1385" s="12">
        <v>45623</v>
      </c>
      <c r="E1385" s="13" t="str">
        <f>+HYPERLINK("http://trademark.i-assist.jp/data/china/image_1913th/80730611.pdf","80730611")</f>
        <v>80730611</v>
      </c>
      <c r="F1385" s="11" t="s">
        <v>3793</v>
      </c>
      <c r="G1385" s="11" t="s">
        <v>3135</v>
      </c>
      <c r="H1385" s="11" t="s">
        <v>3136</v>
      </c>
      <c r="I1385" s="12">
        <v>45539</v>
      </c>
    </row>
    <row r="1386" spans="1:9" x14ac:dyDescent="0.15">
      <c r="A1386" s="9">
        <v>1385</v>
      </c>
      <c r="B1386" s="10" t="s">
        <v>9</v>
      </c>
      <c r="C1386" s="11" t="s">
        <v>10</v>
      </c>
      <c r="D1386" s="12">
        <v>45623</v>
      </c>
      <c r="E1386" s="13" t="str">
        <f>+HYPERLINK("http://trademark.i-assist.jp/data/china/image_1913th/80740744.pdf","80740744")</f>
        <v>80740744</v>
      </c>
      <c r="F1386" s="11" t="s">
        <v>3794</v>
      </c>
      <c r="G1386" s="11" t="s">
        <v>869</v>
      </c>
      <c r="H1386" s="11" t="s">
        <v>1831</v>
      </c>
      <c r="I1386" s="12">
        <v>45539</v>
      </c>
    </row>
    <row r="1387" spans="1:9" x14ac:dyDescent="0.15">
      <c r="A1387" s="9">
        <v>1386</v>
      </c>
      <c r="B1387" s="10" t="s">
        <v>9</v>
      </c>
      <c r="C1387" s="11" t="s">
        <v>10</v>
      </c>
      <c r="D1387" s="12">
        <v>45623</v>
      </c>
      <c r="E1387" s="13" t="str">
        <f>+HYPERLINK("http://trademark.i-assist.jp/data/china/image_1913th/80741330.pdf","80741330")</f>
        <v>80741330</v>
      </c>
      <c r="F1387" s="11" t="s">
        <v>870</v>
      </c>
      <c r="G1387" s="11" t="s">
        <v>184</v>
      </c>
      <c r="H1387" s="11" t="s">
        <v>1382</v>
      </c>
      <c r="I1387" s="12">
        <v>45539</v>
      </c>
    </row>
    <row r="1388" spans="1:9" x14ac:dyDescent="0.15">
      <c r="A1388" s="9">
        <v>1387</v>
      </c>
      <c r="B1388" s="10" t="s">
        <v>9</v>
      </c>
      <c r="C1388" s="11" t="s">
        <v>10</v>
      </c>
      <c r="D1388" s="12">
        <v>45623</v>
      </c>
      <c r="E1388" s="13" t="str">
        <f>+HYPERLINK("http://trademark.i-assist.jp/data/china/image_1913th/80742752.pdf","80742752")</f>
        <v>80742752</v>
      </c>
      <c r="F1388" s="11" t="s">
        <v>3795</v>
      </c>
      <c r="G1388" s="11" t="s">
        <v>3796</v>
      </c>
      <c r="H1388" s="11" t="s">
        <v>1658</v>
      </c>
      <c r="I1388" s="12">
        <v>45539</v>
      </c>
    </row>
    <row r="1389" spans="1:9" x14ac:dyDescent="0.15">
      <c r="A1389" s="9">
        <v>1388</v>
      </c>
      <c r="B1389" s="10" t="s">
        <v>9</v>
      </c>
      <c r="C1389" s="11" t="s">
        <v>10</v>
      </c>
      <c r="D1389" s="12">
        <v>45623</v>
      </c>
      <c r="E1389" s="13" t="str">
        <f>+HYPERLINK("http://trademark.i-assist.jp/data/china/image_1913th/80744733.pdf","80744733")</f>
        <v>80744733</v>
      </c>
      <c r="F1389" s="11" t="s">
        <v>3797</v>
      </c>
      <c r="G1389" s="11" t="s">
        <v>3798</v>
      </c>
      <c r="H1389" s="11" t="s">
        <v>3799</v>
      </c>
      <c r="I1389" s="12">
        <v>45539</v>
      </c>
    </row>
    <row r="1390" spans="1:9" x14ac:dyDescent="0.15">
      <c r="A1390" s="9">
        <v>1389</v>
      </c>
      <c r="B1390" s="10" t="s">
        <v>9</v>
      </c>
      <c r="C1390" s="11" t="s">
        <v>10</v>
      </c>
      <c r="D1390" s="12">
        <v>45623</v>
      </c>
      <c r="E1390" s="13" t="str">
        <f>+HYPERLINK("http://trademark.i-assist.jp/data/china/image_1913th/80754268.pdf","80754268")</f>
        <v>80754268</v>
      </c>
      <c r="F1390" s="11" t="s">
        <v>3800</v>
      </c>
      <c r="G1390" s="11" t="s">
        <v>871</v>
      </c>
      <c r="H1390" s="11" t="s">
        <v>3801</v>
      </c>
      <c r="I1390" s="12">
        <v>45540</v>
      </c>
    </row>
    <row r="1391" spans="1:9" x14ac:dyDescent="0.15">
      <c r="A1391" s="9">
        <v>1390</v>
      </c>
      <c r="B1391" s="10" t="s">
        <v>9</v>
      </c>
      <c r="C1391" s="11" t="s">
        <v>10</v>
      </c>
      <c r="D1391" s="12">
        <v>45623</v>
      </c>
      <c r="E1391" s="13" t="str">
        <f>+HYPERLINK("http://trademark.i-assist.jp/data/china/image_1913th/80900101.pdf","80900101")</f>
        <v>80900101</v>
      </c>
      <c r="F1391" s="11" t="s">
        <v>3802</v>
      </c>
      <c r="G1391" s="11" t="s">
        <v>3803</v>
      </c>
      <c r="H1391" s="11" t="s">
        <v>3804</v>
      </c>
      <c r="I1391" s="12">
        <v>45547</v>
      </c>
    </row>
    <row r="1392" spans="1:9" x14ac:dyDescent="0.15">
      <c r="A1392" s="9">
        <v>1391</v>
      </c>
      <c r="B1392" s="10" t="s">
        <v>9</v>
      </c>
      <c r="C1392" s="11" t="s">
        <v>10</v>
      </c>
      <c r="D1392" s="12">
        <v>45623</v>
      </c>
      <c r="E1392" s="13" t="str">
        <f>+HYPERLINK("http://trademark.i-assist.jp/data/china/image_1913th/80917832.pdf","80917832")</f>
        <v>80917832</v>
      </c>
      <c r="F1392" s="11" t="s">
        <v>3805</v>
      </c>
      <c r="G1392" s="11" t="s">
        <v>3806</v>
      </c>
      <c r="H1392" s="11" t="s">
        <v>3807</v>
      </c>
      <c r="I1392" s="12">
        <v>45548</v>
      </c>
    </row>
    <row r="1393" spans="1:9" x14ac:dyDescent="0.15">
      <c r="A1393" s="9">
        <v>1392</v>
      </c>
      <c r="B1393" s="10" t="s">
        <v>9</v>
      </c>
      <c r="C1393" s="11" t="s">
        <v>10</v>
      </c>
      <c r="D1393" s="12">
        <v>45623</v>
      </c>
      <c r="E1393" s="13" t="str">
        <f>+HYPERLINK("http://trademark.i-assist.jp/data/china/image_1913th/80920912.pdf","80920912")</f>
        <v>80920912</v>
      </c>
      <c r="F1393" s="11" t="s">
        <v>3808</v>
      </c>
      <c r="G1393" s="11" t="s">
        <v>1503</v>
      </c>
      <c r="H1393" s="11" t="s">
        <v>1376</v>
      </c>
      <c r="I1393" s="12">
        <v>45548</v>
      </c>
    </row>
    <row r="1394" spans="1:9" x14ac:dyDescent="0.15">
      <c r="A1394" s="9">
        <v>1393</v>
      </c>
      <c r="B1394" s="10" t="s">
        <v>9</v>
      </c>
      <c r="C1394" s="11" t="s">
        <v>10</v>
      </c>
      <c r="D1394" s="12">
        <v>45623</v>
      </c>
      <c r="E1394" s="13" t="str">
        <f>+HYPERLINK("http://trademark.i-assist.jp/data/china/image_1913th/80685086.pdf","80685086")</f>
        <v>80685086</v>
      </c>
      <c r="F1394" s="11" t="s">
        <v>872</v>
      </c>
      <c r="G1394" s="11" t="s">
        <v>3809</v>
      </c>
      <c r="H1394" s="11" t="s">
        <v>3810</v>
      </c>
      <c r="I1394" s="12">
        <v>45537</v>
      </c>
    </row>
    <row r="1395" spans="1:9" x14ac:dyDescent="0.15">
      <c r="A1395" s="9">
        <v>1394</v>
      </c>
      <c r="B1395" s="10" t="s">
        <v>9</v>
      </c>
      <c r="C1395" s="11" t="s">
        <v>10</v>
      </c>
      <c r="D1395" s="12">
        <v>45623</v>
      </c>
      <c r="E1395" s="13" t="str">
        <f>+HYPERLINK("http://trademark.i-assist.jp/data/china/image_1913th/80688857.pdf","80688857")</f>
        <v>80688857</v>
      </c>
      <c r="F1395" s="11" t="s">
        <v>3811</v>
      </c>
      <c r="G1395" s="11" t="s">
        <v>3812</v>
      </c>
      <c r="H1395" s="11" t="s">
        <v>3813</v>
      </c>
      <c r="I1395" s="12">
        <v>45537</v>
      </c>
    </row>
    <row r="1396" spans="1:9" x14ac:dyDescent="0.15">
      <c r="A1396" s="9">
        <v>1395</v>
      </c>
      <c r="B1396" s="10" t="s">
        <v>9</v>
      </c>
      <c r="C1396" s="11" t="s">
        <v>10</v>
      </c>
      <c r="D1396" s="12">
        <v>45623</v>
      </c>
      <c r="E1396" s="13" t="str">
        <f>+HYPERLINK("http://trademark.i-assist.jp/data/china/image_1913th/80691764.pdf","80691764")</f>
        <v>80691764</v>
      </c>
      <c r="F1396" s="11" t="s">
        <v>3814</v>
      </c>
      <c r="G1396" s="11" t="s">
        <v>1806</v>
      </c>
      <c r="H1396" s="11" t="s">
        <v>1807</v>
      </c>
      <c r="I1396" s="12">
        <v>45537</v>
      </c>
    </row>
    <row r="1397" spans="1:9" x14ac:dyDescent="0.15">
      <c r="A1397" s="9">
        <v>1396</v>
      </c>
      <c r="B1397" s="10" t="s">
        <v>9</v>
      </c>
      <c r="C1397" s="11" t="s">
        <v>10</v>
      </c>
      <c r="D1397" s="12">
        <v>45623</v>
      </c>
      <c r="E1397" s="13" t="str">
        <f>+HYPERLINK("http://trademark.i-assist.jp/data/china/image_1913th/80697008.pdf","80697008")</f>
        <v>80697008</v>
      </c>
      <c r="F1397" s="11" t="s">
        <v>873</v>
      </c>
      <c r="G1397" s="11" t="s">
        <v>3815</v>
      </c>
      <c r="H1397" s="11" t="s">
        <v>3816</v>
      </c>
      <c r="I1397" s="12">
        <v>45537</v>
      </c>
    </row>
    <row r="1398" spans="1:9" x14ac:dyDescent="0.15">
      <c r="A1398" s="9">
        <v>1397</v>
      </c>
      <c r="B1398" s="10" t="s">
        <v>9</v>
      </c>
      <c r="C1398" s="11" t="s">
        <v>10</v>
      </c>
      <c r="D1398" s="12">
        <v>45623</v>
      </c>
      <c r="E1398" s="13" t="str">
        <f>+HYPERLINK("http://trademark.i-assist.jp/data/china/image_1913th/80697282.pdf","80697282")</f>
        <v>80697282</v>
      </c>
      <c r="F1398" s="11" t="s">
        <v>3817</v>
      </c>
      <c r="G1398" s="11" t="s">
        <v>2767</v>
      </c>
      <c r="H1398" s="11" t="s">
        <v>2768</v>
      </c>
      <c r="I1398" s="12">
        <v>45537</v>
      </c>
    </row>
    <row r="1399" spans="1:9" x14ac:dyDescent="0.15">
      <c r="A1399" s="9">
        <v>1398</v>
      </c>
      <c r="B1399" s="10" t="s">
        <v>9</v>
      </c>
      <c r="C1399" s="11" t="s">
        <v>10</v>
      </c>
      <c r="D1399" s="12">
        <v>45623</v>
      </c>
      <c r="E1399" s="13" t="str">
        <f>+HYPERLINK("http://trademark.i-assist.jp/data/china/image_1913th/80699637.pdf","80699637")</f>
        <v>80699637</v>
      </c>
      <c r="F1399" s="11" t="s">
        <v>875</v>
      </c>
      <c r="G1399" s="11" t="s">
        <v>874</v>
      </c>
      <c r="H1399" s="11" t="s">
        <v>3818</v>
      </c>
      <c r="I1399" s="12">
        <v>45537</v>
      </c>
    </row>
    <row r="1400" spans="1:9" x14ac:dyDescent="0.15">
      <c r="A1400" s="9">
        <v>1399</v>
      </c>
      <c r="B1400" s="10" t="s">
        <v>9</v>
      </c>
      <c r="C1400" s="11" t="s">
        <v>10</v>
      </c>
      <c r="D1400" s="12">
        <v>45623</v>
      </c>
      <c r="E1400" s="13" t="str">
        <f>+HYPERLINK("http://trademark.i-assist.jp/data/china/image_1913th/80699925.pdf","80699925")</f>
        <v>80699925</v>
      </c>
      <c r="F1400" s="11" t="s">
        <v>3819</v>
      </c>
      <c r="G1400" s="11" t="s">
        <v>3820</v>
      </c>
      <c r="H1400" s="11" t="s">
        <v>3821</v>
      </c>
      <c r="I1400" s="12">
        <v>45537</v>
      </c>
    </row>
    <row r="1401" spans="1:9" x14ac:dyDescent="0.15">
      <c r="A1401" s="9">
        <v>1400</v>
      </c>
      <c r="B1401" s="10" t="s">
        <v>9</v>
      </c>
      <c r="C1401" s="11" t="s">
        <v>10</v>
      </c>
      <c r="D1401" s="12">
        <v>45623</v>
      </c>
      <c r="E1401" s="13" t="str">
        <f>+HYPERLINK("http://trademark.i-assist.jp/data/china/image_1913th/80701988.pdf","80701988")</f>
        <v>80701988</v>
      </c>
      <c r="F1401" s="11" t="s">
        <v>3822</v>
      </c>
      <c r="G1401" s="11" t="s">
        <v>3823</v>
      </c>
      <c r="H1401" s="11" t="s">
        <v>1430</v>
      </c>
      <c r="I1401" s="12">
        <v>45537</v>
      </c>
    </row>
    <row r="1402" spans="1:9" x14ac:dyDescent="0.15">
      <c r="A1402" s="9">
        <v>1401</v>
      </c>
      <c r="B1402" s="10" t="s">
        <v>9</v>
      </c>
      <c r="C1402" s="11" t="s">
        <v>10</v>
      </c>
      <c r="D1402" s="12">
        <v>45623</v>
      </c>
      <c r="E1402" s="13" t="str">
        <f>+HYPERLINK("http://trademark.i-assist.jp/data/china/image_1913th/80656419.pdf","80656419")</f>
        <v>80656419</v>
      </c>
      <c r="F1402" s="11" t="s">
        <v>876</v>
      </c>
      <c r="G1402" s="11" t="s">
        <v>1598</v>
      </c>
      <c r="H1402" s="11" t="s">
        <v>1599</v>
      </c>
      <c r="I1402" s="12">
        <v>45534</v>
      </c>
    </row>
    <row r="1403" spans="1:9" x14ac:dyDescent="0.15">
      <c r="A1403" s="9">
        <v>1402</v>
      </c>
      <c r="B1403" s="10" t="s">
        <v>9</v>
      </c>
      <c r="C1403" s="11" t="s">
        <v>10</v>
      </c>
      <c r="D1403" s="12">
        <v>45623</v>
      </c>
      <c r="E1403" s="13" t="str">
        <f>+HYPERLINK("http://trademark.i-assist.jp/data/china/image_1913th/80663177.pdf","80663177")</f>
        <v>80663177</v>
      </c>
      <c r="F1403" s="11" t="s">
        <v>877</v>
      </c>
      <c r="G1403" s="11" t="s">
        <v>3824</v>
      </c>
      <c r="H1403" s="11" t="s">
        <v>3825</v>
      </c>
      <c r="I1403" s="12">
        <v>45534</v>
      </c>
    </row>
    <row r="1404" spans="1:9" x14ac:dyDescent="0.15">
      <c r="A1404" s="9">
        <v>1403</v>
      </c>
      <c r="B1404" s="10" t="s">
        <v>9</v>
      </c>
      <c r="C1404" s="11" t="s">
        <v>10</v>
      </c>
      <c r="D1404" s="12">
        <v>45623</v>
      </c>
      <c r="E1404" s="13" t="str">
        <f>+HYPERLINK("http://trademark.i-assist.jp/data/china/image_1913th/80828783.pdf","80828783")</f>
        <v>80828783</v>
      </c>
      <c r="F1404" s="11" t="s">
        <v>878</v>
      </c>
      <c r="G1404" s="11" t="s">
        <v>1842</v>
      </c>
      <c r="H1404" s="11" t="s">
        <v>1843</v>
      </c>
      <c r="I1404" s="12">
        <v>45544</v>
      </c>
    </row>
    <row r="1405" spans="1:9" x14ac:dyDescent="0.15">
      <c r="A1405" s="9">
        <v>1404</v>
      </c>
      <c r="B1405" s="10" t="s">
        <v>9</v>
      </c>
      <c r="C1405" s="11" t="s">
        <v>10</v>
      </c>
      <c r="D1405" s="12">
        <v>45623</v>
      </c>
      <c r="E1405" s="13" t="str">
        <f>+HYPERLINK("http://trademark.i-assist.jp/data/china/image_1913th/80832184.pdf","80832184")</f>
        <v>80832184</v>
      </c>
      <c r="F1405" s="11" t="s">
        <v>880</v>
      </c>
      <c r="G1405" s="11" t="s">
        <v>879</v>
      </c>
      <c r="H1405" s="11" t="s">
        <v>3826</v>
      </c>
      <c r="I1405" s="12">
        <v>45544</v>
      </c>
    </row>
    <row r="1406" spans="1:9" x14ac:dyDescent="0.15">
      <c r="A1406" s="9">
        <v>1405</v>
      </c>
      <c r="B1406" s="10" t="s">
        <v>9</v>
      </c>
      <c r="C1406" s="11" t="s">
        <v>10</v>
      </c>
      <c r="D1406" s="12">
        <v>45623</v>
      </c>
      <c r="E1406" s="13" t="str">
        <f>+HYPERLINK("http://trademark.i-assist.jp/data/china/image_1913th/80836318.pdf","80836318")</f>
        <v>80836318</v>
      </c>
      <c r="F1406" s="11" t="s">
        <v>3827</v>
      </c>
      <c r="G1406" s="11" t="s">
        <v>3828</v>
      </c>
      <c r="H1406" s="11" t="s">
        <v>3829</v>
      </c>
      <c r="I1406" s="12">
        <v>45545</v>
      </c>
    </row>
    <row r="1407" spans="1:9" x14ac:dyDescent="0.15">
      <c r="A1407" s="9">
        <v>1406</v>
      </c>
      <c r="B1407" s="10" t="s">
        <v>9</v>
      </c>
      <c r="C1407" s="11" t="s">
        <v>10</v>
      </c>
      <c r="D1407" s="12">
        <v>45623</v>
      </c>
      <c r="E1407" s="13" t="str">
        <f>+HYPERLINK("http://trademark.i-assist.jp/data/china/image_1913th/80836795.pdf","80836795")</f>
        <v>80836795</v>
      </c>
      <c r="F1407" s="11" t="s">
        <v>3830</v>
      </c>
      <c r="G1407" s="11" t="s">
        <v>1457</v>
      </c>
      <c r="H1407" s="11" t="s">
        <v>2415</v>
      </c>
      <c r="I1407" s="12">
        <v>45545</v>
      </c>
    </row>
    <row r="1408" spans="1:9" x14ac:dyDescent="0.15">
      <c r="A1408" s="9">
        <v>1407</v>
      </c>
      <c r="B1408" s="10" t="s">
        <v>9</v>
      </c>
      <c r="C1408" s="11" t="s">
        <v>10</v>
      </c>
      <c r="D1408" s="12">
        <v>45623</v>
      </c>
      <c r="E1408" s="13" t="str">
        <f>+HYPERLINK("http://trademark.i-assist.jp/data/china/image_1913th/80843836.pdf","80843836")</f>
        <v>80843836</v>
      </c>
      <c r="F1408" s="11" t="s">
        <v>3831</v>
      </c>
      <c r="G1408" s="11" t="s">
        <v>2975</v>
      </c>
      <c r="H1408" s="11" t="s">
        <v>2976</v>
      </c>
      <c r="I1408" s="12">
        <v>45545</v>
      </c>
    </row>
    <row r="1409" spans="1:9" x14ac:dyDescent="0.15">
      <c r="A1409" s="9">
        <v>1408</v>
      </c>
      <c r="B1409" s="10" t="s">
        <v>9</v>
      </c>
      <c r="C1409" s="11" t="s">
        <v>10</v>
      </c>
      <c r="D1409" s="12">
        <v>45623</v>
      </c>
      <c r="E1409" s="13" t="str">
        <f>+HYPERLINK("http://trademark.i-assist.jp/data/china/image_1913th/80854943.pdf","80854943")</f>
        <v>80854943</v>
      </c>
      <c r="F1409" s="11" t="s">
        <v>881</v>
      </c>
      <c r="G1409" s="11" t="s">
        <v>1842</v>
      </c>
      <c r="H1409" s="11" t="s">
        <v>1843</v>
      </c>
      <c r="I1409" s="12">
        <v>45545</v>
      </c>
    </row>
    <row r="1410" spans="1:9" x14ac:dyDescent="0.15">
      <c r="A1410" s="9">
        <v>1409</v>
      </c>
      <c r="B1410" s="10" t="s">
        <v>9</v>
      </c>
      <c r="C1410" s="11" t="s">
        <v>10</v>
      </c>
      <c r="D1410" s="12">
        <v>45623</v>
      </c>
      <c r="E1410" s="13" t="str">
        <f>+HYPERLINK("http://trademark.i-assist.jp/data/china/image_1913th/80861185.pdf","80861185")</f>
        <v>80861185</v>
      </c>
      <c r="F1410" s="11" t="s">
        <v>3832</v>
      </c>
      <c r="G1410" s="11" t="s">
        <v>3833</v>
      </c>
      <c r="H1410" s="11" t="s">
        <v>3834</v>
      </c>
      <c r="I1410" s="12">
        <v>45546</v>
      </c>
    </row>
    <row r="1411" spans="1:9" x14ac:dyDescent="0.15">
      <c r="A1411" s="9">
        <v>1410</v>
      </c>
      <c r="B1411" s="10" t="s">
        <v>9</v>
      </c>
      <c r="C1411" s="11" t="s">
        <v>10</v>
      </c>
      <c r="D1411" s="12">
        <v>45623</v>
      </c>
      <c r="E1411" s="13" t="str">
        <f>+HYPERLINK("http://trademark.i-assist.jp/data/china/image_1913th/80871010.pdf","80871010")</f>
        <v>80871010</v>
      </c>
      <c r="F1411" s="11" t="s">
        <v>1335</v>
      </c>
      <c r="G1411" s="11" t="s">
        <v>3835</v>
      </c>
      <c r="H1411" s="11" t="s">
        <v>3836</v>
      </c>
      <c r="I1411" s="12">
        <v>45546</v>
      </c>
    </row>
    <row r="1412" spans="1:9" x14ac:dyDescent="0.15">
      <c r="A1412" s="9">
        <v>1411</v>
      </c>
      <c r="B1412" s="10" t="s">
        <v>9</v>
      </c>
      <c r="C1412" s="11" t="s">
        <v>10</v>
      </c>
      <c r="D1412" s="12">
        <v>45623</v>
      </c>
      <c r="E1412" s="13" t="str">
        <f>+HYPERLINK("http://trademark.i-assist.jp/data/china/image_1913th/80877397.pdf","80877397")</f>
        <v>80877397</v>
      </c>
      <c r="F1412" s="11" t="s">
        <v>882</v>
      </c>
      <c r="G1412" s="11" t="s">
        <v>3837</v>
      </c>
      <c r="H1412" s="11" t="s">
        <v>3838</v>
      </c>
      <c r="I1412" s="12">
        <v>45547</v>
      </c>
    </row>
    <row r="1413" spans="1:9" x14ac:dyDescent="0.15">
      <c r="A1413" s="9">
        <v>1412</v>
      </c>
      <c r="B1413" s="10" t="s">
        <v>9</v>
      </c>
      <c r="C1413" s="11" t="s">
        <v>10</v>
      </c>
      <c r="D1413" s="12">
        <v>45623</v>
      </c>
      <c r="E1413" s="13" t="str">
        <f>+HYPERLINK("http://trademark.i-assist.jp/data/china/image_1913th/80608100.pdf","80608100")</f>
        <v>80608100</v>
      </c>
      <c r="F1413" s="11" t="s">
        <v>3839</v>
      </c>
      <c r="G1413" s="11" t="s">
        <v>3840</v>
      </c>
      <c r="H1413" s="11" t="s">
        <v>3841</v>
      </c>
      <c r="I1413" s="12">
        <v>45532</v>
      </c>
    </row>
    <row r="1414" spans="1:9" x14ac:dyDescent="0.15">
      <c r="A1414" s="9">
        <v>1413</v>
      </c>
      <c r="B1414" s="10" t="s">
        <v>9</v>
      </c>
      <c r="C1414" s="11" t="s">
        <v>10</v>
      </c>
      <c r="D1414" s="12">
        <v>45623</v>
      </c>
      <c r="E1414" s="13" t="str">
        <f>+HYPERLINK("http://trademark.i-assist.jp/data/china/image_1913th/80611053.pdf","80611053")</f>
        <v>80611053</v>
      </c>
      <c r="F1414" s="11" t="s">
        <v>883</v>
      </c>
      <c r="G1414" s="11" t="s">
        <v>3842</v>
      </c>
      <c r="H1414" s="11" t="s">
        <v>3843</v>
      </c>
      <c r="I1414" s="12">
        <v>45532</v>
      </c>
    </row>
    <row r="1415" spans="1:9" x14ac:dyDescent="0.15">
      <c r="A1415" s="9">
        <v>1414</v>
      </c>
      <c r="B1415" s="10" t="s">
        <v>9</v>
      </c>
      <c r="C1415" s="11" t="s">
        <v>10</v>
      </c>
      <c r="D1415" s="12">
        <v>45623</v>
      </c>
      <c r="E1415" s="13" t="str">
        <f>+HYPERLINK("http://trademark.i-assist.jp/data/china/image_1913th/80615056.pdf","80615056")</f>
        <v>80615056</v>
      </c>
      <c r="F1415" s="11" t="s">
        <v>3844</v>
      </c>
      <c r="G1415" s="11" t="s">
        <v>3450</v>
      </c>
      <c r="H1415" s="11" t="s">
        <v>3451</v>
      </c>
      <c r="I1415" s="12">
        <v>45532</v>
      </c>
    </row>
    <row r="1416" spans="1:9" x14ac:dyDescent="0.15">
      <c r="A1416" s="9">
        <v>1415</v>
      </c>
      <c r="B1416" s="10" t="s">
        <v>9</v>
      </c>
      <c r="C1416" s="11" t="s">
        <v>10</v>
      </c>
      <c r="D1416" s="12">
        <v>45623</v>
      </c>
      <c r="E1416" s="13" t="str">
        <f>+HYPERLINK("http://trademark.i-assist.jp/data/china/image_1913th/80616707.pdf","80616707")</f>
        <v>80616707</v>
      </c>
      <c r="F1416" s="11" t="s">
        <v>3845</v>
      </c>
      <c r="G1416" s="11" t="s">
        <v>3846</v>
      </c>
      <c r="H1416" s="11" t="s">
        <v>3847</v>
      </c>
      <c r="I1416" s="12">
        <v>45532</v>
      </c>
    </row>
    <row r="1417" spans="1:9" x14ac:dyDescent="0.15">
      <c r="A1417" s="9">
        <v>1416</v>
      </c>
      <c r="B1417" s="10" t="s">
        <v>9</v>
      </c>
      <c r="C1417" s="11" t="s">
        <v>10</v>
      </c>
      <c r="D1417" s="12">
        <v>45623</v>
      </c>
      <c r="E1417" s="13" t="str">
        <f>+HYPERLINK("http://trademark.i-assist.jp/data/china/image_1913th/80617590.pdf","80617590")</f>
        <v>80617590</v>
      </c>
      <c r="F1417" s="11" t="s">
        <v>3848</v>
      </c>
      <c r="G1417" s="11" t="s">
        <v>3849</v>
      </c>
      <c r="H1417" s="11" t="s">
        <v>3850</v>
      </c>
      <c r="I1417" s="12">
        <v>45532</v>
      </c>
    </row>
    <row r="1418" spans="1:9" x14ac:dyDescent="0.15">
      <c r="A1418" s="9">
        <v>1417</v>
      </c>
      <c r="B1418" s="10" t="s">
        <v>9</v>
      </c>
      <c r="C1418" s="11" t="s">
        <v>10</v>
      </c>
      <c r="D1418" s="12">
        <v>45623</v>
      </c>
      <c r="E1418" s="13" t="str">
        <f>+HYPERLINK("http://trademark.i-assist.jp/data/china/image_1913th/80618989.pdf","80618989")</f>
        <v>80618989</v>
      </c>
      <c r="F1418" s="11" t="s">
        <v>3851</v>
      </c>
      <c r="G1418" s="11" t="s">
        <v>3852</v>
      </c>
      <c r="H1418" s="11" t="s">
        <v>3853</v>
      </c>
      <c r="I1418" s="12">
        <v>45532</v>
      </c>
    </row>
    <row r="1419" spans="1:9" x14ac:dyDescent="0.15">
      <c r="A1419" s="9">
        <v>1418</v>
      </c>
      <c r="B1419" s="10" t="s">
        <v>9</v>
      </c>
      <c r="C1419" s="11" t="s">
        <v>10</v>
      </c>
      <c r="D1419" s="12">
        <v>45623</v>
      </c>
      <c r="E1419" s="13" t="str">
        <f>+HYPERLINK("http://trademark.i-assist.jp/data/china/image_1913th/80624296.pdf","80624296")</f>
        <v>80624296</v>
      </c>
      <c r="F1419" s="11" t="s">
        <v>884</v>
      </c>
      <c r="G1419" s="11" t="s">
        <v>3854</v>
      </c>
      <c r="H1419" s="11" t="s">
        <v>3855</v>
      </c>
      <c r="I1419" s="12">
        <v>45532</v>
      </c>
    </row>
    <row r="1420" spans="1:9" x14ac:dyDescent="0.15">
      <c r="A1420" s="9">
        <v>1419</v>
      </c>
      <c r="B1420" s="10" t="s">
        <v>9</v>
      </c>
      <c r="C1420" s="11" t="s">
        <v>10</v>
      </c>
      <c r="D1420" s="12">
        <v>45623</v>
      </c>
      <c r="E1420" s="13" t="str">
        <f>+HYPERLINK("http://trademark.i-assist.jp/data/china/image_1913th/80624513.pdf","80624513")</f>
        <v>80624513</v>
      </c>
      <c r="F1420" s="11" t="s">
        <v>3856</v>
      </c>
      <c r="G1420" s="11" t="s">
        <v>3857</v>
      </c>
      <c r="H1420" s="11" t="s">
        <v>3858</v>
      </c>
      <c r="I1420" s="12">
        <v>45532</v>
      </c>
    </row>
    <row r="1421" spans="1:9" x14ac:dyDescent="0.15">
      <c r="A1421" s="9">
        <v>1420</v>
      </c>
      <c r="B1421" s="10" t="s">
        <v>9</v>
      </c>
      <c r="C1421" s="11" t="s">
        <v>10</v>
      </c>
      <c r="D1421" s="12">
        <v>45623</v>
      </c>
      <c r="E1421" s="13" t="str">
        <f>+HYPERLINK("http://trademark.i-assist.jp/data/china/image_1913th/80789551.pdf","80789551")</f>
        <v>80789551</v>
      </c>
      <c r="F1421" s="11" t="s">
        <v>1335</v>
      </c>
      <c r="G1421" s="11" t="s">
        <v>3553</v>
      </c>
      <c r="H1421" s="11" t="s">
        <v>3554</v>
      </c>
      <c r="I1421" s="12">
        <v>45541</v>
      </c>
    </row>
    <row r="1422" spans="1:9" x14ac:dyDescent="0.15">
      <c r="A1422" s="9">
        <v>1421</v>
      </c>
      <c r="B1422" s="10" t="s">
        <v>9</v>
      </c>
      <c r="C1422" s="11" t="s">
        <v>10</v>
      </c>
      <c r="D1422" s="12">
        <v>45623</v>
      </c>
      <c r="E1422" s="13" t="str">
        <f>+HYPERLINK("http://trademark.i-assist.jp/data/china/image_1913th/80790186.pdf","80790186")</f>
        <v>80790186</v>
      </c>
      <c r="F1422" s="11" t="s">
        <v>3859</v>
      </c>
      <c r="G1422" s="11" t="s">
        <v>3860</v>
      </c>
      <c r="H1422" s="11" t="s">
        <v>3861</v>
      </c>
      <c r="I1422" s="12">
        <v>45541</v>
      </c>
    </row>
    <row r="1423" spans="1:9" x14ac:dyDescent="0.15">
      <c r="A1423" s="9">
        <v>1422</v>
      </c>
      <c r="B1423" s="10" t="s">
        <v>9</v>
      </c>
      <c r="C1423" s="11" t="s">
        <v>10</v>
      </c>
      <c r="D1423" s="12">
        <v>45623</v>
      </c>
      <c r="E1423" s="13" t="str">
        <f>+HYPERLINK("http://trademark.i-assist.jp/data/china/image_1913th/80790180.pdf","80790180")</f>
        <v>80790180</v>
      </c>
      <c r="F1423" s="11" t="s">
        <v>3862</v>
      </c>
      <c r="G1423" s="11" t="s">
        <v>3863</v>
      </c>
      <c r="H1423" s="11" t="s">
        <v>3864</v>
      </c>
      <c r="I1423" s="12">
        <v>45541</v>
      </c>
    </row>
    <row r="1424" spans="1:9" x14ac:dyDescent="0.15">
      <c r="A1424" s="9">
        <v>1423</v>
      </c>
      <c r="B1424" s="10" t="s">
        <v>9</v>
      </c>
      <c r="C1424" s="11" t="s">
        <v>10</v>
      </c>
      <c r="D1424" s="12">
        <v>45623</v>
      </c>
      <c r="E1424" s="13" t="str">
        <f>+HYPERLINK("http://trademark.i-assist.jp/data/china/image_1913th/80793925.pdf","80793925")</f>
        <v>80793925</v>
      </c>
      <c r="F1424" s="11" t="s">
        <v>886</v>
      </c>
      <c r="G1424" s="11" t="s">
        <v>885</v>
      </c>
      <c r="H1424" s="11" t="s">
        <v>3865</v>
      </c>
      <c r="I1424" s="12">
        <v>45541</v>
      </c>
    </row>
    <row r="1425" spans="1:9" x14ac:dyDescent="0.15">
      <c r="A1425" s="9">
        <v>1424</v>
      </c>
      <c r="B1425" s="10" t="s">
        <v>9</v>
      </c>
      <c r="C1425" s="11" t="s">
        <v>10</v>
      </c>
      <c r="D1425" s="12">
        <v>45623</v>
      </c>
      <c r="E1425" s="13" t="str">
        <f>+HYPERLINK("http://trademark.i-assist.jp/data/china/image_1913th/80796626.pdf","80796626")</f>
        <v>80796626</v>
      </c>
      <c r="F1425" s="11" t="s">
        <v>887</v>
      </c>
      <c r="G1425" s="11" t="s">
        <v>3866</v>
      </c>
      <c r="H1425" s="11" t="s">
        <v>3867</v>
      </c>
      <c r="I1425" s="12">
        <v>45541</v>
      </c>
    </row>
    <row r="1426" spans="1:9" x14ac:dyDescent="0.15">
      <c r="A1426" s="9">
        <v>1425</v>
      </c>
      <c r="B1426" s="10" t="s">
        <v>9</v>
      </c>
      <c r="C1426" s="11" t="s">
        <v>10</v>
      </c>
      <c r="D1426" s="12">
        <v>45623</v>
      </c>
      <c r="E1426" s="13" t="str">
        <f>+HYPERLINK("http://trademark.i-assist.jp/data/china/image_1913th/80809353.pdf","80809353")</f>
        <v>80809353</v>
      </c>
      <c r="F1426" s="11" t="s">
        <v>888</v>
      </c>
      <c r="G1426" s="11" t="s">
        <v>1919</v>
      </c>
      <c r="H1426" s="11" t="s">
        <v>1920</v>
      </c>
      <c r="I1426" s="12">
        <v>45544</v>
      </c>
    </row>
    <row r="1427" spans="1:9" x14ac:dyDescent="0.15">
      <c r="A1427" s="9">
        <v>1426</v>
      </c>
      <c r="B1427" s="10" t="s">
        <v>9</v>
      </c>
      <c r="C1427" s="11" t="s">
        <v>10</v>
      </c>
      <c r="D1427" s="12">
        <v>45623</v>
      </c>
      <c r="E1427" s="13" t="str">
        <f>+HYPERLINK("http://trademark.i-assist.jp/data/china/image_1913th/80810581.pdf","80810581")</f>
        <v>80810581</v>
      </c>
      <c r="F1427" s="11" t="s">
        <v>889</v>
      </c>
      <c r="G1427" s="11" t="s">
        <v>3868</v>
      </c>
      <c r="H1427" s="11" t="s">
        <v>3869</v>
      </c>
      <c r="I1427" s="12">
        <v>45544</v>
      </c>
    </row>
    <row r="1428" spans="1:9" x14ac:dyDescent="0.15">
      <c r="A1428" s="9">
        <v>1427</v>
      </c>
      <c r="B1428" s="10" t="s">
        <v>9</v>
      </c>
      <c r="C1428" s="11" t="s">
        <v>10</v>
      </c>
      <c r="D1428" s="12">
        <v>45623</v>
      </c>
      <c r="E1428" s="13" t="str">
        <f>+HYPERLINK("http://trademark.i-assist.jp/data/china/image_1913th/80817963.pdf","80817963")</f>
        <v>80817963</v>
      </c>
      <c r="F1428" s="11" t="s">
        <v>3870</v>
      </c>
      <c r="G1428" s="11" t="s">
        <v>3871</v>
      </c>
      <c r="H1428" s="11" t="s">
        <v>3872</v>
      </c>
      <c r="I1428" s="12">
        <v>45544</v>
      </c>
    </row>
    <row r="1429" spans="1:9" x14ac:dyDescent="0.15">
      <c r="A1429" s="9">
        <v>1428</v>
      </c>
      <c r="B1429" s="10" t="s">
        <v>9</v>
      </c>
      <c r="C1429" s="11" t="s">
        <v>10</v>
      </c>
      <c r="D1429" s="12">
        <v>45623</v>
      </c>
      <c r="E1429" s="13" t="str">
        <f>+HYPERLINK("http://trademark.i-assist.jp/data/china/image_1913th/80821159.pdf","80821159")</f>
        <v>80821159</v>
      </c>
      <c r="F1429" s="11" t="s">
        <v>890</v>
      </c>
      <c r="G1429" s="11" t="s">
        <v>3873</v>
      </c>
      <c r="H1429" s="11" t="s">
        <v>3874</v>
      </c>
      <c r="I1429" s="12">
        <v>45544</v>
      </c>
    </row>
    <row r="1430" spans="1:9" x14ac:dyDescent="0.15">
      <c r="A1430" s="9">
        <v>1429</v>
      </c>
      <c r="B1430" s="10" t="s">
        <v>9</v>
      </c>
      <c r="C1430" s="11" t="s">
        <v>10</v>
      </c>
      <c r="D1430" s="12">
        <v>45623</v>
      </c>
      <c r="E1430" s="13" t="str">
        <f>+HYPERLINK("http://trademark.i-assist.jp/data/china/image_1913th/80821549.pdf","80821549")</f>
        <v>80821549</v>
      </c>
      <c r="F1430" s="11" t="s">
        <v>891</v>
      </c>
      <c r="G1430" s="11" t="s">
        <v>3875</v>
      </c>
      <c r="H1430" s="11" t="s">
        <v>1963</v>
      </c>
      <c r="I1430" s="12">
        <v>45544</v>
      </c>
    </row>
    <row r="1431" spans="1:9" x14ac:dyDescent="0.15">
      <c r="A1431" s="9">
        <v>1430</v>
      </c>
      <c r="B1431" s="10" t="s">
        <v>9</v>
      </c>
      <c r="C1431" s="11" t="s">
        <v>10</v>
      </c>
      <c r="D1431" s="12">
        <v>45623</v>
      </c>
      <c r="E1431" s="13" t="str">
        <f>+HYPERLINK("http://trademark.i-assist.jp/data/china/image_1913th/80762437.pdf","80762437")</f>
        <v>80762437</v>
      </c>
      <c r="F1431" s="11" t="s">
        <v>892</v>
      </c>
      <c r="G1431" s="11" t="s">
        <v>2603</v>
      </c>
      <c r="H1431" s="11" t="s">
        <v>2604</v>
      </c>
      <c r="I1431" s="12">
        <v>45540</v>
      </c>
    </row>
    <row r="1432" spans="1:9" x14ac:dyDescent="0.15">
      <c r="A1432" s="9">
        <v>1431</v>
      </c>
      <c r="B1432" s="10" t="s">
        <v>9</v>
      </c>
      <c r="C1432" s="11" t="s">
        <v>10</v>
      </c>
      <c r="D1432" s="12">
        <v>45623</v>
      </c>
      <c r="E1432" s="13" t="str">
        <f>+HYPERLINK("http://trademark.i-assist.jp/data/china/image_1913th/80783489.pdf","80783489")</f>
        <v>80783489</v>
      </c>
      <c r="F1432" s="11" t="s">
        <v>893</v>
      </c>
      <c r="G1432" s="11" t="s">
        <v>115</v>
      </c>
      <c r="H1432" s="11" t="s">
        <v>1567</v>
      </c>
      <c r="I1432" s="12">
        <v>45541</v>
      </c>
    </row>
    <row r="1433" spans="1:9" x14ac:dyDescent="0.15">
      <c r="A1433" s="9">
        <v>1432</v>
      </c>
      <c r="B1433" s="10" t="s">
        <v>9</v>
      </c>
      <c r="C1433" s="11" t="s">
        <v>10</v>
      </c>
      <c r="D1433" s="12">
        <v>45623</v>
      </c>
      <c r="E1433" s="13" t="str">
        <f>+HYPERLINK("http://trademark.i-assist.jp/data/china/image_1913th/80786849.pdf","80786849")</f>
        <v>80786849</v>
      </c>
      <c r="F1433" s="11" t="s">
        <v>3876</v>
      </c>
      <c r="G1433" s="11" t="s">
        <v>3877</v>
      </c>
      <c r="H1433" s="11" t="s">
        <v>3199</v>
      </c>
      <c r="I1433" s="12">
        <v>45541</v>
      </c>
    </row>
    <row r="1434" spans="1:9" x14ac:dyDescent="0.15">
      <c r="A1434" s="9">
        <v>1433</v>
      </c>
      <c r="B1434" s="10" t="s">
        <v>9</v>
      </c>
      <c r="C1434" s="11" t="s">
        <v>10</v>
      </c>
      <c r="D1434" s="12">
        <v>45623</v>
      </c>
      <c r="E1434" s="13" t="str">
        <f>+HYPERLINK("http://trademark.i-assist.jp/data/china/image_1913th/80787990.pdf","80787990")</f>
        <v>80787990</v>
      </c>
      <c r="F1434" s="11" t="s">
        <v>894</v>
      </c>
      <c r="G1434" s="11" t="s">
        <v>3878</v>
      </c>
      <c r="H1434" s="11" t="s">
        <v>3879</v>
      </c>
      <c r="I1434" s="12">
        <v>45541</v>
      </c>
    </row>
    <row r="1435" spans="1:9" x14ac:dyDescent="0.15">
      <c r="A1435" s="9">
        <v>1434</v>
      </c>
      <c r="B1435" s="10" t="s">
        <v>9</v>
      </c>
      <c r="C1435" s="11" t="s">
        <v>10</v>
      </c>
      <c r="D1435" s="12">
        <v>45623</v>
      </c>
      <c r="E1435" s="13" t="str">
        <f>+HYPERLINK("http://trademark.i-assist.jp/data/china/image_1913th/67058954.pdf","67058954")</f>
        <v>67058954</v>
      </c>
      <c r="F1435" s="11" t="s">
        <v>3880</v>
      </c>
      <c r="G1435" s="11" t="s">
        <v>1297</v>
      </c>
      <c r="H1435" s="11" t="s">
        <v>1298</v>
      </c>
      <c r="I1435" s="12">
        <v>44810</v>
      </c>
    </row>
    <row r="1436" spans="1:9" x14ac:dyDescent="0.15">
      <c r="A1436" s="9">
        <v>1435</v>
      </c>
      <c r="B1436" s="10" t="s">
        <v>9</v>
      </c>
      <c r="C1436" s="11" t="s">
        <v>10</v>
      </c>
      <c r="D1436" s="12">
        <v>45623</v>
      </c>
      <c r="E1436" s="13" t="str">
        <f>+HYPERLINK("http://trademark.i-assist.jp/data/china/image_1913th/79886397.pdf","79886397")</f>
        <v>79886397</v>
      </c>
      <c r="F1436" s="11" t="s">
        <v>895</v>
      </c>
      <c r="G1436" s="11" t="s">
        <v>3881</v>
      </c>
      <c r="H1436" s="11" t="s">
        <v>3613</v>
      </c>
      <c r="I1436" s="12">
        <v>45492</v>
      </c>
    </row>
    <row r="1437" spans="1:9" x14ac:dyDescent="0.15">
      <c r="A1437" s="9">
        <v>1436</v>
      </c>
      <c r="B1437" s="10" t="s">
        <v>9</v>
      </c>
      <c r="C1437" s="11" t="s">
        <v>10</v>
      </c>
      <c r="D1437" s="12">
        <v>45623</v>
      </c>
      <c r="E1437" s="13" t="str">
        <f>+HYPERLINK("http://trademark.i-assist.jp/data/china/image_1913th/79906871.pdf","79906871")</f>
        <v>79906871</v>
      </c>
      <c r="F1437" s="11" t="s">
        <v>896</v>
      </c>
      <c r="G1437" s="11" t="s">
        <v>3286</v>
      </c>
      <c r="H1437" s="11" t="s">
        <v>3287</v>
      </c>
      <c r="I1437" s="12">
        <v>45493</v>
      </c>
    </row>
    <row r="1438" spans="1:9" x14ac:dyDescent="0.15">
      <c r="A1438" s="9">
        <v>1437</v>
      </c>
      <c r="B1438" s="10" t="s">
        <v>9</v>
      </c>
      <c r="C1438" s="11" t="s">
        <v>10</v>
      </c>
      <c r="D1438" s="12">
        <v>45623</v>
      </c>
      <c r="E1438" s="13" t="str">
        <f>+HYPERLINK("http://trademark.i-assist.jp/data/china/image_1913th/80471226.pdf","80471226")</f>
        <v>80471226</v>
      </c>
      <c r="F1438" s="11" t="s">
        <v>3882</v>
      </c>
      <c r="G1438" s="11" t="s">
        <v>3883</v>
      </c>
      <c r="H1438" s="11" t="s">
        <v>3884</v>
      </c>
      <c r="I1438" s="12">
        <v>45524</v>
      </c>
    </row>
    <row r="1439" spans="1:9" x14ac:dyDescent="0.15">
      <c r="A1439" s="9">
        <v>1438</v>
      </c>
      <c r="B1439" s="10" t="s">
        <v>9</v>
      </c>
      <c r="C1439" s="11" t="s">
        <v>10</v>
      </c>
      <c r="D1439" s="12">
        <v>45623</v>
      </c>
      <c r="E1439" s="13" t="str">
        <f>+HYPERLINK("http://trademark.i-assist.jp/data/china/image_1913th/80480037.pdf","80480037")</f>
        <v>80480037</v>
      </c>
      <c r="F1439" s="11" t="s">
        <v>3885</v>
      </c>
      <c r="G1439" s="11" t="s">
        <v>897</v>
      </c>
      <c r="H1439" s="11" t="s">
        <v>3886</v>
      </c>
      <c r="I1439" s="12">
        <v>45525</v>
      </c>
    </row>
    <row r="1440" spans="1:9" x14ac:dyDescent="0.15">
      <c r="A1440" s="9">
        <v>1439</v>
      </c>
      <c r="B1440" s="10" t="s">
        <v>9</v>
      </c>
      <c r="C1440" s="11" t="s">
        <v>10</v>
      </c>
      <c r="D1440" s="12">
        <v>45623</v>
      </c>
      <c r="E1440" s="13" t="str">
        <f>+HYPERLINK("http://trademark.i-assist.jp/data/china/image_1913th/80491726.pdf","80491726")</f>
        <v>80491726</v>
      </c>
      <c r="F1440" s="11" t="s">
        <v>3887</v>
      </c>
      <c r="G1440" s="11" t="s">
        <v>3888</v>
      </c>
      <c r="H1440" s="11" t="s">
        <v>3889</v>
      </c>
      <c r="I1440" s="12">
        <v>45525</v>
      </c>
    </row>
    <row r="1441" spans="1:9" x14ac:dyDescent="0.15">
      <c r="A1441" s="9">
        <v>1440</v>
      </c>
      <c r="B1441" s="10" t="s">
        <v>9</v>
      </c>
      <c r="C1441" s="11" t="s">
        <v>10</v>
      </c>
      <c r="D1441" s="12">
        <v>45623</v>
      </c>
      <c r="E1441" s="13" t="str">
        <f>+HYPERLINK("http://trademark.i-assist.jp/data/china/image_1913th/80494249.pdf","80494249")</f>
        <v>80494249</v>
      </c>
      <c r="F1441" s="11" t="s">
        <v>898</v>
      </c>
      <c r="G1441" s="11" t="s">
        <v>3890</v>
      </c>
      <c r="H1441" s="11" t="s">
        <v>1685</v>
      </c>
      <c r="I1441" s="12">
        <v>45525</v>
      </c>
    </row>
    <row r="1442" spans="1:9" x14ac:dyDescent="0.15">
      <c r="A1442" s="9">
        <v>1441</v>
      </c>
      <c r="B1442" s="10" t="s">
        <v>9</v>
      </c>
      <c r="C1442" s="11" t="s">
        <v>10</v>
      </c>
      <c r="D1442" s="12">
        <v>45623</v>
      </c>
      <c r="E1442" s="13" t="str">
        <f>+HYPERLINK("http://trademark.i-assist.jp/data/china/image_1913th/80502949.pdf","80502949")</f>
        <v>80502949</v>
      </c>
      <c r="F1442" s="11" t="s">
        <v>900</v>
      </c>
      <c r="G1442" s="11" t="s">
        <v>899</v>
      </c>
      <c r="H1442" s="11" t="s">
        <v>3891</v>
      </c>
      <c r="I1442" s="12">
        <v>45526</v>
      </c>
    </row>
    <row r="1443" spans="1:9" x14ac:dyDescent="0.15">
      <c r="A1443" s="9">
        <v>1442</v>
      </c>
      <c r="B1443" s="10" t="s">
        <v>9</v>
      </c>
      <c r="C1443" s="11" t="s">
        <v>10</v>
      </c>
      <c r="D1443" s="12">
        <v>45623</v>
      </c>
      <c r="E1443" s="13" t="str">
        <f>+HYPERLINK("http://trademark.i-assist.jp/data/china/image_1913th/80512306.pdf","80512306")</f>
        <v>80512306</v>
      </c>
      <c r="F1443" s="11" t="s">
        <v>3892</v>
      </c>
      <c r="G1443" s="11" t="s">
        <v>3893</v>
      </c>
      <c r="H1443" s="11" t="s">
        <v>3504</v>
      </c>
      <c r="I1443" s="12">
        <v>45526</v>
      </c>
    </row>
    <row r="1444" spans="1:9" x14ac:dyDescent="0.15">
      <c r="A1444" s="9">
        <v>1443</v>
      </c>
      <c r="B1444" s="10" t="s">
        <v>9</v>
      </c>
      <c r="C1444" s="11" t="s">
        <v>10</v>
      </c>
      <c r="D1444" s="12">
        <v>45623</v>
      </c>
      <c r="E1444" s="13" t="str">
        <f>+HYPERLINK("http://trademark.i-assist.jp/data/china/image_1913th/80514194.pdf","80514194")</f>
        <v>80514194</v>
      </c>
      <c r="F1444" s="11" t="s">
        <v>3894</v>
      </c>
      <c r="G1444" s="11" t="s">
        <v>2313</v>
      </c>
      <c r="H1444" s="11" t="s">
        <v>2314</v>
      </c>
      <c r="I1444" s="12">
        <v>45526</v>
      </c>
    </row>
    <row r="1445" spans="1:9" x14ac:dyDescent="0.15">
      <c r="A1445" s="9">
        <v>1444</v>
      </c>
      <c r="B1445" s="10" t="s">
        <v>9</v>
      </c>
      <c r="C1445" s="11" t="s">
        <v>10</v>
      </c>
      <c r="D1445" s="12">
        <v>45623</v>
      </c>
      <c r="E1445" s="13" t="str">
        <f>+HYPERLINK("http://trademark.i-assist.jp/data/china/image_1913th/80514463.pdf","80514463")</f>
        <v>80514463</v>
      </c>
      <c r="F1445" s="11" t="s">
        <v>901</v>
      </c>
      <c r="G1445" s="11" t="s">
        <v>3895</v>
      </c>
      <c r="H1445" s="11" t="s">
        <v>3896</v>
      </c>
      <c r="I1445" s="12">
        <v>45526</v>
      </c>
    </row>
    <row r="1446" spans="1:9" x14ac:dyDescent="0.15">
      <c r="A1446" s="9">
        <v>1445</v>
      </c>
      <c r="B1446" s="10" t="s">
        <v>9</v>
      </c>
      <c r="C1446" s="11" t="s">
        <v>10</v>
      </c>
      <c r="D1446" s="12">
        <v>45623</v>
      </c>
      <c r="E1446" s="13" t="str">
        <f>+HYPERLINK("http://trademark.i-assist.jp/data/china/image_1913th/80523977.pdf","80523977")</f>
        <v>80523977</v>
      </c>
      <c r="F1446" s="11" t="s">
        <v>902</v>
      </c>
      <c r="G1446" s="11" t="s">
        <v>1313</v>
      </c>
      <c r="H1446" s="11" t="s">
        <v>1314</v>
      </c>
      <c r="I1446" s="12">
        <v>45527</v>
      </c>
    </row>
    <row r="1447" spans="1:9" x14ac:dyDescent="0.15">
      <c r="A1447" s="9">
        <v>1446</v>
      </c>
      <c r="B1447" s="10" t="s">
        <v>9</v>
      </c>
      <c r="C1447" s="11" t="s">
        <v>10</v>
      </c>
      <c r="D1447" s="12">
        <v>45623</v>
      </c>
      <c r="E1447" s="13" t="str">
        <f>+HYPERLINK("http://trademark.i-assist.jp/data/china/image_1913th/80541810.pdf","80541810")</f>
        <v>80541810</v>
      </c>
      <c r="F1447" s="11" t="s">
        <v>903</v>
      </c>
      <c r="G1447" s="11" t="s">
        <v>3897</v>
      </c>
      <c r="H1447" s="11" t="s">
        <v>3898</v>
      </c>
      <c r="I1447" s="12">
        <v>45527</v>
      </c>
    </row>
    <row r="1448" spans="1:9" x14ac:dyDescent="0.15">
      <c r="A1448" s="9">
        <v>1447</v>
      </c>
      <c r="B1448" s="10" t="s">
        <v>9</v>
      </c>
      <c r="C1448" s="11" t="s">
        <v>10</v>
      </c>
      <c r="D1448" s="12">
        <v>45623</v>
      </c>
      <c r="E1448" s="13" t="str">
        <f>+HYPERLINK("http://trademark.i-assist.jp/data/china/image_1913th/80651647.pdf","80651647")</f>
        <v>80651647</v>
      </c>
      <c r="F1448" s="11" t="s">
        <v>904</v>
      </c>
      <c r="G1448" s="11" t="s">
        <v>3899</v>
      </c>
      <c r="H1448" s="11" t="s">
        <v>3900</v>
      </c>
      <c r="I1448" s="12">
        <v>45534</v>
      </c>
    </row>
    <row r="1449" spans="1:9" x14ac:dyDescent="0.15">
      <c r="A1449" s="9">
        <v>1448</v>
      </c>
      <c r="B1449" s="10" t="s">
        <v>9</v>
      </c>
      <c r="C1449" s="11" t="s">
        <v>10</v>
      </c>
      <c r="D1449" s="12">
        <v>45623</v>
      </c>
      <c r="E1449" s="13" t="str">
        <f>+HYPERLINK("http://trademark.i-assist.jp/data/china/image_1913th/80655690.pdf","80655690")</f>
        <v>80655690</v>
      </c>
      <c r="F1449" s="11" t="s">
        <v>3901</v>
      </c>
      <c r="G1449" s="11" t="s">
        <v>905</v>
      </c>
      <c r="H1449" s="11" t="s">
        <v>1592</v>
      </c>
      <c r="I1449" s="12">
        <v>45534</v>
      </c>
    </row>
    <row r="1450" spans="1:9" x14ac:dyDescent="0.15">
      <c r="A1450" s="9">
        <v>1449</v>
      </c>
      <c r="B1450" s="10" t="s">
        <v>9</v>
      </c>
      <c r="C1450" s="11" t="s">
        <v>10</v>
      </c>
      <c r="D1450" s="12">
        <v>45623</v>
      </c>
      <c r="E1450" s="13" t="str">
        <f>+HYPERLINK("http://trademark.i-assist.jp/data/china/image_1913th/80656298.pdf","80656298")</f>
        <v>80656298</v>
      </c>
      <c r="F1450" s="11" t="s">
        <v>632</v>
      </c>
      <c r="G1450" s="11" t="s">
        <v>631</v>
      </c>
      <c r="H1450" s="11" t="s">
        <v>3157</v>
      </c>
      <c r="I1450" s="12">
        <v>45534</v>
      </c>
    </row>
    <row r="1451" spans="1:9" x14ac:dyDescent="0.15">
      <c r="A1451" s="9">
        <v>1450</v>
      </c>
      <c r="B1451" s="10" t="s">
        <v>9</v>
      </c>
      <c r="C1451" s="11" t="s">
        <v>10</v>
      </c>
      <c r="D1451" s="12">
        <v>45623</v>
      </c>
      <c r="E1451" s="13" t="str">
        <f>+HYPERLINK("http://trademark.i-assist.jp/data/china/image_1913th/80658268.pdf","80658268")</f>
        <v>80658268</v>
      </c>
      <c r="F1451" s="11" t="s">
        <v>3902</v>
      </c>
      <c r="G1451" s="11" t="s">
        <v>1601</v>
      </c>
      <c r="H1451" s="11" t="s">
        <v>1602</v>
      </c>
      <c r="I1451" s="12">
        <v>45534</v>
      </c>
    </row>
    <row r="1452" spans="1:9" x14ac:dyDescent="0.15">
      <c r="A1452" s="9">
        <v>1451</v>
      </c>
      <c r="B1452" s="10" t="s">
        <v>9</v>
      </c>
      <c r="C1452" s="11" t="s">
        <v>10</v>
      </c>
      <c r="D1452" s="12">
        <v>45623</v>
      </c>
      <c r="E1452" s="13" t="str">
        <f>+HYPERLINK("http://trademark.i-assist.jp/data/china/image_1913th/80660319.pdf","80660319")</f>
        <v>80660319</v>
      </c>
      <c r="F1452" s="11" t="s">
        <v>3903</v>
      </c>
      <c r="G1452" s="11" t="s">
        <v>906</v>
      </c>
      <c r="H1452" s="11" t="s">
        <v>3904</v>
      </c>
      <c r="I1452" s="12">
        <v>45534</v>
      </c>
    </row>
    <row r="1453" spans="1:9" x14ac:dyDescent="0.15">
      <c r="A1453" s="9">
        <v>1452</v>
      </c>
      <c r="B1453" s="10" t="s">
        <v>9</v>
      </c>
      <c r="C1453" s="11" t="s">
        <v>10</v>
      </c>
      <c r="D1453" s="12">
        <v>45623</v>
      </c>
      <c r="E1453" s="13" t="str">
        <f>+HYPERLINK("http://trademark.i-assist.jp/data/china/image_1913th/80660587.pdf","80660587")</f>
        <v>80660587</v>
      </c>
      <c r="F1453" s="11" t="s">
        <v>3905</v>
      </c>
      <c r="G1453" s="11" t="s">
        <v>907</v>
      </c>
      <c r="H1453" s="11" t="s">
        <v>3906</v>
      </c>
      <c r="I1453" s="12">
        <v>45534</v>
      </c>
    </row>
    <row r="1454" spans="1:9" x14ac:dyDescent="0.15">
      <c r="A1454" s="9">
        <v>1453</v>
      </c>
      <c r="B1454" s="10" t="s">
        <v>9</v>
      </c>
      <c r="C1454" s="11" t="s">
        <v>10</v>
      </c>
      <c r="D1454" s="12">
        <v>45623</v>
      </c>
      <c r="E1454" s="13" t="str">
        <f>+HYPERLINK("http://trademark.i-assist.jp/data/china/image_1913th/80664752.pdf","80664752")</f>
        <v>80664752</v>
      </c>
      <c r="F1454" s="11" t="s">
        <v>3907</v>
      </c>
      <c r="G1454" s="11" t="s">
        <v>2190</v>
      </c>
      <c r="H1454" s="11" t="s">
        <v>2191</v>
      </c>
      <c r="I1454" s="12">
        <v>45534</v>
      </c>
    </row>
    <row r="1455" spans="1:9" x14ac:dyDescent="0.15">
      <c r="A1455" s="9">
        <v>1454</v>
      </c>
      <c r="B1455" s="10" t="s">
        <v>9</v>
      </c>
      <c r="C1455" s="11" t="s">
        <v>10</v>
      </c>
      <c r="D1455" s="12">
        <v>45623</v>
      </c>
      <c r="E1455" s="13" t="str">
        <f>+HYPERLINK("http://trademark.i-assist.jp/data/china/image_1913th/80667730.pdf","80667730")</f>
        <v>80667730</v>
      </c>
      <c r="F1455" s="11" t="s">
        <v>3908</v>
      </c>
      <c r="G1455" s="11" t="s">
        <v>3909</v>
      </c>
      <c r="H1455" s="11" t="s">
        <v>3910</v>
      </c>
      <c r="I1455" s="12">
        <v>45534</v>
      </c>
    </row>
    <row r="1456" spans="1:9" x14ac:dyDescent="0.15">
      <c r="A1456" s="9">
        <v>1455</v>
      </c>
      <c r="B1456" s="10" t="s">
        <v>9</v>
      </c>
      <c r="C1456" s="11" t="s">
        <v>10</v>
      </c>
      <c r="D1456" s="12">
        <v>45623</v>
      </c>
      <c r="E1456" s="13" t="str">
        <f>+HYPERLINK("http://trademark.i-assist.jp/data/china/image_1913th/80669266.pdf","80669266")</f>
        <v>80669266</v>
      </c>
      <c r="F1456" s="11" t="s">
        <v>908</v>
      </c>
      <c r="G1456" s="11" t="s">
        <v>1598</v>
      </c>
      <c r="H1456" s="11" t="s">
        <v>1599</v>
      </c>
      <c r="I1456" s="12">
        <v>45534</v>
      </c>
    </row>
    <row r="1457" spans="1:9" x14ac:dyDescent="0.15">
      <c r="A1457" s="9">
        <v>1456</v>
      </c>
      <c r="B1457" s="10" t="s">
        <v>9</v>
      </c>
      <c r="C1457" s="11" t="s">
        <v>10</v>
      </c>
      <c r="D1457" s="12">
        <v>45623</v>
      </c>
      <c r="E1457" s="13" t="str">
        <f>+HYPERLINK("http://trademark.i-assist.jp/data/china/image_1913th/80680861.pdf","80680861")</f>
        <v>80680861</v>
      </c>
      <c r="F1457" s="11" t="s">
        <v>3911</v>
      </c>
      <c r="G1457" s="11" t="s">
        <v>909</v>
      </c>
      <c r="H1457" s="11" t="s">
        <v>3912</v>
      </c>
      <c r="I1457" s="12">
        <v>45536</v>
      </c>
    </row>
    <row r="1458" spans="1:9" x14ac:dyDescent="0.15">
      <c r="A1458" s="9">
        <v>1457</v>
      </c>
      <c r="B1458" s="10" t="s">
        <v>9</v>
      </c>
      <c r="C1458" s="11" t="s">
        <v>10</v>
      </c>
      <c r="D1458" s="12">
        <v>45623</v>
      </c>
      <c r="E1458" s="13" t="str">
        <f>+HYPERLINK("http://trademark.i-assist.jp/data/china/image_1913th/80681740.pdf","80681740")</f>
        <v>80681740</v>
      </c>
      <c r="F1458" s="11" t="s">
        <v>3913</v>
      </c>
      <c r="G1458" s="11" t="s">
        <v>2207</v>
      </c>
      <c r="H1458" s="11" t="s">
        <v>2208</v>
      </c>
      <c r="I1458" s="12">
        <v>45536</v>
      </c>
    </row>
    <row r="1459" spans="1:9" x14ac:dyDescent="0.15">
      <c r="A1459" s="9">
        <v>1458</v>
      </c>
      <c r="B1459" s="10" t="s">
        <v>9</v>
      </c>
      <c r="C1459" s="11" t="s">
        <v>10</v>
      </c>
      <c r="D1459" s="12">
        <v>45623</v>
      </c>
      <c r="E1459" s="13" t="str">
        <f>+HYPERLINK("http://trademark.i-assist.jp/data/china/image_1913th/80608660.pdf","80608660")</f>
        <v>80608660</v>
      </c>
      <c r="F1459" s="11" t="s">
        <v>910</v>
      </c>
      <c r="G1459" s="11" t="s">
        <v>1569</v>
      </c>
      <c r="H1459" s="11" t="s">
        <v>1570</v>
      </c>
      <c r="I1459" s="12">
        <v>45532</v>
      </c>
    </row>
    <row r="1460" spans="1:9" x14ac:dyDescent="0.15">
      <c r="A1460" s="9">
        <v>1459</v>
      </c>
      <c r="B1460" s="10" t="s">
        <v>9</v>
      </c>
      <c r="C1460" s="11" t="s">
        <v>10</v>
      </c>
      <c r="D1460" s="12">
        <v>45623</v>
      </c>
      <c r="E1460" s="13" t="str">
        <f>+HYPERLINK("http://trademark.i-assist.jp/data/china/image_1913th/80611420.pdf","80611420")</f>
        <v>80611420</v>
      </c>
      <c r="F1460" s="11" t="s">
        <v>3914</v>
      </c>
      <c r="G1460" s="11" t="s">
        <v>600</v>
      </c>
      <c r="H1460" s="11" t="s">
        <v>2239</v>
      </c>
      <c r="I1460" s="12">
        <v>45532</v>
      </c>
    </row>
    <row r="1461" spans="1:9" x14ac:dyDescent="0.15">
      <c r="A1461" s="9">
        <v>1460</v>
      </c>
      <c r="B1461" s="10" t="s">
        <v>9</v>
      </c>
      <c r="C1461" s="11" t="s">
        <v>10</v>
      </c>
      <c r="D1461" s="12">
        <v>45623</v>
      </c>
      <c r="E1461" s="13" t="str">
        <f>+HYPERLINK("http://trademark.i-assist.jp/data/china/image_1913th/80614564.pdf","80614564")</f>
        <v>80614564</v>
      </c>
      <c r="F1461" s="11" t="s">
        <v>3915</v>
      </c>
      <c r="G1461" s="11" t="s">
        <v>2652</v>
      </c>
      <c r="H1461" s="11" t="s">
        <v>2653</v>
      </c>
      <c r="I1461" s="12">
        <v>45532</v>
      </c>
    </row>
    <row r="1462" spans="1:9" x14ac:dyDescent="0.15">
      <c r="A1462" s="9">
        <v>1461</v>
      </c>
      <c r="B1462" s="10" t="s">
        <v>9</v>
      </c>
      <c r="C1462" s="11" t="s">
        <v>10</v>
      </c>
      <c r="D1462" s="12">
        <v>45623</v>
      </c>
      <c r="E1462" s="13" t="str">
        <f>+HYPERLINK("http://trademark.i-assist.jp/data/china/image_1913th/80615945.pdf","80615945")</f>
        <v>80615945</v>
      </c>
      <c r="F1462" s="11" t="s">
        <v>911</v>
      </c>
      <c r="G1462" s="11" t="s">
        <v>3916</v>
      </c>
      <c r="H1462" s="11" t="s">
        <v>3917</v>
      </c>
      <c r="I1462" s="12">
        <v>45532</v>
      </c>
    </row>
    <row r="1463" spans="1:9" x14ac:dyDescent="0.15">
      <c r="A1463" s="9">
        <v>1462</v>
      </c>
      <c r="B1463" s="10" t="s">
        <v>9</v>
      </c>
      <c r="C1463" s="11" t="s">
        <v>10</v>
      </c>
      <c r="D1463" s="12">
        <v>45623</v>
      </c>
      <c r="E1463" s="13" t="str">
        <f>+HYPERLINK("http://trademark.i-assist.jp/data/china/image_1913th/80616684.pdf","80616684")</f>
        <v>80616684</v>
      </c>
      <c r="F1463" s="11" t="s">
        <v>912</v>
      </c>
      <c r="G1463" s="11" t="s">
        <v>3918</v>
      </c>
      <c r="H1463" s="11" t="s">
        <v>3919</v>
      </c>
      <c r="I1463" s="12">
        <v>45532</v>
      </c>
    </row>
    <row r="1464" spans="1:9" x14ac:dyDescent="0.15">
      <c r="A1464" s="9">
        <v>1463</v>
      </c>
      <c r="B1464" s="10" t="s">
        <v>9</v>
      </c>
      <c r="C1464" s="11" t="s">
        <v>10</v>
      </c>
      <c r="D1464" s="12">
        <v>45623</v>
      </c>
      <c r="E1464" s="13" t="str">
        <f>+HYPERLINK("http://trademark.i-assist.jp/data/china/image_1913th/80624552.pdf","80624552")</f>
        <v>80624552</v>
      </c>
      <c r="F1464" s="11" t="s">
        <v>913</v>
      </c>
      <c r="G1464" s="11" t="s">
        <v>1367</v>
      </c>
      <c r="H1464" s="11" t="s">
        <v>1368</v>
      </c>
      <c r="I1464" s="12">
        <v>45532</v>
      </c>
    </row>
    <row r="1465" spans="1:9" x14ac:dyDescent="0.15">
      <c r="A1465" s="9">
        <v>1464</v>
      </c>
      <c r="B1465" s="10" t="s">
        <v>9</v>
      </c>
      <c r="C1465" s="11" t="s">
        <v>10</v>
      </c>
      <c r="D1465" s="12">
        <v>45623</v>
      </c>
      <c r="E1465" s="13" t="str">
        <f>+HYPERLINK("http://trademark.i-assist.jp/data/china/image_1913th/80625135.pdf","80625135")</f>
        <v>80625135</v>
      </c>
      <c r="F1465" s="11" t="s">
        <v>914</v>
      </c>
      <c r="G1465" s="11" t="s">
        <v>3920</v>
      </c>
      <c r="H1465" s="11" t="s">
        <v>3921</v>
      </c>
      <c r="I1465" s="12">
        <v>45532</v>
      </c>
    </row>
    <row r="1466" spans="1:9" x14ac:dyDescent="0.15">
      <c r="A1466" s="9">
        <v>1465</v>
      </c>
      <c r="B1466" s="10" t="s">
        <v>9</v>
      </c>
      <c r="C1466" s="11" t="s">
        <v>10</v>
      </c>
      <c r="D1466" s="12">
        <v>45623</v>
      </c>
      <c r="E1466" s="13" t="str">
        <f>+HYPERLINK("http://trademark.i-assist.jp/data/china/image_1913th/80631301.pdf","80631301")</f>
        <v>80631301</v>
      </c>
      <c r="F1466" s="11" t="s">
        <v>3922</v>
      </c>
      <c r="G1466" s="11" t="s">
        <v>1615</v>
      </c>
      <c r="H1466" s="11" t="s">
        <v>2294</v>
      </c>
      <c r="I1466" s="12">
        <v>45533</v>
      </c>
    </row>
    <row r="1467" spans="1:9" x14ac:dyDescent="0.15">
      <c r="A1467" s="9">
        <v>1466</v>
      </c>
      <c r="B1467" s="10" t="s">
        <v>9</v>
      </c>
      <c r="C1467" s="11" t="s">
        <v>10</v>
      </c>
      <c r="D1467" s="12">
        <v>45623</v>
      </c>
      <c r="E1467" s="13" t="str">
        <f>+HYPERLINK("http://trademark.i-assist.jp/data/china/image_1913th/80639396.pdf","80639396")</f>
        <v>80639396</v>
      </c>
      <c r="F1467" s="11" t="s">
        <v>915</v>
      </c>
      <c r="G1467" s="11" t="s">
        <v>1625</v>
      </c>
      <c r="H1467" s="11" t="s">
        <v>1626</v>
      </c>
      <c r="I1467" s="12">
        <v>45533</v>
      </c>
    </row>
    <row r="1468" spans="1:9" x14ac:dyDescent="0.15">
      <c r="A1468" s="9">
        <v>1467</v>
      </c>
      <c r="B1468" s="10" t="s">
        <v>9</v>
      </c>
      <c r="C1468" s="11" t="s">
        <v>10</v>
      </c>
      <c r="D1468" s="12">
        <v>45623</v>
      </c>
      <c r="E1468" s="13" t="str">
        <f>+HYPERLINK("http://trademark.i-assist.jp/data/china/image_1913th/80641600.pdf","80641600")</f>
        <v>80641600</v>
      </c>
      <c r="F1468" s="11" t="s">
        <v>3923</v>
      </c>
      <c r="G1468" s="11" t="s">
        <v>3924</v>
      </c>
      <c r="H1468" s="11" t="s">
        <v>1815</v>
      </c>
      <c r="I1468" s="12">
        <v>45533</v>
      </c>
    </row>
    <row r="1469" spans="1:9" x14ac:dyDescent="0.15">
      <c r="A1469" s="9">
        <v>1468</v>
      </c>
      <c r="B1469" s="10" t="s">
        <v>9</v>
      </c>
      <c r="C1469" s="11" t="s">
        <v>10</v>
      </c>
      <c r="D1469" s="12">
        <v>45623</v>
      </c>
      <c r="E1469" s="13" t="str">
        <f>+HYPERLINK("http://trademark.i-assist.jp/data/china/image_1913th/80683115.pdf","80683115")</f>
        <v>80683115</v>
      </c>
      <c r="F1469" s="11" t="s">
        <v>916</v>
      </c>
      <c r="G1469" s="11" t="s">
        <v>35</v>
      </c>
      <c r="H1469" s="11" t="s">
        <v>1368</v>
      </c>
      <c r="I1469" s="12">
        <v>45537</v>
      </c>
    </row>
    <row r="1470" spans="1:9" x14ac:dyDescent="0.15">
      <c r="A1470" s="9">
        <v>1469</v>
      </c>
      <c r="B1470" s="10" t="s">
        <v>9</v>
      </c>
      <c r="C1470" s="11" t="s">
        <v>10</v>
      </c>
      <c r="D1470" s="12">
        <v>45623</v>
      </c>
      <c r="E1470" s="13" t="str">
        <f>+HYPERLINK("http://trademark.i-assist.jp/data/china/image_1913th/80684240.pdf","80684240")</f>
        <v>80684240</v>
      </c>
      <c r="F1470" s="11" t="s">
        <v>610</v>
      </c>
      <c r="G1470" s="11" t="s">
        <v>3087</v>
      </c>
      <c r="H1470" s="11" t="s">
        <v>3088</v>
      </c>
      <c r="I1470" s="12">
        <v>45537</v>
      </c>
    </row>
    <row r="1471" spans="1:9" x14ac:dyDescent="0.15">
      <c r="A1471" s="9">
        <v>1470</v>
      </c>
      <c r="B1471" s="10" t="s">
        <v>9</v>
      </c>
      <c r="C1471" s="11" t="s">
        <v>10</v>
      </c>
      <c r="D1471" s="12">
        <v>45623</v>
      </c>
      <c r="E1471" s="13" t="str">
        <f>+HYPERLINK("http://trademark.i-assist.jp/data/china/image_1913th/80685618.pdf","80685618")</f>
        <v>80685618</v>
      </c>
      <c r="F1471" s="11" t="s">
        <v>917</v>
      </c>
      <c r="G1471" s="11" t="s">
        <v>3925</v>
      </c>
      <c r="H1471" s="11" t="s">
        <v>3926</v>
      </c>
      <c r="I1471" s="12">
        <v>45537</v>
      </c>
    </row>
    <row r="1472" spans="1:9" x14ac:dyDescent="0.15">
      <c r="A1472" s="9">
        <v>1471</v>
      </c>
      <c r="B1472" s="10" t="s">
        <v>9</v>
      </c>
      <c r="C1472" s="11" t="s">
        <v>10</v>
      </c>
      <c r="D1472" s="12">
        <v>45623</v>
      </c>
      <c r="E1472" s="13" t="str">
        <f>+HYPERLINK("http://trademark.i-assist.jp/data/china/image_1913th/80686596.pdf","80686596")</f>
        <v>80686596</v>
      </c>
      <c r="F1472" s="11" t="s">
        <v>918</v>
      </c>
      <c r="G1472" s="11" t="s">
        <v>37</v>
      </c>
      <c r="H1472" s="11" t="s">
        <v>1402</v>
      </c>
      <c r="I1472" s="12">
        <v>45537</v>
      </c>
    </row>
    <row r="1473" spans="1:9" x14ac:dyDescent="0.15">
      <c r="A1473" s="9">
        <v>1472</v>
      </c>
      <c r="B1473" s="10" t="s">
        <v>9</v>
      </c>
      <c r="C1473" s="11" t="s">
        <v>10</v>
      </c>
      <c r="D1473" s="12">
        <v>45623</v>
      </c>
      <c r="E1473" s="13" t="str">
        <f>+HYPERLINK("http://trademark.i-assist.jp/data/china/image_1913th/80687412.pdf","80687412")</f>
        <v>80687412</v>
      </c>
      <c r="F1473" s="11" t="s">
        <v>3927</v>
      </c>
      <c r="G1473" s="11" t="s">
        <v>3928</v>
      </c>
      <c r="H1473" s="11" t="s">
        <v>1768</v>
      </c>
      <c r="I1473" s="12">
        <v>45537</v>
      </c>
    </row>
    <row r="1474" spans="1:9" x14ac:dyDescent="0.15">
      <c r="A1474" s="9">
        <v>1473</v>
      </c>
      <c r="B1474" s="10" t="s">
        <v>9</v>
      </c>
      <c r="C1474" s="11" t="s">
        <v>10</v>
      </c>
      <c r="D1474" s="12">
        <v>45623</v>
      </c>
      <c r="E1474" s="13" t="str">
        <f>+HYPERLINK("http://trademark.i-assist.jp/data/china/image_1913th/80689895.pdf","80689895")</f>
        <v>80689895</v>
      </c>
      <c r="F1474" s="11" t="s">
        <v>3929</v>
      </c>
      <c r="G1474" s="11" t="s">
        <v>3930</v>
      </c>
      <c r="H1474" s="11" t="s">
        <v>3931</v>
      </c>
      <c r="I1474" s="12">
        <v>45537</v>
      </c>
    </row>
    <row r="1475" spans="1:9" x14ac:dyDescent="0.15">
      <c r="A1475" s="9">
        <v>1474</v>
      </c>
      <c r="B1475" s="10" t="s">
        <v>9</v>
      </c>
      <c r="C1475" s="11" t="s">
        <v>10</v>
      </c>
      <c r="D1475" s="12">
        <v>45623</v>
      </c>
      <c r="E1475" s="13" t="str">
        <f>+HYPERLINK("http://trademark.i-assist.jp/data/china/image_1913th/80690443.pdf","80690443")</f>
        <v>80690443</v>
      </c>
      <c r="F1475" s="11" t="s">
        <v>920</v>
      </c>
      <c r="G1475" s="11" t="s">
        <v>919</v>
      </c>
      <c r="H1475" s="11" t="s">
        <v>1963</v>
      </c>
      <c r="I1475" s="12">
        <v>45537</v>
      </c>
    </row>
    <row r="1476" spans="1:9" x14ac:dyDescent="0.15">
      <c r="A1476" s="9">
        <v>1475</v>
      </c>
      <c r="B1476" s="10" t="s">
        <v>9</v>
      </c>
      <c r="C1476" s="11" t="s">
        <v>10</v>
      </c>
      <c r="D1476" s="12">
        <v>45623</v>
      </c>
      <c r="E1476" s="13" t="str">
        <f>+HYPERLINK("http://trademark.i-assist.jp/data/china/image_1913th/80697229.pdf","80697229")</f>
        <v>80697229</v>
      </c>
      <c r="F1476" s="11" t="s">
        <v>3932</v>
      </c>
      <c r="G1476" s="11" t="s">
        <v>1407</v>
      </c>
      <c r="H1476" s="11" t="s">
        <v>1408</v>
      </c>
      <c r="I1476" s="12">
        <v>45537</v>
      </c>
    </row>
    <row r="1477" spans="1:9" x14ac:dyDescent="0.15">
      <c r="A1477" s="9">
        <v>1476</v>
      </c>
      <c r="B1477" s="10" t="s">
        <v>9</v>
      </c>
      <c r="C1477" s="11" t="s">
        <v>10</v>
      </c>
      <c r="D1477" s="12">
        <v>45623</v>
      </c>
      <c r="E1477" s="13" t="str">
        <f>+HYPERLINK("http://trademark.i-assist.jp/data/china/image_1913th/80697169.pdf","80697169")</f>
        <v>80697169</v>
      </c>
      <c r="F1477" s="11" t="s">
        <v>921</v>
      </c>
      <c r="G1477" s="11" t="s">
        <v>3933</v>
      </c>
      <c r="H1477" s="11" t="s">
        <v>3934</v>
      </c>
      <c r="I1477" s="12">
        <v>45537</v>
      </c>
    </row>
    <row r="1478" spans="1:9" x14ac:dyDescent="0.15">
      <c r="A1478" s="9">
        <v>1477</v>
      </c>
      <c r="B1478" s="10" t="s">
        <v>9</v>
      </c>
      <c r="C1478" s="11" t="s">
        <v>10</v>
      </c>
      <c r="D1478" s="12">
        <v>45623</v>
      </c>
      <c r="E1478" s="13" t="str">
        <f>+HYPERLINK("http://trademark.i-assist.jp/data/china/image_1913th/80701293.pdf","80701293")</f>
        <v>80701293</v>
      </c>
      <c r="F1478" s="11" t="s">
        <v>1335</v>
      </c>
      <c r="G1478" s="11" t="s">
        <v>3935</v>
      </c>
      <c r="H1478" s="11" t="s">
        <v>1565</v>
      </c>
      <c r="I1478" s="12">
        <v>45537</v>
      </c>
    </row>
    <row r="1479" spans="1:9" x14ac:dyDescent="0.15">
      <c r="A1479" s="9">
        <v>1478</v>
      </c>
      <c r="B1479" s="10" t="s">
        <v>9</v>
      </c>
      <c r="C1479" s="11" t="s">
        <v>10</v>
      </c>
      <c r="D1479" s="12">
        <v>45623</v>
      </c>
      <c r="E1479" s="13" t="str">
        <f>+HYPERLINK("http://trademark.i-assist.jp/data/china/image_1913th/80702224.pdf","80702224")</f>
        <v>80702224</v>
      </c>
      <c r="F1479" s="11" t="s">
        <v>922</v>
      </c>
      <c r="G1479" s="11" t="s">
        <v>3936</v>
      </c>
      <c r="H1479" s="11" t="s">
        <v>1768</v>
      </c>
      <c r="I1479" s="12">
        <v>45537</v>
      </c>
    </row>
    <row r="1480" spans="1:9" x14ac:dyDescent="0.15">
      <c r="A1480" s="9">
        <v>1479</v>
      </c>
      <c r="B1480" s="10" t="s">
        <v>9</v>
      </c>
      <c r="C1480" s="11" t="s">
        <v>10</v>
      </c>
      <c r="D1480" s="12">
        <v>45623</v>
      </c>
      <c r="E1480" s="13" t="str">
        <f>+HYPERLINK("http://trademark.i-assist.jp/data/china/image_1913th/80556908.pdf","80556908")</f>
        <v>80556908</v>
      </c>
      <c r="F1480" s="11" t="s">
        <v>924</v>
      </c>
      <c r="G1480" s="11" t="s">
        <v>923</v>
      </c>
      <c r="H1480" s="11" t="s">
        <v>1807</v>
      </c>
      <c r="I1480" s="12">
        <v>45530</v>
      </c>
    </row>
    <row r="1481" spans="1:9" x14ac:dyDescent="0.15">
      <c r="A1481" s="9">
        <v>1480</v>
      </c>
      <c r="B1481" s="10" t="s">
        <v>9</v>
      </c>
      <c r="C1481" s="11" t="s">
        <v>10</v>
      </c>
      <c r="D1481" s="12">
        <v>45623</v>
      </c>
      <c r="E1481" s="13" t="str">
        <f>+HYPERLINK("http://trademark.i-assist.jp/data/china/image_1913th/80568505.pdf","80568505")</f>
        <v>80568505</v>
      </c>
      <c r="F1481" s="11" t="s">
        <v>3937</v>
      </c>
      <c r="G1481" s="11" t="s">
        <v>3938</v>
      </c>
      <c r="H1481" s="11" t="s">
        <v>3939</v>
      </c>
      <c r="I1481" s="12">
        <v>45530</v>
      </c>
    </row>
    <row r="1482" spans="1:9" x14ac:dyDescent="0.15">
      <c r="A1482" s="9">
        <v>1481</v>
      </c>
      <c r="B1482" s="10" t="s">
        <v>9</v>
      </c>
      <c r="C1482" s="11" t="s">
        <v>10</v>
      </c>
      <c r="D1482" s="12">
        <v>45623</v>
      </c>
      <c r="E1482" s="13" t="str">
        <f>+HYPERLINK("http://trademark.i-assist.jp/data/china/image_1913th/80573862.pdf","80573862")</f>
        <v>80573862</v>
      </c>
      <c r="F1482" s="11" t="s">
        <v>3940</v>
      </c>
      <c r="G1482" s="11" t="s">
        <v>2506</v>
      </c>
      <c r="H1482" s="11" t="s">
        <v>2507</v>
      </c>
      <c r="I1482" s="12">
        <v>45530</v>
      </c>
    </row>
    <row r="1483" spans="1:9" x14ac:dyDescent="0.15">
      <c r="A1483" s="9">
        <v>1482</v>
      </c>
      <c r="B1483" s="10" t="s">
        <v>9</v>
      </c>
      <c r="C1483" s="11" t="s">
        <v>10</v>
      </c>
      <c r="D1483" s="12">
        <v>45623</v>
      </c>
      <c r="E1483" s="13" t="str">
        <f>+HYPERLINK("http://trademark.i-assist.jp/data/china/image_1913th/80574735.pdf","80574735")</f>
        <v>80574735</v>
      </c>
      <c r="F1483" s="11" t="s">
        <v>925</v>
      </c>
      <c r="G1483" s="11" t="s">
        <v>3941</v>
      </c>
      <c r="H1483" s="11" t="s">
        <v>3942</v>
      </c>
      <c r="I1483" s="12">
        <v>45530</v>
      </c>
    </row>
    <row r="1484" spans="1:9" x14ac:dyDescent="0.15">
      <c r="A1484" s="9">
        <v>1483</v>
      </c>
      <c r="B1484" s="10" t="s">
        <v>9</v>
      </c>
      <c r="C1484" s="11" t="s">
        <v>10</v>
      </c>
      <c r="D1484" s="12">
        <v>45623</v>
      </c>
      <c r="E1484" s="13" t="str">
        <f>+HYPERLINK("http://trademark.i-assist.jp/data/china/image_1913th/80586056.pdf","80586056")</f>
        <v>80586056</v>
      </c>
      <c r="F1484" s="11" t="s">
        <v>927</v>
      </c>
      <c r="G1484" s="11" t="s">
        <v>926</v>
      </c>
      <c r="H1484" s="11" t="s">
        <v>1480</v>
      </c>
      <c r="I1484" s="12">
        <v>45531</v>
      </c>
    </row>
    <row r="1485" spans="1:9" x14ac:dyDescent="0.15">
      <c r="A1485" s="9">
        <v>1484</v>
      </c>
      <c r="B1485" s="10" t="s">
        <v>9</v>
      </c>
      <c r="C1485" s="11" t="s">
        <v>10</v>
      </c>
      <c r="D1485" s="12">
        <v>45623</v>
      </c>
      <c r="E1485" s="13" t="str">
        <f>+HYPERLINK("http://trademark.i-assist.jp/data/china/image_1913th/80589599.pdf","80589599")</f>
        <v>80589599</v>
      </c>
      <c r="F1485" s="11" t="s">
        <v>3943</v>
      </c>
      <c r="G1485" s="11" t="s">
        <v>3944</v>
      </c>
      <c r="H1485" s="11" t="s">
        <v>1914</v>
      </c>
      <c r="I1485" s="12">
        <v>45531</v>
      </c>
    </row>
    <row r="1486" spans="1:9" x14ac:dyDescent="0.15">
      <c r="A1486" s="9">
        <v>1485</v>
      </c>
      <c r="B1486" s="10" t="s">
        <v>9</v>
      </c>
      <c r="C1486" s="11" t="s">
        <v>10</v>
      </c>
      <c r="D1486" s="12">
        <v>45623</v>
      </c>
      <c r="E1486" s="13" t="str">
        <f>+HYPERLINK("http://trademark.i-assist.jp/data/china/image_1913th/80597781.pdf","80597781")</f>
        <v>80597781</v>
      </c>
      <c r="F1486" s="11" t="s">
        <v>3945</v>
      </c>
      <c r="G1486" s="11" t="s">
        <v>1484</v>
      </c>
      <c r="H1486" s="11" t="s">
        <v>1485</v>
      </c>
      <c r="I1486" s="12">
        <v>45531</v>
      </c>
    </row>
    <row r="1487" spans="1:9" x14ac:dyDescent="0.15">
      <c r="A1487" s="9">
        <v>1486</v>
      </c>
      <c r="B1487" s="10" t="s">
        <v>9</v>
      </c>
      <c r="C1487" s="11" t="s">
        <v>10</v>
      </c>
      <c r="D1487" s="12">
        <v>45623</v>
      </c>
      <c r="E1487" s="13" t="str">
        <f>+HYPERLINK("http://trademark.i-assist.jp/data/china/image_1913th/80602620.pdf","80602620")</f>
        <v>80602620</v>
      </c>
      <c r="F1487" s="11" t="s">
        <v>928</v>
      </c>
      <c r="G1487" s="11" t="s">
        <v>1367</v>
      </c>
      <c r="H1487" s="11" t="s">
        <v>1368</v>
      </c>
      <c r="I1487" s="12">
        <v>45532</v>
      </c>
    </row>
    <row r="1488" spans="1:9" x14ac:dyDescent="0.15">
      <c r="A1488" s="9">
        <v>1487</v>
      </c>
      <c r="B1488" s="10" t="s">
        <v>9</v>
      </c>
      <c r="C1488" s="11" t="s">
        <v>10</v>
      </c>
      <c r="D1488" s="12">
        <v>45623</v>
      </c>
      <c r="E1488" s="13" t="str">
        <f>+HYPERLINK("http://trademark.i-assist.jp/data/china/image_1913th/80098729.pdf","80098729")</f>
        <v>80098729</v>
      </c>
      <c r="F1488" s="11" t="s">
        <v>3946</v>
      </c>
      <c r="G1488" s="11" t="s">
        <v>929</v>
      </c>
      <c r="H1488" s="11" t="s">
        <v>3947</v>
      </c>
      <c r="I1488" s="12">
        <v>45504</v>
      </c>
    </row>
    <row r="1489" spans="1:9" x14ac:dyDescent="0.15">
      <c r="A1489" s="9">
        <v>1488</v>
      </c>
      <c r="B1489" s="10" t="s">
        <v>9</v>
      </c>
      <c r="C1489" s="11" t="s">
        <v>10</v>
      </c>
      <c r="D1489" s="12">
        <v>45623</v>
      </c>
      <c r="E1489" s="13" t="str">
        <f>+HYPERLINK("http://trademark.i-assist.jp/data/china/image_1913th/80134770.pdf","80134770")</f>
        <v>80134770</v>
      </c>
      <c r="F1489" s="11" t="s">
        <v>3948</v>
      </c>
      <c r="G1489" s="11" t="s">
        <v>2889</v>
      </c>
      <c r="H1489" s="11" t="s">
        <v>2890</v>
      </c>
      <c r="I1489" s="12">
        <v>45505</v>
      </c>
    </row>
    <row r="1490" spans="1:9" x14ac:dyDescent="0.15">
      <c r="A1490" s="9">
        <v>1489</v>
      </c>
      <c r="B1490" s="10" t="s">
        <v>9</v>
      </c>
      <c r="C1490" s="11" t="s">
        <v>10</v>
      </c>
      <c r="D1490" s="12">
        <v>45623</v>
      </c>
      <c r="E1490" s="13" t="str">
        <f>+HYPERLINK("http://trademark.i-assist.jp/data/china/image_1913th/80203829.pdf","80203829")</f>
        <v>80203829</v>
      </c>
      <c r="F1490" s="11" t="s">
        <v>3949</v>
      </c>
      <c r="G1490" s="11" t="s">
        <v>3738</v>
      </c>
      <c r="H1490" s="11" t="s">
        <v>3739</v>
      </c>
      <c r="I1490" s="12">
        <v>45510</v>
      </c>
    </row>
    <row r="1491" spans="1:9" x14ac:dyDescent="0.15">
      <c r="A1491" s="9">
        <v>1490</v>
      </c>
      <c r="B1491" s="10" t="s">
        <v>9</v>
      </c>
      <c r="C1491" s="11" t="s">
        <v>10</v>
      </c>
      <c r="D1491" s="12">
        <v>45623</v>
      </c>
      <c r="E1491" s="13" t="str">
        <f>+HYPERLINK("http://trademark.i-assist.jp/data/china/image_1913th/80207847.pdf","80207847")</f>
        <v>80207847</v>
      </c>
      <c r="F1491" s="11" t="s">
        <v>930</v>
      </c>
      <c r="G1491" s="11" t="s">
        <v>3950</v>
      </c>
      <c r="H1491" s="11" t="s">
        <v>1563</v>
      </c>
      <c r="I1491" s="12">
        <v>45510</v>
      </c>
    </row>
    <row r="1492" spans="1:9" x14ac:dyDescent="0.15">
      <c r="A1492" s="9">
        <v>1491</v>
      </c>
      <c r="B1492" s="10" t="s">
        <v>9</v>
      </c>
      <c r="C1492" s="11" t="s">
        <v>10</v>
      </c>
      <c r="D1492" s="12">
        <v>45623</v>
      </c>
      <c r="E1492" s="13" t="str">
        <f>+HYPERLINK("http://trademark.i-assist.jp/data/china/image_1913th/80221199.pdf","80221199")</f>
        <v>80221199</v>
      </c>
      <c r="F1492" s="11" t="s">
        <v>931</v>
      </c>
      <c r="G1492" s="11" t="s">
        <v>3951</v>
      </c>
      <c r="H1492" s="11" t="s">
        <v>3952</v>
      </c>
      <c r="I1492" s="12">
        <v>45511</v>
      </c>
    </row>
    <row r="1493" spans="1:9" x14ac:dyDescent="0.15">
      <c r="A1493" s="9">
        <v>1492</v>
      </c>
      <c r="B1493" s="10" t="s">
        <v>9</v>
      </c>
      <c r="C1493" s="11" t="s">
        <v>10</v>
      </c>
      <c r="D1493" s="12">
        <v>45623</v>
      </c>
      <c r="E1493" s="13" t="str">
        <f>+HYPERLINK("http://trademark.i-assist.jp/data/china/image_1913th/80256864.pdf","80256864")</f>
        <v>80256864</v>
      </c>
      <c r="F1493" s="11" t="s">
        <v>3953</v>
      </c>
      <c r="G1493" s="11" t="s">
        <v>3954</v>
      </c>
      <c r="H1493" s="11" t="s">
        <v>3955</v>
      </c>
      <c r="I1493" s="12">
        <v>45512</v>
      </c>
    </row>
    <row r="1494" spans="1:9" x14ac:dyDescent="0.15">
      <c r="A1494" s="9">
        <v>1493</v>
      </c>
      <c r="B1494" s="10" t="s">
        <v>9</v>
      </c>
      <c r="C1494" s="11" t="s">
        <v>10</v>
      </c>
      <c r="D1494" s="12">
        <v>45623</v>
      </c>
      <c r="E1494" s="13" t="str">
        <f>+HYPERLINK("http://trademark.i-assist.jp/data/china/image_1913th/80264613.pdf","80264613")</f>
        <v>80264613</v>
      </c>
      <c r="F1494" s="11" t="s">
        <v>933</v>
      </c>
      <c r="G1494" s="11" t="s">
        <v>932</v>
      </c>
      <c r="H1494" s="11" t="s">
        <v>3956</v>
      </c>
      <c r="I1494" s="12">
        <v>45512</v>
      </c>
    </row>
    <row r="1495" spans="1:9" x14ac:dyDescent="0.15">
      <c r="A1495" s="9">
        <v>1494</v>
      </c>
      <c r="B1495" s="10" t="s">
        <v>9</v>
      </c>
      <c r="C1495" s="11" t="s">
        <v>10</v>
      </c>
      <c r="D1495" s="12">
        <v>45623</v>
      </c>
      <c r="E1495" s="13" t="str">
        <f>+HYPERLINK("http://trademark.i-assist.jp/data/china/image_1913th/80705103.pdf","80705103")</f>
        <v>80705103</v>
      </c>
      <c r="F1495" s="11" t="s">
        <v>934</v>
      </c>
      <c r="G1495" s="11" t="s">
        <v>3957</v>
      </c>
      <c r="H1495" s="11" t="s">
        <v>1807</v>
      </c>
      <c r="I1495" s="12">
        <v>45537</v>
      </c>
    </row>
    <row r="1496" spans="1:9" x14ac:dyDescent="0.15">
      <c r="A1496" s="9">
        <v>1495</v>
      </c>
      <c r="B1496" s="10" t="s">
        <v>9</v>
      </c>
      <c r="C1496" s="11" t="s">
        <v>10</v>
      </c>
      <c r="D1496" s="12">
        <v>45623</v>
      </c>
      <c r="E1496" s="13" t="str">
        <f>+HYPERLINK("http://trademark.i-assist.jp/data/china/image_1913th/80714131.pdf","80714131")</f>
        <v>80714131</v>
      </c>
      <c r="F1496" s="11" t="s">
        <v>3958</v>
      </c>
      <c r="G1496" s="11" t="s">
        <v>3790</v>
      </c>
      <c r="H1496" s="11" t="s">
        <v>3791</v>
      </c>
      <c r="I1496" s="12">
        <v>45538</v>
      </c>
    </row>
    <row r="1497" spans="1:9" x14ac:dyDescent="0.15">
      <c r="A1497" s="9">
        <v>1496</v>
      </c>
      <c r="B1497" s="10" t="s">
        <v>9</v>
      </c>
      <c r="C1497" s="11" t="s">
        <v>10</v>
      </c>
      <c r="D1497" s="12">
        <v>45623</v>
      </c>
      <c r="E1497" s="13" t="str">
        <f>+HYPERLINK("http://trademark.i-assist.jp/data/china/image_1913th/80716196.pdf","80716196")</f>
        <v>80716196</v>
      </c>
      <c r="F1497" s="11" t="s">
        <v>3959</v>
      </c>
      <c r="G1497" s="11" t="s">
        <v>3960</v>
      </c>
      <c r="H1497" s="11" t="s">
        <v>3961</v>
      </c>
      <c r="I1497" s="12">
        <v>45538</v>
      </c>
    </row>
    <row r="1498" spans="1:9" x14ac:dyDescent="0.15">
      <c r="A1498" s="9">
        <v>1497</v>
      </c>
      <c r="B1498" s="10" t="s">
        <v>9</v>
      </c>
      <c r="C1498" s="11" t="s">
        <v>10</v>
      </c>
      <c r="D1498" s="12">
        <v>45623</v>
      </c>
      <c r="E1498" s="13" t="str">
        <f>+HYPERLINK("http://trademark.i-assist.jp/data/china/image_1913th/80718520.pdf","80718520")</f>
        <v>80718520</v>
      </c>
      <c r="F1498" s="11" t="s">
        <v>936</v>
      </c>
      <c r="G1498" s="11" t="s">
        <v>935</v>
      </c>
      <c r="H1498" s="11" t="s">
        <v>3962</v>
      </c>
      <c r="I1498" s="12">
        <v>45538</v>
      </c>
    </row>
    <row r="1499" spans="1:9" x14ac:dyDescent="0.15">
      <c r="A1499" s="9">
        <v>1498</v>
      </c>
      <c r="B1499" s="10" t="s">
        <v>9</v>
      </c>
      <c r="C1499" s="11" t="s">
        <v>10</v>
      </c>
      <c r="D1499" s="12">
        <v>45623</v>
      </c>
      <c r="E1499" s="13" t="str">
        <f>+HYPERLINK("http://trademark.i-assist.jp/data/china/image_1913th/80725328.pdf","80725328")</f>
        <v>80725328</v>
      </c>
      <c r="F1499" s="11" t="s">
        <v>3963</v>
      </c>
      <c r="G1499" s="11" t="s">
        <v>1367</v>
      </c>
      <c r="H1499" s="11" t="s">
        <v>1567</v>
      </c>
      <c r="I1499" s="12">
        <v>45538</v>
      </c>
    </row>
    <row r="1500" spans="1:9" x14ac:dyDescent="0.15">
      <c r="A1500" s="9">
        <v>1499</v>
      </c>
      <c r="B1500" s="10" t="s">
        <v>9</v>
      </c>
      <c r="C1500" s="11" t="s">
        <v>10</v>
      </c>
      <c r="D1500" s="12">
        <v>45623</v>
      </c>
      <c r="E1500" s="13" t="str">
        <f>+HYPERLINK("http://trademark.i-assist.jp/data/china/image_1913th/80727154.pdf","80727154")</f>
        <v>80727154</v>
      </c>
      <c r="F1500" s="11" t="s">
        <v>937</v>
      </c>
      <c r="G1500" s="11" t="s">
        <v>3964</v>
      </c>
      <c r="H1500" s="11" t="s">
        <v>3965</v>
      </c>
      <c r="I1500" s="12">
        <v>45538</v>
      </c>
    </row>
    <row r="1501" spans="1:9" x14ac:dyDescent="0.15">
      <c r="A1501" s="9">
        <v>1500</v>
      </c>
      <c r="B1501" s="10" t="s">
        <v>9</v>
      </c>
      <c r="C1501" s="11" t="s">
        <v>10</v>
      </c>
      <c r="D1501" s="12">
        <v>45623</v>
      </c>
      <c r="E1501" s="13" t="str">
        <f>+HYPERLINK("http://trademark.i-assist.jp/data/china/image_1913th/80730347.pdf","80730347")</f>
        <v>80730347</v>
      </c>
      <c r="F1501" s="11" t="s">
        <v>938</v>
      </c>
      <c r="G1501" s="11" t="s">
        <v>219</v>
      </c>
      <c r="H1501" s="11" t="s">
        <v>1302</v>
      </c>
      <c r="I1501" s="12">
        <v>45539</v>
      </c>
    </row>
    <row r="1502" spans="1:9" x14ac:dyDescent="0.15">
      <c r="A1502" s="9">
        <v>1501</v>
      </c>
      <c r="B1502" s="10" t="s">
        <v>9</v>
      </c>
      <c r="C1502" s="11" t="s">
        <v>10</v>
      </c>
      <c r="D1502" s="12">
        <v>45623</v>
      </c>
      <c r="E1502" s="13" t="str">
        <f>+HYPERLINK("http://trademark.i-assist.jp/data/china/image_1913th/80334264.pdf","80334264")</f>
        <v>80334264</v>
      </c>
      <c r="F1502" s="11" t="s">
        <v>939</v>
      </c>
      <c r="G1502" s="11" t="s">
        <v>3306</v>
      </c>
      <c r="H1502" s="11" t="s">
        <v>1807</v>
      </c>
      <c r="I1502" s="12">
        <v>45517</v>
      </c>
    </row>
    <row r="1503" spans="1:9" x14ac:dyDescent="0.15">
      <c r="A1503" s="9">
        <v>1502</v>
      </c>
      <c r="B1503" s="10" t="s">
        <v>9</v>
      </c>
      <c r="C1503" s="11" t="s">
        <v>10</v>
      </c>
      <c r="D1503" s="12">
        <v>45623</v>
      </c>
      <c r="E1503" s="13" t="str">
        <f>+HYPERLINK("http://trademark.i-assist.jp/data/china/image_1913th/80340274.pdf","80340274")</f>
        <v>80340274</v>
      </c>
      <c r="F1503" s="11" t="s">
        <v>3966</v>
      </c>
      <c r="G1503" s="11" t="s">
        <v>940</v>
      </c>
      <c r="H1503" s="11" t="s">
        <v>3967</v>
      </c>
      <c r="I1503" s="12">
        <v>45517</v>
      </c>
    </row>
    <row r="1504" spans="1:9" x14ac:dyDescent="0.15">
      <c r="A1504" s="9">
        <v>1503</v>
      </c>
      <c r="B1504" s="10" t="s">
        <v>9</v>
      </c>
      <c r="C1504" s="11" t="s">
        <v>10</v>
      </c>
      <c r="D1504" s="12">
        <v>45623</v>
      </c>
      <c r="E1504" s="13" t="str">
        <f>+HYPERLINK("http://trademark.i-assist.jp/data/china/image_1913th/80350033.pdf","80350033")</f>
        <v>80350033</v>
      </c>
      <c r="F1504" s="11" t="s">
        <v>941</v>
      </c>
      <c r="G1504" s="11" t="s">
        <v>3968</v>
      </c>
      <c r="H1504" s="11" t="s">
        <v>3969</v>
      </c>
      <c r="I1504" s="12">
        <v>45518</v>
      </c>
    </row>
    <row r="1505" spans="1:9" x14ac:dyDescent="0.15">
      <c r="A1505" s="9">
        <v>1504</v>
      </c>
      <c r="B1505" s="10" t="s">
        <v>9</v>
      </c>
      <c r="C1505" s="11" t="s">
        <v>10</v>
      </c>
      <c r="D1505" s="12">
        <v>45623</v>
      </c>
      <c r="E1505" s="13" t="str">
        <f>+HYPERLINK("http://trademark.i-assist.jp/data/china/image_1913th/80420505.pdf","80420505")</f>
        <v>80420505</v>
      </c>
      <c r="F1505" s="11" t="s">
        <v>943</v>
      </c>
      <c r="G1505" s="11" t="s">
        <v>942</v>
      </c>
      <c r="H1505" s="11" t="s">
        <v>3970</v>
      </c>
      <c r="I1505" s="12">
        <v>45521</v>
      </c>
    </row>
    <row r="1506" spans="1:9" x14ac:dyDescent="0.15">
      <c r="A1506" s="9">
        <v>1505</v>
      </c>
      <c r="B1506" s="10" t="s">
        <v>9</v>
      </c>
      <c r="C1506" s="11" t="s">
        <v>10</v>
      </c>
      <c r="D1506" s="12">
        <v>45623</v>
      </c>
      <c r="E1506" s="13" t="str">
        <f>+HYPERLINK("http://trademark.i-assist.jp/data/china/image_1913th/80447331.pdf","80447331")</f>
        <v>80447331</v>
      </c>
      <c r="F1506" s="11" t="s">
        <v>944</v>
      </c>
      <c r="G1506" s="11" t="s">
        <v>3971</v>
      </c>
      <c r="H1506" s="11" t="s">
        <v>3972</v>
      </c>
      <c r="I1506" s="12">
        <v>45523</v>
      </c>
    </row>
    <row r="1507" spans="1:9" x14ac:dyDescent="0.15">
      <c r="A1507" s="9">
        <v>1506</v>
      </c>
      <c r="B1507" s="10" t="s">
        <v>9</v>
      </c>
      <c r="C1507" s="11" t="s">
        <v>10</v>
      </c>
      <c r="D1507" s="12">
        <v>45623</v>
      </c>
      <c r="E1507" s="13" t="str">
        <f>+HYPERLINK("http://trademark.i-assist.jp/data/china/image_1913th/80447722.pdf","80447722")</f>
        <v>80447722</v>
      </c>
      <c r="F1507" s="11" t="s">
        <v>3973</v>
      </c>
      <c r="G1507" s="11" t="s">
        <v>3974</v>
      </c>
      <c r="H1507" s="11" t="s">
        <v>2946</v>
      </c>
      <c r="I1507" s="12">
        <v>45523</v>
      </c>
    </row>
    <row r="1508" spans="1:9" x14ac:dyDescent="0.15">
      <c r="A1508" s="9">
        <v>1507</v>
      </c>
      <c r="B1508" s="10" t="s">
        <v>9</v>
      </c>
      <c r="C1508" s="11" t="s">
        <v>10</v>
      </c>
      <c r="D1508" s="12">
        <v>45623</v>
      </c>
      <c r="E1508" s="13" t="str">
        <f>+HYPERLINK("http://trademark.i-assist.jp/data/china/image_1913th/80450187.pdf","80450187")</f>
        <v>80450187</v>
      </c>
      <c r="F1508" s="11" t="s">
        <v>945</v>
      </c>
      <c r="G1508" s="11" t="s">
        <v>3975</v>
      </c>
      <c r="H1508" s="11" t="s">
        <v>3976</v>
      </c>
      <c r="I1508" s="12">
        <v>45524</v>
      </c>
    </row>
    <row r="1509" spans="1:9" x14ac:dyDescent="0.15">
      <c r="A1509" s="9">
        <v>1508</v>
      </c>
      <c r="B1509" s="10" t="s">
        <v>9</v>
      </c>
      <c r="C1509" s="11" t="s">
        <v>10</v>
      </c>
      <c r="D1509" s="12">
        <v>45623</v>
      </c>
      <c r="E1509" s="13" t="str">
        <f>+HYPERLINK("http://trademark.i-assist.jp/data/china/image_1913th/80455142.pdf","80455142")</f>
        <v>80455142</v>
      </c>
      <c r="F1509" s="11" t="s">
        <v>3977</v>
      </c>
      <c r="G1509" s="11" t="s">
        <v>1338</v>
      </c>
      <c r="H1509" s="11" t="s">
        <v>3978</v>
      </c>
      <c r="I1509" s="12">
        <v>45524</v>
      </c>
    </row>
    <row r="1510" spans="1:9" x14ac:dyDescent="0.15">
      <c r="A1510" s="9">
        <v>1509</v>
      </c>
      <c r="B1510" s="10" t="s">
        <v>9</v>
      </c>
      <c r="C1510" s="11" t="s">
        <v>10</v>
      </c>
      <c r="D1510" s="12">
        <v>45623</v>
      </c>
      <c r="E1510" s="13" t="str">
        <f>+HYPERLINK("http://trademark.i-assist.jp/data/china/image_1913th/79259476.pdf","79259476")</f>
        <v>79259476</v>
      </c>
      <c r="F1510" s="11" t="s">
        <v>3979</v>
      </c>
      <c r="G1510" s="11" t="s">
        <v>260</v>
      </c>
      <c r="H1510" s="11" t="s">
        <v>2034</v>
      </c>
      <c r="I1510" s="12">
        <v>45460</v>
      </c>
    </row>
    <row r="1511" spans="1:9" x14ac:dyDescent="0.15">
      <c r="A1511" s="9">
        <v>1510</v>
      </c>
      <c r="B1511" s="10" t="s">
        <v>9</v>
      </c>
      <c r="C1511" s="11" t="s">
        <v>10</v>
      </c>
      <c r="D1511" s="12">
        <v>45623</v>
      </c>
      <c r="E1511" s="13" t="str">
        <f>+HYPERLINK("http://trademark.i-assist.jp/data/china/image_1913th/79423104.pdf","79423104")</f>
        <v>79423104</v>
      </c>
      <c r="F1511" s="11" t="s">
        <v>3980</v>
      </c>
      <c r="G1511" s="11" t="s">
        <v>3981</v>
      </c>
      <c r="H1511" s="11" t="s">
        <v>3982</v>
      </c>
      <c r="I1511" s="12">
        <v>45468</v>
      </c>
    </row>
    <row r="1512" spans="1:9" x14ac:dyDescent="0.15">
      <c r="A1512" s="9">
        <v>1511</v>
      </c>
      <c r="B1512" s="10" t="s">
        <v>9</v>
      </c>
      <c r="C1512" s="11" t="s">
        <v>10</v>
      </c>
      <c r="D1512" s="12">
        <v>45623</v>
      </c>
      <c r="E1512" s="13" t="str">
        <f>+HYPERLINK("http://trademark.i-assist.jp/data/china/image_1913th/76111805.pdf","76111805")</f>
        <v>76111805</v>
      </c>
      <c r="F1512" s="11" t="s">
        <v>946</v>
      </c>
      <c r="G1512" s="11" t="s">
        <v>3983</v>
      </c>
      <c r="H1512" s="11" t="s">
        <v>3984</v>
      </c>
      <c r="I1512" s="12">
        <v>45289</v>
      </c>
    </row>
    <row r="1513" spans="1:9" x14ac:dyDescent="0.15">
      <c r="A1513" s="9">
        <v>1512</v>
      </c>
      <c r="B1513" s="10" t="s">
        <v>9</v>
      </c>
      <c r="C1513" s="11" t="s">
        <v>10</v>
      </c>
      <c r="D1513" s="12">
        <v>45623</v>
      </c>
      <c r="E1513" s="13" t="str">
        <f>+HYPERLINK("http://trademark.i-assist.jp/data/china/image_1913th/76288250.pdf","76288250")</f>
        <v>76288250</v>
      </c>
      <c r="F1513" s="11" t="s">
        <v>947</v>
      </c>
      <c r="G1513" s="11" t="s">
        <v>3985</v>
      </c>
      <c r="H1513" s="11" t="s">
        <v>3986</v>
      </c>
      <c r="I1513" s="12">
        <v>45300</v>
      </c>
    </row>
    <row r="1514" spans="1:9" x14ac:dyDescent="0.15">
      <c r="A1514" s="9">
        <v>1513</v>
      </c>
      <c r="B1514" s="10" t="s">
        <v>9</v>
      </c>
      <c r="C1514" s="11" t="s">
        <v>10</v>
      </c>
      <c r="D1514" s="12">
        <v>45623</v>
      </c>
      <c r="E1514" s="13" t="str">
        <f>+HYPERLINK("http://trademark.i-assist.jp/data/china/image_1913th/77627126.pdf","77627126")</f>
        <v>77627126</v>
      </c>
      <c r="F1514" s="11" t="s">
        <v>1335</v>
      </c>
      <c r="G1514" s="11" t="s">
        <v>3987</v>
      </c>
      <c r="H1514" s="11" t="s">
        <v>3988</v>
      </c>
      <c r="I1514" s="12">
        <v>45379</v>
      </c>
    </row>
    <row r="1515" spans="1:9" x14ac:dyDescent="0.15">
      <c r="A1515" s="9">
        <v>1514</v>
      </c>
      <c r="B1515" s="10" t="s">
        <v>9</v>
      </c>
      <c r="C1515" s="11" t="s">
        <v>10</v>
      </c>
      <c r="D1515" s="12">
        <v>45623</v>
      </c>
      <c r="E1515" s="13" t="str">
        <f>+HYPERLINK("http://trademark.i-assist.jp/data/china/image_1913th/80737406.pdf","80737406")</f>
        <v>80737406</v>
      </c>
      <c r="F1515" s="11" t="s">
        <v>949</v>
      </c>
      <c r="G1515" s="11" t="s">
        <v>948</v>
      </c>
      <c r="H1515" s="11" t="s">
        <v>1382</v>
      </c>
      <c r="I1515" s="12">
        <v>45539</v>
      </c>
    </row>
    <row r="1516" spans="1:9" x14ac:dyDescent="0.15">
      <c r="A1516" s="9">
        <v>1515</v>
      </c>
      <c r="B1516" s="10" t="s">
        <v>9</v>
      </c>
      <c r="C1516" s="11" t="s">
        <v>10</v>
      </c>
      <c r="D1516" s="12">
        <v>45623</v>
      </c>
      <c r="E1516" s="13" t="str">
        <f>+HYPERLINK("http://trademark.i-assist.jp/data/china/image_1913th/80747147.pdf","80747147")</f>
        <v>80747147</v>
      </c>
      <c r="F1516" s="11" t="s">
        <v>1335</v>
      </c>
      <c r="G1516" s="11" t="s">
        <v>3989</v>
      </c>
      <c r="H1516" s="11" t="s">
        <v>3990</v>
      </c>
      <c r="I1516" s="12">
        <v>45539</v>
      </c>
    </row>
    <row r="1517" spans="1:9" x14ac:dyDescent="0.15">
      <c r="A1517" s="9">
        <v>1516</v>
      </c>
      <c r="B1517" s="10" t="s">
        <v>9</v>
      </c>
      <c r="C1517" s="11" t="s">
        <v>10</v>
      </c>
      <c r="D1517" s="12">
        <v>45623</v>
      </c>
      <c r="E1517" s="13" t="str">
        <f>+HYPERLINK("http://trademark.i-assist.jp/data/china/image_1913th/80749470.pdf","80749470")</f>
        <v>80749470</v>
      </c>
      <c r="F1517" s="11" t="s">
        <v>3991</v>
      </c>
      <c r="G1517" s="11" t="s">
        <v>3992</v>
      </c>
      <c r="H1517" s="11" t="s">
        <v>3993</v>
      </c>
      <c r="I1517" s="12">
        <v>45539</v>
      </c>
    </row>
    <row r="1518" spans="1:9" x14ac:dyDescent="0.15">
      <c r="A1518" s="9">
        <v>1517</v>
      </c>
      <c r="B1518" s="10" t="s">
        <v>9</v>
      </c>
      <c r="C1518" s="11" t="s">
        <v>10</v>
      </c>
      <c r="D1518" s="12">
        <v>45623</v>
      </c>
      <c r="E1518" s="13" t="str">
        <f>+HYPERLINK("http://trademark.i-assist.jp/data/china/image_1913th/80752395.pdf","80752395")</f>
        <v>80752395</v>
      </c>
      <c r="F1518" s="11" t="s">
        <v>3994</v>
      </c>
      <c r="G1518" s="11" t="s">
        <v>3995</v>
      </c>
      <c r="H1518" s="11" t="s">
        <v>3133</v>
      </c>
      <c r="I1518" s="12">
        <v>45539</v>
      </c>
    </row>
    <row r="1519" spans="1:9" x14ac:dyDescent="0.15">
      <c r="A1519" s="9">
        <v>1518</v>
      </c>
      <c r="B1519" s="10" t="s">
        <v>9</v>
      </c>
      <c r="C1519" s="11" t="s">
        <v>10</v>
      </c>
      <c r="D1519" s="12">
        <v>45623</v>
      </c>
      <c r="E1519" s="13" t="str">
        <f>+HYPERLINK("http://trademark.i-assist.jp/data/china/image_1913th/80752696.pdf","80752696")</f>
        <v>80752696</v>
      </c>
      <c r="F1519" s="11" t="s">
        <v>3996</v>
      </c>
      <c r="G1519" s="11" t="s">
        <v>3997</v>
      </c>
      <c r="H1519" s="11" t="s">
        <v>3998</v>
      </c>
      <c r="I1519" s="12">
        <v>45539</v>
      </c>
    </row>
    <row r="1520" spans="1:9" x14ac:dyDescent="0.15">
      <c r="A1520" s="9">
        <v>1519</v>
      </c>
      <c r="B1520" s="10" t="s">
        <v>9</v>
      </c>
      <c r="C1520" s="11" t="s">
        <v>10</v>
      </c>
      <c r="D1520" s="12">
        <v>45623</v>
      </c>
      <c r="E1520" s="13" t="str">
        <f>+HYPERLINK("http://trademark.i-assist.jp/data/china/image_1913th/80757645.pdf","80757645")</f>
        <v>80757645</v>
      </c>
      <c r="F1520" s="11" t="s">
        <v>951</v>
      </c>
      <c r="G1520" s="11" t="s">
        <v>950</v>
      </c>
      <c r="H1520" s="11" t="s">
        <v>3999</v>
      </c>
      <c r="I1520" s="12">
        <v>45540</v>
      </c>
    </row>
    <row r="1521" spans="1:9" x14ac:dyDescent="0.15">
      <c r="A1521" s="9">
        <v>1520</v>
      </c>
      <c r="B1521" s="10" t="s">
        <v>9</v>
      </c>
      <c r="C1521" s="11" t="s">
        <v>10</v>
      </c>
      <c r="D1521" s="12">
        <v>45623</v>
      </c>
      <c r="E1521" s="13" t="str">
        <f>+HYPERLINK("http://trademark.i-assist.jp/data/china/image_1913th/80758751.pdf","80758751")</f>
        <v>80758751</v>
      </c>
      <c r="F1521" s="11" t="s">
        <v>952</v>
      </c>
      <c r="G1521" s="11" t="s">
        <v>4000</v>
      </c>
      <c r="H1521" s="11" t="s">
        <v>4001</v>
      </c>
      <c r="I1521" s="12">
        <v>45540</v>
      </c>
    </row>
    <row r="1522" spans="1:9" x14ac:dyDescent="0.15">
      <c r="A1522" s="9">
        <v>1521</v>
      </c>
      <c r="B1522" s="10" t="s">
        <v>9</v>
      </c>
      <c r="C1522" s="11" t="s">
        <v>10</v>
      </c>
      <c r="D1522" s="12">
        <v>45623</v>
      </c>
      <c r="E1522" s="13" t="str">
        <f>+HYPERLINK("http://trademark.i-assist.jp/data/china/image_1913th/80760924.pdf","80760924")</f>
        <v>80760924</v>
      </c>
      <c r="F1522" s="11" t="s">
        <v>4002</v>
      </c>
      <c r="G1522" s="11" t="s">
        <v>4003</v>
      </c>
      <c r="H1522" s="11" t="s">
        <v>4004</v>
      </c>
      <c r="I1522" s="12">
        <v>45540</v>
      </c>
    </row>
    <row r="1523" spans="1:9" x14ac:dyDescent="0.15">
      <c r="A1523" s="9">
        <v>1522</v>
      </c>
      <c r="B1523" s="10" t="s">
        <v>9</v>
      </c>
      <c r="C1523" s="11" t="s">
        <v>10</v>
      </c>
      <c r="D1523" s="12">
        <v>45623</v>
      </c>
      <c r="E1523" s="13" t="str">
        <f>+HYPERLINK("http://trademark.i-assist.jp/data/china/image_1913th/80764292.pdf","80764292")</f>
        <v>80764292</v>
      </c>
      <c r="F1523" s="11" t="s">
        <v>4005</v>
      </c>
      <c r="G1523" s="11" t="s">
        <v>4006</v>
      </c>
      <c r="H1523" s="11" t="s">
        <v>4007</v>
      </c>
      <c r="I1523" s="12">
        <v>45540</v>
      </c>
    </row>
    <row r="1524" spans="1:9" x14ac:dyDescent="0.15">
      <c r="A1524" s="9">
        <v>1523</v>
      </c>
      <c r="B1524" s="10" t="s">
        <v>9</v>
      </c>
      <c r="C1524" s="11" t="s">
        <v>10</v>
      </c>
      <c r="D1524" s="12">
        <v>45623</v>
      </c>
      <c r="E1524" s="13" t="str">
        <f>+HYPERLINK("http://trademark.i-assist.jp/data/china/image_1913th/80766864.pdf","80766864")</f>
        <v>80766864</v>
      </c>
      <c r="F1524" s="11" t="s">
        <v>4008</v>
      </c>
      <c r="G1524" s="11" t="s">
        <v>566</v>
      </c>
      <c r="H1524" s="11" t="s">
        <v>1480</v>
      </c>
      <c r="I1524" s="12">
        <v>45540</v>
      </c>
    </row>
    <row r="1525" spans="1:9" x14ac:dyDescent="0.15">
      <c r="A1525" s="9">
        <v>1524</v>
      </c>
      <c r="B1525" s="10" t="s">
        <v>9</v>
      </c>
      <c r="C1525" s="11" t="s">
        <v>10</v>
      </c>
      <c r="D1525" s="12">
        <v>45623</v>
      </c>
      <c r="E1525" s="13" t="str">
        <f>+HYPERLINK("http://trademark.i-assist.jp/data/china/image_1913th/80769826.pdf","80769826")</f>
        <v>80769826</v>
      </c>
      <c r="F1525" s="11" t="s">
        <v>953</v>
      </c>
      <c r="G1525" s="11" t="s">
        <v>1400</v>
      </c>
      <c r="H1525" s="11" t="s">
        <v>1401</v>
      </c>
      <c r="I1525" s="12">
        <v>45540</v>
      </c>
    </row>
    <row r="1526" spans="1:9" x14ac:dyDescent="0.15">
      <c r="A1526" s="9">
        <v>1525</v>
      </c>
      <c r="B1526" s="10" t="s">
        <v>9</v>
      </c>
      <c r="C1526" s="11" t="s">
        <v>10</v>
      </c>
      <c r="D1526" s="12">
        <v>45623</v>
      </c>
      <c r="E1526" s="13" t="str">
        <f>+HYPERLINK("http://trademark.i-assist.jp/data/china/image_1913th/80779757.pdf","80779757")</f>
        <v>80779757</v>
      </c>
      <c r="F1526" s="11" t="s">
        <v>4009</v>
      </c>
      <c r="G1526" s="11" t="s">
        <v>4010</v>
      </c>
      <c r="H1526" s="11" t="s">
        <v>4011</v>
      </c>
      <c r="I1526" s="12">
        <v>45541</v>
      </c>
    </row>
    <row r="1527" spans="1:9" x14ac:dyDescent="0.15">
      <c r="A1527" s="9">
        <v>1526</v>
      </c>
      <c r="B1527" s="10" t="s">
        <v>9</v>
      </c>
      <c r="C1527" s="11" t="s">
        <v>10</v>
      </c>
      <c r="D1527" s="12">
        <v>45623</v>
      </c>
      <c r="E1527" s="13" t="str">
        <f>+HYPERLINK("http://trademark.i-assist.jp/data/china/image_1913th/80784635.pdf","80784635")</f>
        <v>80784635</v>
      </c>
      <c r="F1527" s="11" t="s">
        <v>954</v>
      </c>
      <c r="G1527" s="11" t="s">
        <v>486</v>
      </c>
      <c r="H1527" s="11" t="s">
        <v>1725</v>
      </c>
      <c r="I1527" s="12">
        <v>45541</v>
      </c>
    </row>
    <row r="1528" spans="1:9" x14ac:dyDescent="0.15">
      <c r="A1528" s="9">
        <v>1527</v>
      </c>
      <c r="B1528" s="10" t="s">
        <v>9</v>
      </c>
      <c r="C1528" s="11" t="s">
        <v>10</v>
      </c>
      <c r="D1528" s="12">
        <v>45623</v>
      </c>
      <c r="E1528" s="13" t="str">
        <f>+HYPERLINK("http://trademark.i-assist.jp/data/china/image_1913th/80902756.pdf","80902756")</f>
        <v>80902756</v>
      </c>
      <c r="F1528" s="11" t="s">
        <v>955</v>
      </c>
      <c r="G1528" s="11" t="s">
        <v>4012</v>
      </c>
      <c r="H1528" s="11" t="s">
        <v>4013</v>
      </c>
      <c r="I1528" s="12">
        <v>45547</v>
      </c>
    </row>
    <row r="1529" spans="1:9" x14ac:dyDescent="0.15">
      <c r="A1529" s="9">
        <v>1528</v>
      </c>
      <c r="B1529" s="10" t="s">
        <v>9</v>
      </c>
      <c r="C1529" s="11" t="s">
        <v>10</v>
      </c>
      <c r="D1529" s="12">
        <v>45623</v>
      </c>
      <c r="E1529" s="13" t="str">
        <f>+HYPERLINK("http://trademark.i-assist.jp/data/china/image_1913th/80908575.pdf","80908575")</f>
        <v>80908575</v>
      </c>
      <c r="F1529" s="11" t="s">
        <v>4014</v>
      </c>
      <c r="G1529" s="11" t="s">
        <v>956</v>
      </c>
      <c r="H1529" s="11" t="s">
        <v>4015</v>
      </c>
      <c r="I1529" s="12">
        <v>45548</v>
      </c>
    </row>
    <row r="1530" spans="1:9" x14ac:dyDescent="0.15">
      <c r="A1530" s="9">
        <v>1529</v>
      </c>
      <c r="B1530" s="10" t="s">
        <v>9</v>
      </c>
      <c r="C1530" s="11" t="s">
        <v>10</v>
      </c>
      <c r="D1530" s="12">
        <v>45623</v>
      </c>
      <c r="E1530" s="13" t="str">
        <f>+HYPERLINK("http://trademark.i-assist.jp/data/china/image_1913th/80909235.pdf","80909235")</f>
        <v>80909235</v>
      </c>
      <c r="F1530" s="11" t="s">
        <v>958</v>
      </c>
      <c r="G1530" s="11" t="s">
        <v>957</v>
      </c>
      <c r="H1530" s="11" t="s">
        <v>2239</v>
      </c>
      <c r="I1530" s="12">
        <v>45548</v>
      </c>
    </row>
    <row r="1531" spans="1:9" x14ac:dyDescent="0.15">
      <c r="A1531" s="9">
        <v>1530</v>
      </c>
      <c r="B1531" s="10" t="s">
        <v>9</v>
      </c>
      <c r="C1531" s="11" t="s">
        <v>10</v>
      </c>
      <c r="D1531" s="12">
        <v>45623</v>
      </c>
      <c r="E1531" s="13" t="str">
        <f>+HYPERLINK("http://trademark.i-assist.jp/data/china/image_1913th/80925106.pdf","80925106")</f>
        <v>80925106</v>
      </c>
      <c r="F1531" s="11" t="s">
        <v>960</v>
      </c>
      <c r="G1531" s="11" t="s">
        <v>959</v>
      </c>
      <c r="H1531" s="11" t="s">
        <v>4016</v>
      </c>
      <c r="I1531" s="12">
        <v>45547</v>
      </c>
    </row>
    <row r="1532" spans="1:9" x14ac:dyDescent="0.15">
      <c r="A1532" s="9">
        <v>1531</v>
      </c>
      <c r="B1532" s="10" t="s">
        <v>9</v>
      </c>
      <c r="C1532" s="11" t="s">
        <v>10</v>
      </c>
      <c r="D1532" s="12">
        <v>45623</v>
      </c>
      <c r="E1532" s="13" t="str">
        <f>+HYPERLINK("http://trademark.i-assist.jp/data/china/image_1913th/80940459.pdf","80940459")</f>
        <v>80940459</v>
      </c>
      <c r="F1532" s="11" t="s">
        <v>4017</v>
      </c>
      <c r="G1532" s="11" t="s">
        <v>4018</v>
      </c>
      <c r="H1532" s="11" t="s">
        <v>4019</v>
      </c>
      <c r="I1532" s="12">
        <v>45549</v>
      </c>
    </row>
    <row r="1533" spans="1:9" x14ac:dyDescent="0.15">
      <c r="A1533" s="9">
        <v>1532</v>
      </c>
      <c r="B1533" s="10" t="s">
        <v>9</v>
      </c>
      <c r="C1533" s="11" t="s">
        <v>10</v>
      </c>
      <c r="D1533" s="12">
        <v>45623</v>
      </c>
      <c r="E1533" s="13" t="str">
        <f>+HYPERLINK("http://trademark.i-assist.jp/data/china/image_1913th/80958299.pdf","80958299")</f>
        <v>80958299</v>
      </c>
      <c r="F1533" s="11" t="s">
        <v>4020</v>
      </c>
      <c r="G1533" s="11" t="s">
        <v>4021</v>
      </c>
      <c r="H1533" s="11" t="s">
        <v>4022</v>
      </c>
      <c r="I1533" s="12">
        <v>45552</v>
      </c>
    </row>
    <row r="1534" spans="1:9" x14ac:dyDescent="0.15">
      <c r="A1534" s="9">
        <v>1533</v>
      </c>
      <c r="B1534" s="10" t="s">
        <v>9</v>
      </c>
      <c r="C1534" s="11" t="s">
        <v>10</v>
      </c>
      <c r="D1534" s="12">
        <v>45623</v>
      </c>
      <c r="E1534" s="13" t="str">
        <f>+HYPERLINK("http://trademark.i-assist.jp/data/china/image_1913th/80980672.pdf","80980672")</f>
        <v>80980672</v>
      </c>
      <c r="F1534" s="11" t="s">
        <v>961</v>
      </c>
      <c r="G1534" s="11" t="s">
        <v>4023</v>
      </c>
      <c r="H1534" s="11" t="s">
        <v>4024</v>
      </c>
      <c r="I1534" s="12">
        <v>45553</v>
      </c>
    </row>
    <row r="1535" spans="1:9" x14ac:dyDescent="0.15">
      <c r="A1535" s="9">
        <v>1534</v>
      </c>
      <c r="B1535" s="10" t="s">
        <v>9</v>
      </c>
      <c r="C1535" s="11" t="s">
        <v>10</v>
      </c>
      <c r="D1535" s="12">
        <v>45623</v>
      </c>
      <c r="E1535" s="13" t="str">
        <f>+HYPERLINK("http://trademark.i-assist.jp/data/china/image_1913th/80790402.pdf","80790402")</f>
        <v>80790402</v>
      </c>
      <c r="F1535" s="11" t="s">
        <v>4025</v>
      </c>
      <c r="G1535" s="11" t="s">
        <v>4026</v>
      </c>
      <c r="H1535" s="11" t="s">
        <v>4027</v>
      </c>
      <c r="I1535" s="12">
        <v>45541</v>
      </c>
    </row>
    <row r="1536" spans="1:9" x14ac:dyDescent="0.15">
      <c r="A1536" s="9">
        <v>1535</v>
      </c>
      <c r="B1536" s="10" t="s">
        <v>9</v>
      </c>
      <c r="C1536" s="11" t="s">
        <v>10</v>
      </c>
      <c r="D1536" s="12">
        <v>45623</v>
      </c>
      <c r="E1536" s="13" t="str">
        <f>+HYPERLINK("http://trademark.i-assist.jp/data/china/image_1913th/80794931.pdf","80794931")</f>
        <v>80794931</v>
      </c>
      <c r="F1536" s="11" t="s">
        <v>4028</v>
      </c>
      <c r="G1536" s="11" t="s">
        <v>4029</v>
      </c>
      <c r="H1536" s="11" t="s">
        <v>4030</v>
      </c>
      <c r="I1536" s="12">
        <v>45541</v>
      </c>
    </row>
    <row r="1537" spans="1:9" x14ac:dyDescent="0.15">
      <c r="A1537" s="9">
        <v>1536</v>
      </c>
      <c r="B1537" s="10" t="s">
        <v>9</v>
      </c>
      <c r="C1537" s="11" t="s">
        <v>10</v>
      </c>
      <c r="D1537" s="12">
        <v>45623</v>
      </c>
      <c r="E1537" s="13" t="str">
        <f>+HYPERLINK("http://trademark.i-assist.jp/data/china/image_1913th/80803677.pdf","80803677")</f>
        <v>80803677</v>
      </c>
      <c r="F1537" s="11" t="s">
        <v>4031</v>
      </c>
      <c r="G1537" s="11" t="s">
        <v>4032</v>
      </c>
      <c r="H1537" s="11" t="s">
        <v>1454</v>
      </c>
      <c r="I1537" s="12">
        <v>45542</v>
      </c>
    </row>
    <row r="1538" spans="1:9" x14ac:dyDescent="0.15">
      <c r="A1538" s="9">
        <v>1537</v>
      </c>
      <c r="B1538" s="10" t="s">
        <v>9</v>
      </c>
      <c r="C1538" s="11" t="s">
        <v>10</v>
      </c>
      <c r="D1538" s="12">
        <v>45623</v>
      </c>
      <c r="E1538" s="13" t="str">
        <f>+HYPERLINK("http://trademark.i-assist.jp/data/china/image_1913th/80808552.pdf","80808552")</f>
        <v>80808552</v>
      </c>
      <c r="F1538" s="11" t="s">
        <v>4033</v>
      </c>
      <c r="G1538" s="11" t="s">
        <v>962</v>
      </c>
      <c r="H1538" s="11" t="s">
        <v>4034</v>
      </c>
      <c r="I1538" s="12">
        <v>45543</v>
      </c>
    </row>
    <row r="1539" spans="1:9" x14ac:dyDescent="0.15">
      <c r="A1539" s="9">
        <v>1538</v>
      </c>
      <c r="B1539" s="10" t="s">
        <v>9</v>
      </c>
      <c r="C1539" s="11" t="s">
        <v>10</v>
      </c>
      <c r="D1539" s="12">
        <v>45623</v>
      </c>
      <c r="E1539" s="13" t="str">
        <f>+HYPERLINK("http://trademark.i-assist.jp/data/china/image_1913th/80819566.pdf","80819566")</f>
        <v>80819566</v>
      </c>
      <c r="F1539" s="11" t="s">
        <v>4035</v>
      </c>
      <c r="G1539" s="11" t="s">
        <v>963</v>
      </c>
      <c r="H1539" s="11" t="s">
        <v>1840</v>
      </c>
      <c r="I1539" s="12">
        <v>45544</v>
      </c>
    </row>
    <row r="1540" spans="1:9" x14ac:dyDescent="0.15">
      <c r="A1540" s="9">
        <v>1539</v>
      </c>
      <c r="B1540" s="10" t="s">
        <v>9</v>
      </c>
      <c r="C1540" s="11" t="s">
        <v>10</v>
      </c>
      <c r="D1540" s="12">
        <v>45623</v>
      </c>
      <c r="E1540" s="13" t="str">
        <f>+HYPERLINK("http://trademark.i-assist.jp/data/china/image_1913th/80819625.pdf","80819625")</f>
        <v>80819625</v>
      </c>
      <c r="F1540" s="11" t="s">
        <v>964</v>
      </c>
      <c r="G1540" s="11" t="s">
        <v>1453</v>
      </c>
      <c r="H1540" s="11" t="s">
        <v>1454</v>
      </c>
      <c r="I1540" s="12">
        <v>45544</v>
      </c>
    </row>
    <row r="1541" spans="1:9" x14ac:dyDescent="0.15">
      <c r="A1541" s="9">
        <v>1540</v>
      </c>
      <c r="B1541" s="10" t="s">
        <v>9</v>
      </c>
      <c r="C1541" s="11" t="s">
        <v>10</v>
      </c>
      <c r="D1541" s="12">
        <v>45623</v>
      </c>
      <c r="E1541" s="13" t="str">
        <f>+HYPERLINK("http://trademark.i-assist.jp/data/china/image_1913th/80820371.pdf","80820371")</f>
        <v>80820371</v>
      </c>
      <c r="F1541" s="11" t="s">
        <v>965</v>
      </c>
      <c r="G1541" s="11" t="s">
        <v>4036</v>
      </c>
      <c r="H1541" s="11" t="s">
        <v>4037</v>
      </c>
      <c r="I1541" s="12">
        <v>45544</v>
      </c>
    </row>
    <row r="1542" spans="1:9" x14ac:dyDescent="0.15">
      <c r="A1542" s="9">
        <v>1541</v>
      </c>
      <c r="B1542" s="10" t="s">
        <v>9</v>
      </c>
      <c r="C1542" s="11" t="s">
        <v>10</v>
      </c>
      <c r="D1542" s="12">
        <v>45623</v>
      </c>
      <c r="E1542" s="13" t="str">
        <f>+HYPERLINK("http://trademark.i-assist.jp/data/china/image_1913th/80820631.pdf","80820631")</f>
        <v>80820631</v>
      </c>
      <c r="F1542" s="11" t="s">
        <v>966</v>
      </c>
      <c r="G1542" s="11" t="s">
        <v>3009</v>
      </c>
      <c r="H1542" s="11" t="s">
        <v>3010</v>
      </c>
      <c r="I1542" s="12">
        <v>45544</v>
      </c>
    </row>
    <row r="1543" spans="1:9" x14ac:dyDescent="0.15">
      <c r="A1543" s="9">
        <v>1542</v>
      </c>
      <c r="B1543" s="10" t="s">
        <v>9</v>
      </c>
      <c r="C1543" s="11" t="s">
        <v>10</v>
      </c>
      <c r="D1543" s="12">
        <v>45623</v>
      </c>
      <c r="E1543" s="13" t="str">
        <f>+HYPERLINK("http://trademark.i-assist.jp/data/china/image_1913th/80825538.pdf","80825538")</f>
        <v>80825538</v>
      </c>
      <c r="F1543" s="11" t="s">
        <v>4038</v>
      </c>
      <c r="G1543" s="11" t="s">
        <v>198</v>
      </c>
      <c r="H1543" s="11" t="s">
        <v>1666</v>
      </c>
      <c r="I1543" s="12">
        <v>45544</v>
      </c>
    </row>
    <row r="1544" spans="1:9" x14ac:dyDescent="0.15">
      <c r="A1544" s="9">
        <v>1543</v>
      </c>
      <c r="B1544" s="10" t="s">
        <v>9</v>
      </c>
      <c r="C1544" s="11" t="s">
        <v>10</v>
      </c>
      <c r="D1544" s="12">
        <v>45623</v>
      </c>
      <c r="E1544" s="13" t="str">
        <f>+HYPERLINK("http://trademark.i-assist.jp/data/china/image_1913th/80826414.pdf","80826414")</f>
        <v>80826414</v>
      </c>
      <c r="F1544" s="11" t="s">
        <v>967</v>
      </c>
      <c r="G1544" s="11" t="s">
        <v>1453</v>
      </c>
      <c r="H1544" s="11" t="s">
        <v>1454</v>
      </c>
      <c r="I1544" s="12">
        <v>45544</v>
      </c>
    </row>
    <row r="1545" spans="1:9" x14ac:dyDescent="0.15">
      <c r="A1545" s="9">
        <v>1544</v>
      </c>
      <c r="B1545" s="10" t="s">
        <v>9</v>
      </c>
      <c r="C1545" s="11" t="s">
        <v>10</v>
      </c>
      <c r="D1545" s="12">
        <v>45623</v>
      </c>
      <c r="E1545" s="13" t="str">
        <f>+HYPERLINK("http://trademark.i-assist.jp/data/china/image_1913th/80852803.pdf","80852803")</f>
        <v>80852803</v>
      </c>
      <c r="F1545" s="11" t="s">
        <v>4039</v>
      </c>
      <c r="G1545" s="11" t="s">
        <v>4040</v>
      </c>
      <c r="H1545" s="11" t="s">
        <v>4041</v>
      </c>
      <c r="I1545" s="12">
        <v>45545</v>
      </c>
    </row>
    <row r="1546" spans="1:9" x14ac:dyDescent="0.15">
      <c r="A1546" s="9">
        <v>1545</v>
      </c>
      <c r="B1546" s="10" t="s">
        <v>9</v>
      </c>
      <c r="C1546" s="11" t="s">
        <v>10</v>
      </c>
      <c r="D1546" s="12">
        <v>45623</v>
      </c>
      <c r="E1546" s="13" t="str">
        <f>+HYPERLINK("http://trademark.i-assist.jp/data/china/image_1913th/80854123.pdf","80854123")</f>
        <v>80854123</v>
      </c>
      <c r="F1546" s="11" t="s">
        <v>4042</v>
      </c>
      <c r="G1546" s="11" t="s">
        <v>4043</v>
      </c>
      <c r="H1546" s="11" t="s">
        <v>2420</v>
      </c>
      <c r="I1546" s="12">
        <v>45545</v>
      </c>
    </row>
    <row r="1547" spans="1:9" x14ac:dyDescent="0.15">
      <c r="A1547" s="9">
        <v>1546</v>
      </c>
      <c r="B1547" s="10" t="s">
        <v>9</v>
      </c>
      <c r="C1547" s="11" t="s">
        <v>10</v>
      </c>
      <c r="D1547" s="12">
        <v>45623</v>
      </c>
      <c r="E1547" s="13" t="str">
        <f>+HYPERLINK("http://trademark.i-assist.jp/data/china/image_1913th/80864413.pdf","80864413")</f>
        <v>80864413</v>
      </c>
      <c r="F1547" s="11" t="s">
        <v>968</v>
      </c>
      <c r="G1547" s="11" t="s">
        <v>4044</v>
      </c>
      <c r="H1547" s="11" t="s">
        <v>4045</v>
      </c>
      <c r="I1547" s="12">
        <v>45546</v>
      </c>
    </row>
    <row r="1548" spans="1:9" x14ac:dyDescent="0.15">
      <c r="A1548" s="9">
        <v>1547</v>
      </c>
      <c r="B1548" s="10" t="s">
        <v>9</v>
      </c>
      <c r="C1548" s="11" t="s">
        <v>10</v>
      </c>
      <c r="D1548" s="12">
        <v>45623</v>
      </c>
      <c r="E1548" s="13" t="str">
        <f>+HYPERLINK("http://trademark.i-assist.jp/data/china/image_1913th/80873336.pdf","80873336")</f>
        <v>80873336</v>
      </c>
      <c r="F1548" s="11" t="s">
        <v>4046</v>
      </c>
      <c r="G1548" s="11" t="s">
        <v>3695</v>
      </c>
      <c r="H1548" s="11" t="s">
        <v>1831</v>
      </c>
      <c r="I1548" s="12">
        <v>45546</v>
      </c>
    </row>
    <row r="1549" spans="1:9" x14ac:dyDescent="0.15">
      <c r="A1549" s="9">
        <v>1548</v>
      </c>
      <c r="B1549" s="10" t="s">
        <v>9</v>
      </c>
      <c r="C1549" s="11" t="s">
        <v>10</v>
      </c>
      <c r="D1549" s="12">
        <v>45623</v>
      </c>
      <c r="E1549" s="13" t="str">
        <f>+HYPERLINK("http://trademark.i-assist.jp/data/china/image_1913th/80881147.pdf","80881147")</f>
        <v>80881147</v>
      </c>
      <c r="F1549" s="11" t="s">
        <v>969</v>
      </c>
      <c r="G1549" s="11" t="s">
        <v>4047</v>
      </c>
      <c r="H1549" s="11" t="s">
        <v>4048</v>
      </c>
      <c r="I1549" s="12">
        <v>45547</v>
      </c>
    </row>
    <row r="1550" spans="1:9" x14ac:dyDescent="0.15">
      <c r="A1550" s="9">
        <v>1549</v>
      </c>
      <c r="B1550" s="10" t="s">
        <v>9</v>
      </c>
      <c r="C1550" s="11" t="s">
        <v>10</v>
      </c>
      <c r="D1550" s="12">
        <v>45623</v>
      </c>
      <c r="E1550" s="13" t="str">
        <f>+HYPERLINK("http://trademark.i-assist.jp/data/china/image_1913th/80888426.pdf","80888426")</f>
        <v>80888426</v>
      </c>
      <c r="F1550" s="11" t="s">
        <v>970</v>
      </c>
      <c r="G1550" s="11" t="s">
        <v>1847</v>
      </c>
      <c r="H1550" s="11" t="s">
        <v>1848</v>
      </c>
      <c r="I1550" s="12">
        <v>45548</v>
      </c>
    </row>
    <row r="1551" spans="1:9" x14ac:dyDescent="0.15">
      <c r="A1551" s="9">
        <v>1550</v>
      </c>
      <c r="B1551" s="10" t="s">
        <v>9</v>
      </c>
      <c r="C1551" s="11" t="s">
        <v>10</v>
      </c>
      <c r="D1551" s="12">
        <v>45623</v>
      </c>
      <c r="E1551" s="13" t="str">
        <f>+HYPERLINK("http://trademark.i-assist.jp/data/china/image_1913th/51965009.pdf","51965009")</f>
        <v>51965009</v>
      </c>
      <c r="F1551" s="11" t="s">
        <v>4049</v>
      </c>
      <c r="G1551" s="11" t="s">
        <v>4050</v>
      </c>
      <c r="H1551" s="11" t="s">
        <v>1700</v>
      </c>
      <c r="I1551" s="12">
        <v>44173</v>
      </c>
    </row>
    <row r="1552" spans="1:9" x14ac:dyDescent="0.15">
      <c r="A1552" s="9">
        <v>1551</v>
      </c>
      <c r="B1552" s="10" t="s">
        <v>9</v>
      </c>
      <c r="C1552" s="11" t="s">
        <v>10</v>
      </c>
      <c r="D1552" s="12">
        <v>45623</v>
      </c>
      <c r="E1552" s="13" t="str">
        <f>+HYPERLINK("http://trademark.i-assist.jp/data/china/image_1913th/72252641.pdf","72252641")</f>
        <v>72252641</v>
      </c>
      <c r="F1552" s="11" t="s">
        <v>4051</v>
      </c>
      <c r="G1552" s="11" t="s">
        <v>4052</v>
      </c>
      <c r="H1552" s="11" t="s">
        <v>4053</v>
      </c>
      <c r="I1552" s="12">
        <v>45092</v>
      </c>
    </row>
    <row r="1553" spans="1:9" x14ac:dyDescent="0.15">
      <c r="A1553" s="9">
        <v>1552</v>
      </c>
      <c r="B1553" s="10" t="s">
        <v>9</v>
      </c>
      <c r="C1553" s="11" t="s">
        <v>10</v>
      </c>
      <c r="D1553" s="12">
        <v>45623</v>
      </c>
      <c r="E1553" s="13" t="str">
        <f>+HYPERLINK("http://trademark.i-assist.jp/data/china/image_1913th/76149934.pdf","76149934")</f>
        <v>76149934</v>
      </c>
      <c r="F1553" s="11" t="s">
        <v>4054</v>
      </c>
      <c r="G1553" s="11" t="s">
        <v>4055</v>
      </c>
      <c r="H1553" s="11" t="s">
        <v>4056</v>
      </c>
      <c r="I1553" s="12">
        <v>45293</v>
      </c>
    </row>
    <row r="1554" spans="1:9" x14ac:dyDescent="0.15">
      <c r="A1554" s="9">
        <v>1553</v>
      </c>
      <c r="B1554" s="10" t="s">
        <v>9</v>
      </c>
      <c r="C1554" s="11" t="s">
        <v>10</v>
      </c>
      <c r="D1554" s="12">
        <v>45623</v>
      </c>
      <c r="E1554" s="13" t="str">
        <f>+HYPERLINK("http://trademark.i-assist.jp/data/china/image_1913th/78379397.pdf","78379397")</f>
        <v>78379397</v>
      </c>
      <c r="F1554" s="11" t="s">
        <v>971</v>
      </c>
      <c r="G1554" s="11" t="s">
        <v>14</v>
      </c>
      <c r="H1554" s="11" t="s">
        <v>2022</v>
      </c>
      <c r="I1554" s="12">
        <v>45418</v>
      </c>
    </row>
    <row r="1555" spans="1:9" x14ac:dyDescent="0.15">
      <c r="A1555" s="9">
        <v>1554</v>
      </c>
      <c r="B1555" s="10" t="s">
        <v>9</v>
      </c>
      <c r="C1555" s="11" t="s">
        <v>10</v>
      </c>
      <c r="D1555" s="12">
        <v>45623</v>
      </c>
      <c r="E1555" s="13" t="str">
        <f>+HYPERLINK("http://trademark.i-assist.jp/data/china/image_1913th/78618185.pdf","78618185")</f>
        <v>78618185</v>
      </c>
      <c r="F1555" s="11" t="s">
        <v>972</v>
      </c>
      <c r="G1555" s="11" t="s">
        <v>4057</v>
      </c>
      <c r="H1555" s="11" t="s">
        <v>4058</v>
      </c>
      <c r="I1555" s="12">
        <v>45427</v>
      </c>
    </row>
    <row r="1556" spans="1:9" x14ac:dyDescent="0.15">
      <c r="A1556" s="9">
        <v>1555</v>
      </c>
      <c r="B1556" s="10" t="s">
        <v>9</v>
      </c>
      <c r="C1556" s="11" t="s">
        <v>10</v>
      </c>
      <c r="D1556" s="12">
        <v>45623</v>
      </c>
      <c r="E1556" s="13" t="str">
        <f>+HYPERLINK("http://trademark.i-assist.jp/data/china/image_1913th/79739850.pdf","79739850")</f>
        <v>79739850</v>
      </c>
      <c r="F1556" s="11" t="s">
        <v>973</v>
      </c>
      <c r="G1556" s="11" t="s">
        <v>4059</v>
      </c>
      <c r="H1556" s="11" t="s">
        <v>4060</v>
      </c>
      <c r="I1556" s="12">
        <v>45484</v>
      </c>
    </row>
    <row r="1557" spans="1:9" x14ac:dyDescent="0.15">
      <c r="A1557" s="9">
        <v>1556</v>
      </c>
      <c r="B1557" s="10" t="s">
        <v>9</v>
      </c>
      <c r="C1557" s="11" t="s">
        <v>10</v>
      </c>
      <c r="D1557" s="12">
        <v>45623</v>
      </c>
      <c r="E1557" s="13" t="str">
        <f>+HYPERLINK("http://trademark.i-assist.jp/data/china/image_1913th/79934872.pdf","79934872")</f>
        <v>79934872</v>
      </c>
      <c r="F1557" s="11" t="s">
        <v>974</v>
      </c>
      <c r="G1557" s="11" t="s">
        <v>4061</v>
      </c>
      <c r="H1557" s="11" t="s">
        <v>513</v>
      </c>
      <c r="I1557" s="12">
        <v>45495</v>
      </c>
    </row>
    <row r="1558" spans="1:9" x14ac:dyDescent="0.15">
      <c r="A1558" s="9">
        <v>1557</v>
      </c>
      <c r="B1558" s="10" t="s">
        <v>9</v>
      </c>
      <c r="C1558" s="11" t="s">
        <v>10</v>
      </c>
      <c r="D1558" s="12">
        <v>45623</v>
      </c>
      <c r="E1558" s="13" t="str">
        <f>+HYPERLINK("http://trademark.i-assist.jp/data/china/image_1913th/79958640.pdf","79958640")</f>
        <v>79958640</v>
      </c>
      <c r="F1558" s="11" t="s">
        <v>975</v>
      </c>
      <c r="G1558" s="11" t="s">
        <v>4062</v>
      </c>
      <c r="H1558" s="11" t="s">
        <v>4063</v>
      </c>
      <c r="I1558" s="12">
        <v>45496</v>
      </c>
    </row>
    <row r="1559" spans="1:9" x14ac:dyDescent="0.15">
      <c r="A1559" s="9">
        <v>1558</v>
      </c>
      <c r="B1559" s="10" t="s">
        <v>9</v>
      </c>
      <c r="C1559" s="11" t="s">
        <v>10</v>
      </c>
      <c r="D1559" s="12">
        <v>45623</v>
      </c>
      <c r="E1559" s="13" t="str">
        <f>+HYPERLINK("http://trademark.i-assist.jp/data/china/image_1913th/79185434.pdf","79185434")</f>
        <v>79185434</v>
      </c>
      <c r="F1559" s="11" t="s">
        <v>976</v>
      </c>
      <c r="G1559" s="11" t="s">
        <v>4064</v>
      </c>
      <c r="H1559" s="11" t="s">
        <v>4065</v>
      </c>
      <c r="I1559" s="12">
        <v>45456</v>
      </c>
    </row>
    <row r="1560" spans="1:9" x14ac:dyDescent="0.15">
      <c r="A1560" s="9">
        <v>1559</v>
      </c>
      <c r="B1560" s="10" t="s">
        <v>9</v>
      </c>
      <c r="C1560" s="11" t="s">
        <v>10</v>
      </c>
      <c r="D1560" s="12">
        <v>45623</v>
      </c>
      <c r="E1560" s="13" t="str">
        <f>+HYPERLINK("http://trademark.i-assist.jp/data/china/image_1913th/80556383.pdf","80556383")</f>
        <v>80556383</v>
      </c>
      <c r="F1560" s="11" t="s">
        <v>4066</v>
      </c>
      <c r="G1560" s="11" t="s">
        <v>4067</v>
      </c>
      <c r="H1560" s="11" t="s">
        <v>4068</v>
      </c>
      <c r="I1560" s="12">
        <v>45530</v>
      </c>
    </row>
    <row r="1561" spans="1:9" x14ac:dyDescent="0.15">
      <c r="A1561" s="9">
        <v>1560</v>
      </c>
      <c r="B1561" s="10" t="s">
        <v>9</v>
      </c>
      <c r="C1561" s="11" t="s">
        <v>10</v>
      </c>
      <c r="D1561" s="12">
        <v>45623</v>
      </c>
      <c r="E1561" s="13" t="str">
        <f>+HYPERLINK("http://trademark.i-assist.jp/data/china/image_1913th/80575995.pdf","80575995")</f>
        <v>80575995</v>
      </c>
      <c r="F1561" s="11" t="s">
        <v>4069</v>
      </c>
      <c r="G1561" s="11" t="s">
        <v>1947</v>
      </c>
      <c r="H1561" s="11" t="s">
        <v>4070</v>
      </c>
      <c r="I1561" s="12">
        <v>45530</v>
      </c>
    </row>
    <row r="1562" spans="1:9" x14ac:dyDescent="0.15">
      <c r="A1562" s="9">
        <v>1561</v>
      </c>
      <c r="B1562" s="10" t="s">
        <v>9</v>
      </c>
      <c r="C1562" s="11" t="s">
        <v>10</v>
      </c>
      <c r="D1562" s="12">
        <v>45623</v>
      </c>
      <c r="E1562" s="13" t="str">
        <f>+HYPERLINK("http://trademark.i-assist.jp/data/china/image_1913th/80576192.pdf","80576192")</f>
        <v>80576192</v>
      </c>
      <c r="F1562" s="11" t="s">
        <v>4071</v>
      </c>
      <c r="G1562" s="11" t="s">
        <v>4072</v>
      </c>
      <c r="H1562" s="11" t="s">
        <v>4073</v>
      </c>
      <c r="I1562" s="12">
        <v>45530</v>
      </c>
    </row>
    <row r="1563" spans="1:9" x14ac:dyDescent="0.15">
      <c r="A1563" s="9">
        <v>1562</v>
      </c>
      <c r="B1563" s="10" t="s">
        <v>9</v>
      </c>
      <c r="C1563" s="11" t="s">
        <v>10</v>
      </c>
      <c r="D1563" s="12">
        <v>45623</v>
      </c>
      <c r="E1563" s="13" t="str">
        <f>+HYPERLINK("http://trademark.i-assist.jp/data/china/image_1913th/80580617.pdf","80580617")</f>
        <v>80580617</v>
      </c>
      <c r="F1563" s="11" t="s">
        <v>4074</v>
      </c>
      <c r="G1563" s="11" t="s">
        <v>4075</v>
      </c>
      <c r="H1563" s="11" t="s">
        <v>4076</v>
      </c>
      <c r="I1563" s="12">
        <v>45531</v>
      </c>
    </row>
    <row r="1564" spans="1:9" x14ac:dyDescent="0.15">
      <c r="A1564" s="9">
        <v>1563</v>
      </c>
      <c r="B1564" s="10" t="s">
        <v>9</v>
      </c>
      <c r="C1564" s="11" t="s">
        <v>10</v>
      </c>
      <c r="D1564" s="12">
        <v>45623</v>
      </c>
      <c r="E1564" s="13" t="str">
        <f>+HYPERLINK("http://trademark.i-assist.jp/data/china/image_1913th/80582778.pdf","80582778")</f>
        <v>80582778</v>
      </c>
      <c r="F1564" s="11" t="s">
        <v>4077</v>
      </c>
      <c r="G1564" s="11" t="s">
        <v>4078</v>
      </c>
      <c r="H1564" s="11" t="s">
        <v>4079</v>
      </c>
      <c r="I1564" s="12">
        <v>45531</v>
      </c>
    </row>
    <row r="1565" spans="1:9" x14ac:dyDescent="0.15">
      <c r="A1565" s="9">
        <v>1564</v>
      </c>
      <c r="B1565" s="10" t="s">
        <v>9</v>
      </c>
      <c r="C1565" s="11" t="s">
        <v>10</v>
      </c>
      <c r="D1565" s="12">
        <v>45623</v>
      </c>
      <c r="E1565" s="13" t="str">
        <f>+HYPERLINK("http://trademark.i-assist.jp/data/china/image_1913th/80589117.pdf","80589117")</f>
        <v>80589117</v>
      </c>
      <c r="F1565" s="11" t="s">
        <v>977</v>
      </c>
      <c r="G1565" s="11" t="s">
        <v>4080</v>
      </c>
      <c r="H1565" s="11" t="s">
        <v>4081</v>
      </c>
      <c r="I1565" s="12">
        <v>45531</v>
      </c>
    </row>
    <row r="1566" spans="1:9" x14ac:dyDescent="0.15">
      <c r="A1566" s="9">
        <v>1565</v>
      </c>
      <c r="B1566" s="10" t="s">
        <v>9</v>
      </c>
      <c r="C1566" s="11" t="s">
        <v>10</v>
      </c>
      <c r="D1566" s="12">
        <v>45623</v>
      </c>
      <c r="E1566" s="13" t="str">
        <f>+HYPERLINK("http://trademark.i-assist.jp/data/china/image_1913th/80591234.pdf","80591234")</f>
        <v>80591234</v>
      </c>
      <c r="F1566" s="11" t="s">
        <v>978</v>
      </c>
      <c r="G1566" s="11" t="s">
        <v>4082</v>
      </c>
      <c r="H1566" s="11" t="s">
        <v>4083</v>
      </c>
      <c r="I1566" s="12">
        <v>45531</v>
      </c>
    </row>
    <row r="1567" spans="1:9" x14ac:dyDescent="0.15">
      <c r="A1567" s="9">
        <v>1566</v>
      </c>
      <c r="B1567" s="10" t="s">
        <v>9</v>
      </c>
      <c r="C1567" s="11" t="s">
        <v>10</v>
      </c>
      <c r="D1567" s="12">
        <v>45623</v>
      </c>
      <c r="E1567" s="13" t="str">
        <f>+HYPERLINK("http://trademark.i-assist.jp/data/china/image_1913th/80596463.pdf","80596463")</f>
        <v>80596463</v>
      </c>
      <c r="F1567" s="11" t="s">
        <v>4084</v>
      </c>
      <c r="G1567" s="11" t="s">
        <v>4085</v>
      </c>
      <c r="H1567" s="11" t="s">
        <v>4086</v>
      </c>
      <c r="I1567" s="12">
        <v>45531</v>
      </c>
    </row>
    <row r="1568" spans="1:9" x14ac:dyDescent="0.15">
      <c r="A1568" s="9">
        <v>1567</v>
      </c>
      <c r="B1568" s="10" t="s">
        <v>9</v>
      </c>
      <c r="C1568" s="11" t="s">
        <v>10</v>
      </c>
      <c r="D1568" s="12">
        <v>45623</v>
      </c>
      <c r="E1568" s="13" t="str">
        <f>+HYPERLINK("http://trademark.i-assist.jp/data/china/image_1913th/80598665.pdf","80598665")</f>
        <v>80598665</v>
      </c>
      <c r="F1568" s="11" t="s">
        <v>979</v>
      </c>
      <c r="G1568" s="11" t="s">
        <v>4087</v>
      </c>
      <c r="H1568" s="11" t="s">
        <v>4088</v>
      </c>
      <c r="I1568" s="12">
        <v>45531</v>
      </c>
    </row>
    <row r="1569" spans="1:9" x14ac:dyDescent="0.15">
      <c r="A1569" s="9">
        <v>1568</v>
      </c>
      <c r="B1569" s="10" t="s">
        <v>9</v>
      </c>
      <c r="C1569" s="11" t="s">
        <v>10</v>
      </c>
      <c r="D1569" s="12">
        <v>45623</v>
      </c>
      <c r="E1569" s="13" t="str">
        <f>+HYPERLINK("http://trademark.i-assist.jp/data/china/image_1913th/80601328.pdf","80601328")</f>
        <v>80601328</v>
      </c>
      <c r="F1569" s="11" t="s">
        <v>980</v>
      </c>
      <c r="G1569" s="11" t="s">
        <v>4089</v>
      </c>
      <c r="H1569" s="11" t="s">
        <v>4090</v>
      </c>
      <c r="I1569" s="12">
        <v>45531</v>
      </c>
    </row>
    <row r="1570" spans="1:9" x14ac:dyDescent="0.15">
      <c r="A1570" s="9">
        <v>1569</v>
      </c>
      <c r="B1570" s="10" t="s">
        <v>9</v>
      </c>
      <c r="C1570" s="11" t="s">
        <v>10</v>
      </c>
      <c r="D1570" s="12">
        <v>45623</v>
      </c>
      <c r="E1570" s="13" t="str">
        <f>+HYPERLINK("http://trademark.i-assist.jp/data/china/image_1913th/80601597.pdf","80601597")</f>
        <v>80601597</v>
      </c>
      <c r="F1570" s="11" t="s">
        <v>4091</v>
      </c>
      <c r="G1570" s="11" t="s">
        <v>4092</v>
      </c>
      <c r="H1570" s="11" t="s">
        <v>4093</v>
      </c>
      <c r="I1570" s="12">
        <v>45531</v>
      </c>
    </row>
    <row r="1571" spans="1:9" x14ac:dyDescent="0.15">
      <c r="A1571" s="9">
        <v>1570</v>
      </c>
      <c r="B1571" s="10" t="s">
        <v>9</v>
      </c>
      <c r="C1571" s="11" t="s">
        <v>10</v>
      </c>
      <c r="D1571" s="12">
        <v>45623</v>
      </c>
      <c r="E1571" s="13" t="str">
        <f>+HYPERLINK("http://trademark.i-assist.jp/data/china/image_1913th/80601611.pdf","80601611")</f>
        <v>80601611</v>
      </c>
      <c r="F1571" s="11" t="s">
        <v>981</v>
      </c>
      <c r="G1571" s="11" t="s">
        <v>4094</v>
      </c>
      <c r="H1571" s="11" t="s">
        <v>4095</v>
      </c>
      <c r="I1571" s="12">
        <v>45532</v>
      </c>
    </row>
    <row r="1572" spans="1:9" x14ac:dyDescent="0.15">
      <c r="A1572" s="9">
        <v>1571</v>
      </c>
      <c r="B1572" s="10" t="s">
        <v>9</v>
      </c>
      <c r="C1572" s="11" t="s">
        <v>10</v>
      </c>
      <c r="D1572" s="12">
        <v>45623</v>
      </c>
      <c r="E1572" s="13" t="str">
        <f>+HYPERLINK("http://trademark.i-assist.jp/data/china/image_1913th/80335683.pdf","80335683")</f>
        <v>80335683</v>
      </c>
      <c r="F1572" s="11" t="s">
        <v>4096</v>
      </c>
      <c r="G1572" s="11" t="s">
        <v>982</v>
      </c>
      <c r="H1572" s="11" t="s">
        <v>4097</v>
      </c>
      <c r="I1572" s="12">
        <v>45517</v>
      </c>
    </row>
    <row r="1573" spans="1:9" x14ac:dyDescent="0.15">
      <c r="A1573" s="9">
        <v>1572</v>
      </c>
      <c r="B1573" s="10" t="s">
        <v>9</v>
      </c>
      <c r="C1573" s="11" t="s">
        <v>10</v>
      </c>
      <c r="D1573" s="12">
        <v>45623</v>
      </c>
      <c r="E1573" s="13" t="str">
        <f>+HYPERLINK("http://trademark.i-assist.jp/data/china/image_1913th/80339105.pdf","80339105")</f>
        <v>80339105</v>
      </c>
      <c r="F1573" s="11" t="s">
        <v>4098</v>
      </c>
      <c r="G1573" s="11" t="s">
        <v>4099</v>
      </c>
      <c r="H1573" s="11" t="s">
        <v>4100</v>
      </c>
      <c r="I1573" s="12">
        <v>45517</v>
      </c>
    </row>
    <row r="1574" spans="1:9" x14ac:dyDescent="0.15">
      <c r="A1574" s="9">
        <v>1573</v>
      </c>
      <c r="B1574" s="10" t="s">
        <v>9</v>
      </c>
      <c r="C1574" s="11" t="s">
        <v>10</v>
      </c>
      <c r="D1574" s="12">
        <v>45623</v>
      </c>
      <c r="E1574" s="13" t="str">
        <f>+HYPERLINK("http://trademark.i-assist.jp/data/china/image_1913th/80339550.pdf","80339550")</f>
        <v>80339550</v>
      </c>
      <c r="F1574" s="11" t="s">
        <v>4101</v>
      </c>
      <c r="G1574" s="11" t="s">
        <v>4102</v>
      </c>
      <c r="H1574" s="11" t="s">
        <v>1920</v>
      </c>
      <c r="I1574" s="12">
        <v>45517</v>
      </c>
    </row>
    <row r="1575" spans="1:9" x14ac:dyDescent="0.15">
      <c r="A1575" s="9">
        <v>1574</v>
      </c>
      <c r="B1575" s="10" t="s">
        <v>9</v>
      </c>
      <c r="C1575" s="11" t="s">
        <v>10</v>
      </c>
      <c r="D1575" s="12">
        <v>45623</v>
      </c>
      <c r="E1575" s="13" t="str">
        <f>+HYPERLINK("http://trademark.i-assist.jp/data/china/image_1913th/80374393.pdf","80374393")</f>
        <v>80374393</v>
      </c>
      <c r="F1575" s="11" t="s">
        <v>983</v>
      </c>
      <c r="G1575" s="11" t="s">
        <v>4103</v>
      </c>
      <c r="H1575" s="11" t="s">
        <v>4104</v>
      </c>
      <c r="I1575" s="12">
        <v>45519</v>
      </c>
    </row>
    <row r="1576" spans="1:9" x14ac:dyDescent="0.15">
      <c r="A1576" s="9">
        <v>1575</v>
      </c>
      <c r="B1576" s="10" t="s">
        <v>9</v>
      </c>
      <c r="C1576" s="11" t="s">
        <v>10</v>
      </c>
      <c r="D1576" s="12">
        <v>45623</v>
      </c>
      <c r="E1576" s="13" t="str">
        <f>+HYPERLINK("http://trademark.i-assist.jp/data/china/image_1913th/80402021.pdf","80402021")</f>
        <v>80402021</v>
      </c>
      <c r="F1576" s="11" t="s">
        <v>984</v>
      </c>
      <c r="G1576" s="11" t="s">
        <v>1397</v>
      </c>
      <c r="H1576" s="11" t="s">
        <v>2059</v>
      </c>
      <c r="I1576" s="12">
        <v>45520</v>
      </c>
    </row>
    <row r="1577" spans="1:9" x14ac:dyDescent="0.15">
      <c r="A1577" s="9">
        <v>1576</v>
      </c>
      <c r="B1577" s="10" t="s">
        <v>9</v>
      </c>
      <c r="C1577" s="11" t="s">
        <v>10</v>
      </c>
      <c r="D1577" s="12">
        <v>45623</v>
      </c>
      <c r="E1577" s="13" t="str">
        <f>+HYPERLINK("http://trademark.i-assist.jp/data/china/image_1913th/80420270.pdf","80420270")</f>
        <v>80420270</v>
      </c>
      <c r="F1577" s="11" t="s">
        <v>985</v>
      </c>
      <c r="G1577" s="11" t="s">
        <v>2217</v>
      </c>
      <c r="H1577" s="11" t="s">
        <v>1280</v>
      </c>
      <c r="I1577" s="12">
        <v>45521</v>
      </c>
    </row>
    <row r="1578" spans="1:9" x14ac:dyDescent="0.15">
      <c r="A1578" s="9">
        <v>1577</v>
      </c>
      <c r="B1578" s="10" t="s">
        <v>9</v>
      </c>
      <c r="C1578" s="11" t="s">
        <v>10</v>
      </c>
      <c r="D1578" s="12">
        <v>45623</v>
      </c>
      <c r="E1578" s="13" t="str">
        <f>+HYPERLINK("http://trademark.i-assist.jp/data/china/image_1913th/80438217.pdf","80438217")</f>
        <v>80438217</v>
      </c>
      <c r="F1578" s="11" t="s">
        <v>986</v>
      </c>
      <c r="G1578" s="11" t="s">
        <v>4105</v>
      </c>
      <c r="H1578" s="11" t="s">
        <v>2239</v>
      </c>
      <c r="I1578" s="12">
        <v>45523</v>
      </c>
    </row>
    <row r="1579" spans="1:9" x14ac:dyDescent="0.15">
      <c r="A1579" s="9">
        <v>1578</v>
      </c>
      <c r="B1579" s="10" t="s">
        <v>9</v>
      </c>
      <c r="C1579" s="11" t="s">
        <v>10</v>
      </c>
      <c r="D1579" s="12">
        <v>45623</v>
      </c>
      <c r="E1579" s="13" t="str">
        <f>+HYPERLINK("http://trademark.i-assist.jp/data/china/image_1913th/80440233.pdf","80440233")</f>
        <v>80440233</v>
      </c>
      <c r="F1579" s="11" t="s">
        <v>988</v>
      </c>
      <c r="G1579" s="11" t="s">
        <v>987</v>
      </c>
      <c r="H1579" s="11" t="s">
        <v>4106</v>
      </c>
      <c r="I1579" s="12">
        <v>45523</v>
      </c>
    </row>
    <row r="1580" spans="1:9" x14ac:dyDescent="0.15">
      <c r="A1580" s="9">
        <v>1579</v>
      </c>
      <c r="B1580" s="10" t="s">
        <v>9</v>
      </c>
      <c r="C1580" s="11" t="s">
        <v>10</v>
      </c>
      <c r="D1580" s="12">
        <v>45623</v>
      </c>
      <c r="E1580" s="13" t="str">
        <f>+HYPERLINK("http://trademark.i-assist.jp/data/china/image_1913th/80440858.pdf","80440858")</f>
        <v>80440858</v>
      </c>
      <c r="F1580" s="11" t="s">
        <v>4107</v>
      </c>
      <c r="G1580" s="11" t="s">
        <v>4108</v>
      </c>
      <c r="H1580" s="11" t="s">
        <v>4109</v>
      </c>
      <c r="I1580" s="12">
        <v>45523</v>
      </c>
    </row>
    <row r="1581" spans="1:9" x14ac:dyDescent="0.15">
      <c r="A1581" s="9">
        <v>1580</v>
      </c>
      <c r="B1581" s="10" t="s">
        <v>9</v>
      </c>
      <c r="C1581" s="11" t="s">
        <v>10</v>
      </c>
      <c r="D1581" s="12">
        <v>45623</v>
      </c>
      <c r="E1581" s="13" t="str">
        <f>+HYPERLINK("http://trademark.i-assist.jp/data/china/image_1913th/80442200.pdf","80442200")</f>
        <v>80442200</v>
      </c>
      <c r="F1581" s="11" t="s">
        <v>4110</v>
      </c>
      <c r="G1581" s="11" t="s">
        <v>4111</v>
      </c>
      <c r="H1581" s="11" t="s">
        <v>2420</v>
      </c>
      <c r="I1581" s="12">
        <v>45523</v>
      </c>
    </row>
    <row r="1582" spans="1:9" x14ac:dyDescent="0.15">
      <c r="A1582" s="9">
        <v>1581</v>
      </c>
      <c r="B1582" s="10" t="s">
        <v>9</v>
      </c>
      <c r="C1582" s="11" t="s">
        <v>10</v>
      </c>
      <c r="D1582" s="12">
        <v>45623</v>
      </c>
      <c r="E1582" s="13" t="str">
        <f>+HYPERLINK("http://trademark.i-assist.jp/data/china/image_1913th/80456078.pdf","80456078")</f>
        <v>80456078</v>
      </c>
      <c r="F1582" s="11" t="s">
        <v>4112</v>
      </c>
      <c r="G1582" s="11" t="s">
        <v>4113</v>
      </c>
      <c r="H1582" s="11" t="s">
        <v>3172</v>
      </c>
      <c r="I1582" s="12">
        <v>45524</v>
      </c>
    </row>
    <row r="1583" spans="1:9" x14ac:dyDescent="0.15">
      <c r="A1583" s="9">
        <v>1582</v>
      </c>
      <c r="B1583" s="10" t="s">
        <v>9</v>
      </c>
      <c r="C1583" s="11" t="s">
        <v>10</v>
      </c>
      <c r="D1583" s="12">
        <v>45623</v>
      </c>
      <c r="E1583" s="13" t="str">
        <f>+HYPERLINK("http://trademark.i-assist.jp/data/china/image_1913th/80148147.pdf","80148147")</f>
        <v>80148147</v>
      </c>
      <c r="F1583" s="11" t="s">
        <v>4114</v>
      </c>
      <c r="G1583" s="11" t="s">
        <v>989</v>
      </c>
      <c r="H1583" s="11" t="s">
        <v>4115</v>
      </c>
      <c r="I1583" s="12">
        <v>45506</v>
      </c>
    </row>
    <row r="1584" spans="1:9" x14ac:dyDescent="0.15">
      <c r="A1584" s="9">
        <v>1583</v>
      </c>
      <c r="B1584" s="10" t="s">
        <v>9</v>
      </c>
      <c r="C1584" s="11" t="s">
        <v>10</v>
      </c>
      <c r="D1584" s="12">
        <v>45623</v>
      </c>
      <c r="E1584" s="13" t="str">
        <f>+HYPERLINK("http://trademark.i-assist.jp/data/china/image_1913th/80203214.pdf","80203214")</f>
        <v>80203214</v>
      </c>
      <c r="F1584" s="11" t="s">
        <v>990</v>
      </c>
      <c r="G1584" s="11" t="s">
        <v>4116</v>
      </c>
      <c r="H1584" s="11" t="s">
        <v>4117</v>
      </c>
      <c r="I1584" s="12">
        <v>45510</v>
      </c>
    </row>
    <row r="1585" spans="1:9" x14ac:dyDescent="0.15">
      <c r="A1585" s="9">
        <v>1584</v>
      </c>
      <c r="B1585" s="10" t="s">
        <v>9</v>
      </c>
      <c r="C1585" s="11" t="s">
        <v>10</v>
      </c>
      <c r="D1585" s="12">
        <v>45623</v>
      </c>
      <c r="E1585" s="13" t="str">
        <f>+HYPERLINK("http://trademark.i-assist.jp/data/china/image_1913th/80211199.pdf","80211199")</f>
        <v>80211199</v>
      </c>
      <c r="F1585" s="11" t="s">
        <v>4118</v>
      </c>
      <c r="G1585" s="11" t="s">
        <v>3738</v>
      </c>
      <c r="H1585" s="11" t="s">
        <v>3739</v>
      </c>
      <c r="I1585" s="12">
        <v>45510</v>
      </c>
    </row>
    <row r="1586" spans="1:9" x14ac:dyDescent="0.15">
      <c r="A1586" s="9">
        <v>1585</v>
      </c>
      <c r="B1586" s="10" t="s">
        <v>9</v>
      </c>
      <c r="C1586" s="11" t="s">
        <v>10</v>
      </c>
      <c r="D1586" s="12">
        <v>45623</v>
      </c>
      <c r="E1586" s="13" t="str">
        <f>+HYPERLINK("http://trademark.i-assist.jp/data/china/image_1913th/80248700.pdf","80248700")</f>
        <v>80248700</v>
      </c>
      <c r="F1586" s="11" t="s">
        <v>4119</v>
      </c>
      <c r="G1586" s="11" t="s">
        <v>991</v>
      </c>
      <c r="H1586" s="11" t="s">
        <v>4120</v>
      </c>
      <c r="I1586" s="12">
        <v>45512</v>
      </c>
    </row>
    <row r="1587" spans="1:9" x14ac:dyDescent="0.15">
      <c r="A1587" s="9">
        <v>1586</v>
      </c>
      <c r="B1587" s="10" t="s">
        <v>9</v>
      </c>
      <c r="C1587" s="11" t="s">
        <v>10</v>
      </c>
      <c r="D1587" s="12">
        <v>45623</v>
      </c>
      <c r="E1587" s="13" t="str">
        <f>+HYPERLINK("http://trademark.i-assist.jp/data/china/image_1913th/80250892.pdf","80250892")</f>
        <v>80250892</v>
      </c>
      <c r="F1587" s="11" t="s">
        <v>993</v>
      </c>
      <c r="G1587" s="11" t="s">
        <v>992</v>
      </c>
      <c r="H1587" s="11" t="s">
        <v>4121</v>
      </c>
      <c r="I1587" s="12">
        <v>45512</v>
      </c>
    </row>
    <row r="1588" spans="1:9" x14ac:dyDescent="0.15">
      <c r="A1588" s="9">
        <v>1587</v>
      </c>
      <c r="B1588" s="10" t="s">
        <v>9</v>
      </c>
      <c r="C1588" s="11" t="s">
        <v>10</v>
      </c>
      <c r="D1588" s="12">
        <v>45623</v>
      </c>
      <c r="E1588" s="13" t="str">
        <f>+HYPERLINK("http://trademark.i-assist.jp/data/china/image_1913th/80258701.pdf","80258701")</f>
        <v>80258701</v>
      </c>
      <c r="F1588" s="11" t="s">
        <v>994</v>
      </c>
      <c r="G1588" s="11" t="s">
        <v>2270</v>
      </c>
      <c r="H1588" s="11" t="s">
        <v>2271</v>
      </c>
      <c r="I1588" s="12">
        <v>45512</v>
      </c>
    </row>
    <row r="1589" spans="1:9" x14ac:dyDescent="0.15">
      <c r="A1589" s="9">
        <v>1588</v>
      </c>
      <c r="B1589" s="10" t="s">
        <v>9</v>
      </c>
      <c r="C1589" s="11" t="s">
        <v>10</v>
      </c>
      <c r="D1589" s="12">
        <v>45623</v>
      </c>
      <c r="E1589" s="13" t="str">
        <f>+HYPERLINK("http://trademark.i-assist.jp/data/china/image_1913th/80264089.pdf","80264089")</f>
        <v>80264089</v>
      </c>
      <c r="F1589" s="11" t="s">
        <v>995</v>
      </c>
      <c r="G1589" s="11" t="s">
        <v>4122</v>
      </c>
      <c r="H1589" s="11" t="s">
        <v>4123</v>
      </c>
      <c r="I1589" s="12">
        <v>45512</v>
      </c>
    </row>
    <row r="1590" spans="1:9" x14ac:dyDescent="0.15">
      <c r="A1590" s="9">
        <v>1589</v>
      </c>
      <c r="B1590" s="10" t="s">
        <v>9</v>
      </c>
      <c r="C1590" s="11" t="s">
        <v>10</v>
      </c>
      <c r="D1590" s="12">
        <v>45623</v>
      </c>
      <c r="E1590" s="13" t="str">
        <f>+HYPERLINK("http://trademark.i-assist.jp/data/china/image_1913th/80281494.pdf","80281494")</f>
        <v>80281494</v>
      </c>
      <c r="F1590" s="11" t="s">
        <v>4124</v>
      </c>
      <c r="G1590" s="11" t="s">
        <v>4125</v>
      </c>
      <c r="H1590" s="11" t="s">
        <v>4126</v>
      </c>
      <c r="I1590" s="12">
        <v>45513</v>
      </c>
    </row>
    <row r="1591" spans="1:9" x14ac:dyDescent="0.15">
      <c r="A1591" s="9">
        <v>1590</v>
      </c>
      <c r="B1591" s="10" t="s">
        <v>9</v>
      </c>
      <c r="C1591" s="11" t="s">
        <v>10</v>
      </c>
      <c r="D1591" s="12">
        <v>45623</v>
      </c>
      <c r="E1591" s="13" t="str">
        <f>+HYPERLINK("http://trademark.i-assist.jp/data/china/image_1913th/80301455.pdf","80301455")</f>
        <v>80301455</v>
      </c>
      <c r="F1591" s="11" t="s">
        <v>4127</v>
      </c>
      <c r="G1591" s="11" t="s">
        <v>4128</v>
      </c>
      <c r="H1591" s="11" t="s">
        <v>4129</v>
      </c>
      <c r="I1591" s="12">
        <v>45516</v>
      </c>
    </row>
    <row r="1592" spans="1:9" x14ac:dyDescent="0.15">
      <c r="A1592" s="9">
        <v>1591</v>
      </c>
      <c r="B1592" s="10" t="s">
        <v>9</v>
      </c>
      <c r="C1592" s="11" t="s">
        <v>10</v>
      </c>
      <c r="D1592" s="12">
        <v>45623</v>
      </c>
      <c r="E1592" s="13" t="str">
        <f>+HYPERLINK("http://trademark.i-assist.jp/data/china/image_1913th/80325378.pdf","80325378")</f>
        <v>80325378</v>
      </c>
      <c r="F1592" s="11" t="s">
        <v>996</v>
      </c>
      <c r="G1592" s="11" t="s">
        <v>4130</v>
      </c>
      <c r="H1592" s="11" t="s">
        <v>4131</v>
      </c>
      <c r="I1592" s="12">
        <v>45517</v>
      </c>
    </row>
    <row r="1593" spans="1:9" x14ac:dyDescent="0.15">
      <c r="A1593" s="9">
        <v>1592</v>
      </c>
      <c r="B1593" s="10" t="s">
        <v>9</v>
      </c>
      <c r="C1593" s="11" t="s">
        <v>10</v>
      </c>
      <c r="D1593" s="12">
        <v>45623</v>
      </c>
      <c r="E1593" s="13" t="str">
        <f>+HYPERLINK("http://trademark.i-assist.jp/data/china/image_1913th/80326192.pdf","80326192")</f>
        <v>80326192</v>
      </c>
      <c r="F1593" s="11" t="s">
        <v>4132</v>
      </c>
      <c r="G1593" s="11" t="s">
        <v>997</v>
      </c>
      <c r="H1593" s="11" t="s">
        <v>4133</v>
      </c>
      <c r="I1593" s="12">
        <v>45517</v>
      </c>
    </row>
    <row r="1594" spans="1:9" x14ac:dyDescent="0.15">
      <c r="A1594" s="9">
        <v>1593</v>
      </c>
      <c r="B1594" s="10" t="s">
        <v>9</v>
      </c>
      <c r="C1594" s="11" t="s">
        <v>10</v>
      </c>
      <c r="D1594" s="12">
        <v>45623</v>
      </c>
      <c r="E1594" s="13" t="str">
        <f>+HYPERLINK("http://trademark.i-assist.jp/data/china/image_1913th/80488228.pdf","80488228")</f>
        <v>80488228</v>
      </c>
      <c r="F1594" s="11" t="s">
        <v>998</v>
      </c>
      <c r="G1594" s="11" t="s">
        <v>4134</v>
      </c>
      <c r="H1594" s="11" t="s">
        <v>4135</v>
      </c>
      <c r="I1594" s="12">
        <v>45525</v>
      </c>
    </row>
    <row r="1595" spans="1:9" x14ac:dyDescent="0.15">
      <c r="A1595" s="9">
        <v>1594</v>
      </c>
      <c r="B1595" s="10" t="s">
        <v>9</v>
      </c>
      <c r="C1595" s="11" t="s">
        <v>10</v>
      </c>
      <c r="D1595" s="12">
        <v>45623</v>
      </c>
      <c r="E1595" s="13" t="str">
        <f>+HYPERLINK("http://trademark.i-assist.jp/data/china/image_1913th/80500180.pdf","80500180")</f>
        <v>80500180</v>
      </c>
      <c r="F1595" s="11" t="s">
        <v>1000</v>
      </c>
      <c r="G1595" s="11" t="s">
        <v>999</v>
      </c>
      <c r="H1595" s="11" t="s">
        <v>4136</v>
      </c>
      <c r="I1595" s="12">
        <v>45526</v>
      </c>
    </row>
    <row r="1596" spans="1:9" x14ac:dyDescent="0.15">
      <c r="A1596" s="9">
        <v>1595</v>
      </c>
      <c r="B1596" s="10" t="s">
        <v>9</v>
      </c>
      <c r="C1596" s="11" t="s">
        <v>10</v>
      </c>
      <c r="D1596" s="12">
        <v>45623</v>
      </c>
      <c r="E1596" s="13" t="str">
        <f>+HYPERLINK("http://trademark.i-assist.jp/data/china/image_1913th/80505821.pdf","80505821")</f>
        <v>80505821</v>
      </c>
      <c r="F1596" s="11" t="s">
        <v>4137</v>
      </c>
      <c r="G1596" s="11" t="s">
        <v>4138</v>
      </c>
      <c r="H1596" s="11" t="s">
        <v>4139</v>
      </c>
      <c r="I1596" s="12">
        <v>45526</v>
      </c>
    </row>
    <row r="1597" spans="1:9" x14ac:dyDescent="0.15">
      <c r="A1597" s="9">
        <v>1596</v>
      </c>
      <c r="B1597" s="10" t="s">
        <v>9</v>
      </c>
      <c r="C1597" s="11" t="s">
        <v>10</v>
      </c>
      <c r="D1597" s="12">
        <v>45623</v>
      </c>
      <c r="E1597" s="13" t="str">
        <f>+HYPERLINK("http://trademark.i-assist.jp/data/china/image_1913th/80533599.pdf","80533599")</f>
        <v>80533599</v>
      </c>
      <c r="F1597" s="11" t="s">
        <v>1001</v>
      </c>
      <c r="G1597" s="11" t="s">
        <v>1313</v>
      </c>
      <c r="H1597" s="11" t="s">
        <v>1314</v>
      </c>
      <c r="I1597" s="12">
        <v>45527</v>
      </c>
    </row>
    <row r="1598" spans="1:9" x14ac:dyDescent="0.15">
      <c r="A1598" s="9">
        <v>1597</v>
      </c>
      <c r="B1598" s="10" t="s">
        <v>9</v>
      </c>
      <c r="C1598" s="11" t="s">
        <v>10</v>
      </c>
      <c r="D1598" s="12">
        <v>45623</v>
      </c>
      <c r="E1598" s="13" t="str">
        <f>+HYPERLINK("http://trademark.i-assist.jp/data/china/image_1913th/80734560.pdf","80734560")</f>
        <v>80734560</v>
      </c>
      <c r="F1598" s="11" t="s">
        <v>1335</v>
      </c>
      <c r="G1598" s="11" t="s">
        <v>4140</v>
      </c>
      <c r="H1598" s="11" t="s">
        <v>4141</v>
      </c>
      <c r="I1598" s="12">
        <v>45539</v>
      </c>
    </row>
    <row r="1599" spans="1:9" x14ac:dyDescent="0.15">
      <c r="A1599" s="9">
        <v>1598</v>
      </c>
      <c r="B1599" s="10" t="s">
        <v>9</v>
      </c>
      <c r="C1599" s="11" t="s">
        <v>10</v>
      </c>
      <c r="D1599" s="12">
        <v>45623</v>
      </c>
      <c r="E1599" s="13" t="str">
        <f>+HYPERLINK("http://trademark.i-assist.jp/data/china/image_1913th/80737616.pdf","80737616")</f>
        <v>80737616</v>
      </c>
      <c r="F1599" s="11" t="s">
        <v>4142</v>
      </c>
      <c r="G1599" s="11" t="s">
        <v>4143</v>
      </c>
      <c r="H1599" s="11" t="s">
        <v>1992</v>
      </c>
      <c r="I1599" s="12">
        <v>45539</v>
      </c>
    </row>
    <row r="1600" spans="1:9" x14ac:dyDescent="0.15">
      <c r="A1600" s="9">
        <v>1599</v>
      </c>
      <c r="B1600" s="10" t="s">
        <v>9</v>
      </c>
      <c r="C1600" s="11" t="s">
        <v>10</v>
      </c>
      <c r="D1600" s="12">
        <v>45623</v>
      </c>
      <c r="E1600" s="13" t="str">
        <f>+HYPERLINK("http://trademark.i-assist.jp/data/china/image_1913th/80743566.pdf","80743566")</f>
        <v>80743566</v>
      </c>
      <c r="F1600" s="11" t="s">
        <v>1002</v>
      </c>
      <c r="G1600" s="11" t="s">
        <v>4144</v>
      </c>
      <c r="H1600" s="11" t="s">
        <v>4145</v>
      </c>
      <c r="I1600" s="12">
        <v>45539</v>
      </c>
    </row>
    <row r="1601" spans="1:9" x14ac:dyDescent="0.15">
      <c r="A1601" s="9">
        <v>1600</v>
      </c>
      <c r="B1601" s="10" t="s">
        <v>9</v>
      </c>
      <c r="C1601" s="11" t="s">
        <v>10</v>
      </c>
      <c r="D1601" s="12">
        <v>45623</v>
      </c>
      <c r="E1601" s="13" t="str">
        <f>+HYPERLINK("http://trademark.i-assist.jp/data/china/image_1913th/80752208.pdf","80752208")</f>
        <v>80752208</v>
      </c>
      <c r="F1601" s="11" t="s">
        <v>4146</v>
      </c>
      <c r="G1601" s="11" t="s">
        <v>1003</v>
      </c>
      <c r="H1601" s="11" t="s">
        <v>4147</v>
      </c>
      <c r="I1601" s="12">
        <v>45539</v>
      </c>
    </row>
    <row r="1602" spans="1:9" x14ac:dyDescent="0.15">
      <c r="A1602" s="9">
        <v>1601</v>
      </c>
      <c r="B1602" s="10" t="s">
        <v>9</v>
      </c>
      <c r="C1602" s="11" t="s">
        <v>10</v>
      </c>
      <c r="D1602" s="12">
        <v>45623</v>
      </c>
      <c r="E1602" s="13" t="str">
        <f>+HYPERLINK("http://trademark.i-assist.jp/data/china/image_1913th/80761082.pdf","80761082")</f>
        <v>80761082</v>
      </c>
      <c r="F1602" s="11" t="s">
        <v>1004</v>
      </c>
      <c r="G1602" s="11" t="s">
        <v>605</v>
      </c>
      <c r="H1602" s="11" t="s">
        <v>3079</v>
      </c>
      <c r="I1602" s="12">
        <v>45540</v>
      </c>
    </row>
    <row r="1603" spans="1:9" x14ac:dyDescent="0.15">
      <c r="A1603" s="9">
        <v>1602</v>
      </c>
      <c r="B1603" s="10" t="s">
        <v>9</v>
      </c>
      <c r="C1603" s="11" t="s">
        <v>10</v>
      </c>
      <c r="D1603" s="12">
        <v>45623</v>
      </c>
      <c r="E1603" s="13" t="str">
        <f>+HYPERLINK("http://trademark.i-assist.jp/data/china/image_1913th/80772661.pdf","80772661")</f>
        <v>80772661</v>
      </c>
      <c r="F1603" s="11" t="s">
        <v>4148</v>
      </c>
      <c r="G1603" s="11" t="s">
        <v>1984</v>
      </c>
      <c r="H1603" s="11" t="s">
        <v>1401</v>
      </c>
      <c r="I1603" s="12">
        <v>45540</v>
      </c>
    </row>
    <row r="1604" spans="1:9" x14ac:dyDescent="0.15">
      <c r="A1604" s="9">
        <v>1603</v>
      </c>
      <c r="B1604" s="10" t="s">
        <v>9</v>
      </c>
      <c r="C1604" s="11" t="s">
        <v>10</v>
      </c>
      <c r="D1604" s="12">
        <v>45623</v>
      </c>
      <c r="E1604" s="13" t="str">
        <f>+HYPERLINK("http://trademark.i-assist.jp/data/china/image_1913th/80774583.pdf","80774583")</f>
        <v>80774583</v>
      </c>
      <c r="F1604" s="11" t="s">
        <v>4149</v>
      </c>
      <c r="G1604" s="11" t="s">
        <v>1975</v>
      </c>
      <c r="H1604" s="11" t="s">
        <v>1976</v>
      </c>
      <c r="I1604" s="12">
        <v>45540</v>
      </c>
    </row>
    <row r="1605" spans="1:9" x14ac:dyDescent="0.15">
      <c r="A1605" s="9">
        <v>1604</v>
      </c>
      <c r="B1605" s="10" t="s">
        <v>9</v>
      </c>
      <c r="C1605" s="11" t="s">
        <v>10</v>
      </c>
      <c r="D1605" s="12">
        <v>45623</v>
      </c>
      <c r="E1605" s="13" t="str">
        <f>+HYPERLINK("http://trademark.i-assist.jp/data/china/image_1913th/80775476.pdf","80775476")</f>
        <v>80775476</v>
      </c>
      <c r="F1605" s="11" t="s">
        <v>1005</v>
      </c>
      <c r="G1605" s="11" t="s">
        <v>4150</v>
      </c>
      <c r="H1605" s="11" t="s">
        <v>4151</v>
      </c>
      <c r="I1605" s="12">
        <v>45540</v>
      </c>
    </row>
    <row r="1606" spans="1:9" x14ac:dyDescent="0.15">
      <c r="A1606" s="9">
        <v>1605</v>
      </c>
      <c r="B1606" s="10" t="s">
        <v>9</v>
      </c>
      <c r="C1606" s="11" t="s">
        <v>10</v>
      </c>
      <c r="D1606" s="12">
        <v>45623</v>
      </c>
      <c r="E1606" s="13" t="str">
        <f>+HYPERLINK("http://trademark.i-assist.jp/data/china/image_1913th/80782647.pdf","80782647")</f>
        <v>80782647</v>
      </c>
      <c r="F1606" s="11" t="s">
        <v>1458</v>
      </c>
      <c r="G1606" s="11" t="s">
        <v>1459</v>
      </c>
      <c r="H1606" s="11" t="s">
        <v>1460</v>
      </c>
      <c r="I1606" s="12">
        <v>45541</v>
      </c>
    </row>
    <row r="1607" spans="1:9" x14ac:dyDescent="0.15">
      <c r="A1607" s="9">
        <v>1606</v>
      </c>
      <c r="B1607" s="10" t="s">
        <v>9</v>
      </c>
      <c r="C1607" s="11" t="s">
        <v>10</v>
      </c>
      <c r="D1607" s="12">
        <v>45623</v>
      </c>
      <c r="E1607" s="13" t="str">
        <f>+HYPERLINK("http://trademark.i-assist.jp/data/china/image_1913th/80784778.pdf","80784778")</f>
        <v>80784778</v>
      </c>
      <c r="F1607" s="11" t="s">
        <v>4152</v>
      </c>
      <c r="G1607" s="11" t="s">
        <v>2948</v>
      </c>
      <c r="H1607" s="11" t="s">
        <v>2949</v>
      </c>
      <c r="I1607" s="12">
        <v>45541</v>
      </c>
    </row>
    <row r="1608" spans="1:9" x14ac:dyDescent="0.15">
      <c r="A1608" s="9">
        <v>1607</v>
      </c>
      <c r="B1608" s="10" t="s">
        <v>9</v>
      </c>
      <c r="C1608" s="11" t="s">
        <v>10</v>
      </c>
      <c r="D1608" s="12">
        <v>45623</v>
      </c>
      <c r="E1608" s="13" t="str">
        <f>+HYPERLINK("http://trademark.i-assist.jp/data/china/image_1913th/80609670.pdf","80609670")</f>
        <v>80609670</v>
      </c>
      <c r="F1608" s="11" t="s">
        <v>4153</v>
      </c>
      <c r="G1608" s="11" t="s">
        <v>3367</v>
      </c>
      <c r="H1608" s="11" t="s">
        <v>3368</v>
      </c>
      <c r="I1608" s="12">
        <v>45532</v>
      </c>
    </row>
    <row r="1609" spans="1:9" x14ac:dyDescent="0.15">
      <c r="A1609" s="9">
        <v>1608</v>
      </c>
      <c r="B1609" s="10" t="s">
        <v>9</v>
      </c>
      <c r="C1609" s="11" t="s">
        <v>10</v>
      </c>
      <c r="D1609" s="12">
        <v>45623</v>
      </c>
      <c r="E1609" s="13" t="str">
        <f>+HYPERLINK("http://trademark.i-assist.jp/data/china/image_1913th/80611589.pdf","80611589")</f>
        <v>80611589</v>
      </c>
      <c r="F1609" s="11" t="s">
        <v>4154</v>
      </c>
      <c r="G1609" s="11" t="s">
        <v>4155</v>
      </c>
      <c r="H1609" s="11" t="s">
        <v>4156</v>
      </c>
      <c r="I1609" s="12">
        <v>45532</v>
      </c>
    </row>
    <row r="1610" spans="1:9" x14ac:dyDescent="0.15">
      <c r="A1610" s="9">
        <v>1609</v>
      </c>
      <c r="B1610" s="10" t="s">
        <v>9</v>
      </c>
      <c r="C1610" s="11" t="s">
        <v>10</v>
      </c>
      <c r="D1610" s="12">
        <v>45623</v>
      </c>
      <c r="E1610" s="13" t="str">
        <f>+HYPERLINK("http://trademark.i-assist.jp/data/china/image_1913th/80613050.pdf","80613050")</f>
        <v>80613050</v>
      </c>
      <c r="F1610" s="11" t="s">
        <v>1006</v>
      </c>
      <c r="G1610" s="11" t="s">
        <v>1998</v>
      </c>
      <c r="H1610" s="11" t="s">
        <v>1999</v>
      </c>
      <c r="I1610" s="12">
        <v>45532</v>
      </c>
    </row>
    <row r="1611" spans="1:9" x14ac:dyDescent="0.15">
      <c r="A1611" s="9">
        <v>1610</v>
      </c>
      <c r="B1611" s="10" t="s">
        <v>9</v>
      </c>
      <c r="C1611" s="11" t="s">
        <v>10</v>
      </c>
      <c r="D1611" s="12">
        <v>45623</v>
      </c>
      <c r="E1611" s="13" t="str">
        <f>+HYPERLINK("http://trademark.i-assist.jp/data/china/image_1913th/80613902.pdf","80613902")</f>
        <v>80613902</v>
      </c>
      <c r="F1611" s="11" t="s">
        <v>4157</v>
      </c>
      <c r="G1611" s="11" t="s">
        <v>4158</v>
      </c>
      <c r="H1611" s="11" t="s">
        <v>1990</v>
      </c>
      <c r="I1611" s="12">
        <v>45532</v>
      </c>
    </row>
    <row r="1612" spans="1:9" x14ac:dyDescent="0.15">
      <c r="A1612" s="9">
        <v>1611</v>
      </c>
      <c r="B1612" s="10" t="s">
        <v>9</v>
      </c>
      <c r="C1612" s="11" t="s">
        <v>10</v>
      </c>
      <c r="D1612" s="12">
        <v>45623</v>
      </c>
      <c r="E1612" s="13" t="str">
        <f>+HYPERLINK("http://trademark.i-assist.jp/data/china/image_1913th/80620353.pdf","80620353")</f>
        <v>80620353</v>
      </c>
      <c r="F1612" s="11" t="s">
        <v>1007</v>
      </c>
      <c r="G1612" s="11" t="s">
        <v>4159</v>
      </c>
      <c r="H1612" s="11" t="s">
        <v>4160</v>
      </c>
      <c r="I1612" s="12">
        <v>45532</v>
      </c>
    </row>
    <row r="1613" spans="1:9" x14ac:dyDescent="0.15">
      <c r="A1613" s="9">
        <v>1612</v>
      </c>
      <c r="B1613" s="10" t="s">
        <v>9</v>
      </c>
      <c r="C1613" s="11" t="s">
        <v>10</v>
      </c>
      <c r="D1613" s="12">
        <v>45623</v>
      </c>
      <c r="E1613" s="13" t="str">
        <f>+HYPERLINK("http://trademark.i-assist.jp/data/china/image_1913th/80620731.pdf","80620731")</f>
        <v>80620731</v>
      </c>
      <c r="F1613" s="11" t="s">
        <v>4161</v>
      </c>
      <c r="G1613" s="11" t="s">
        <v>4162</v>
      </c>
      <c r="H1613" s="11" t="s">
        <v>4163</v>
      </c>
      <c r="I1613" s="12">
        <v>45532</v>
      </c>
    </row>
    <row r="1614" spans="1:9" x14ac:dyDescent="0.15">
      <c r="A1614" s="9">
        <v>1613</v>
      </c>
      <c r="B1614" s="10" t="s">
        <v>9</v>
      </c>
      <c r="C1614" s="11" t="s">
        <v>10</v>
      </c>
      <c r="D1614" s="12">
        <v>45623</v>
      </c>
      <c r="E1614" s="13" t="str">
        <f>+HYPERLINK("http://trademark.i-assist.jp/data/china/image_1913th/80633029.pdf","80633029")</f>
        <v>80633029</v>
      </c>
      <c r="F1614" s="11" t="s">
        <v>4164</v>
      </c>
      <c r="G1614" s="11" t="s">
        <v>4165</v>
      </c>
      <c r="H1614" s="11" t="s">
        <v>2982</v>
      </c>
      <c r="I1614" s="12">
        <v>45533</v>
      </c>
    </row>
    <row r="1615" spans="1:9" x14ac:dyDescent="0.15">
      <c r="A1615" s="9">
        <v>1614</v>
      </c>
      <c r="B1615" s="10" t="s">
        <v>9</v>
      </c>
      <c r="C1615" s="11" t="s">
        <v>10</v>
      </c>
      <c r="D1615" s="12">
        <v>45623</v>
      </c>
      <c r="E1615" s="13" t="str">
        <f>+HYPERLINK("http://trademark.i-assist.jp/data/china/image_1913th/80636117.pdf","80636117")</f>
        <v>80636117</v>
      </c>
      <c r="F1615" s="11" t="s">
        <v>4166</v>
      </c>
      <c r="G1615" s="11" t="s">
        <v>1008</v>
      </c>
      <c r="H1615" s="11" t="s">
        <v>2092</v>
      </c>
      <c r="I1615" s="12">
        <v>45533</v>
      </c>
    </row>
    <row r="1616" spans="1:9" x14ac:dyDescent="0.15">
      <c r="A1616" s="9">
        <v>1615</v>
      </c>
      <c r="B1616" s="10" t="s">
        <v>9</v>
      </c>
      <c r="C1616" s="11" t="s">
        <v>10</v>
      </c>
      <c r="D1616" s="12">
        <v>45623</v>
      </c>
      <c r="E1616" s="13" t="str">
        <f>+HYPERLINK("http://trademark.i-assist.jp/data/china/image_1913th/80637229.pdf","80637229")</f>
        <v>80637229</v>
      </c>
      <c r="F1616" s="11" t="s">
        <v>4167</v>
      </c>
      <c r="G1616" s="11" t="s">
        <v>1009</v>
      </c>
      <c r="H1616" s="11" t="s">
        <v>3965</v>
      </c>
      <c r="I1616" s="12">
        <v>45533</v>
      </c>
    </row>
    <row r="1617" spans="1:9" x14ac:dyDescent="0.15">
      <c r="A1617" s="9">
        <v>1616</v>
      </c>
      <c r="B1617" s="10" t="s">
        <v>9</v>
      </c>
      <c r="C1617" s="11" t="s">
        <v>10</v>
      </c>
      <c r="D1617" s="12">
        <v>45623</v>
      </c>
      <c r="E1617" s="13" t="str">
        <f>+HYPERLINK("http://trademark.i-assist.jp/data/china/image_1913th/80644683.pdf","80644683")</f>
        <v>80644683</v>
      </c>
      <c r="F1617" s="11" t="s">
        <v>1010</v>
      </c>
      <c r="G1617" s="11" t="s">
        <v>1388</v>
      </c>
      <c r="H1617" s="11" t="s">
        <v>1389</v>
      </c>
      <c r="I1617" s="12">
        <v>45533</v>
      </c>
    </row>
    <row r="1618" spans="1:9" x14ac:dyDescent="0.15">
      <c r="A1618" s="9">
        <v>1617</v>
      </c>
      <c r="B1618" s="10" t="s">
        <v>9</v>
      </c>
      <c r="C1618" s="11" t="s">
        <v>10</v>
      </c>
      <c r="D1618" s="12">
        <v>45623</v>
      </c>
      <c r="E1618" s="13" t="str">
        <f>+HYPERLINK("http://trademark.i-assist.jp/data/china/image_1913th/80649786.pdf","80649786")</f>
        <v>80649786</v>
      </c>
      <c r="F1618" s="11" t="s">
        <v>1011</v>
      </c>
      <c r="G1618" s="11" t="s">
        <v>4168</v>
      </c>
      <c r="H1618" s="11" t="s">
        <v>4169</v>
      </c>
      <c r="I1618" s="12">
        <v>45534</v>
      </c>
    </row>
    <row r="1619" spans="1:9" x14ac:dyDescent="0.15">
      <c r="A1619" s="9">
        <v>1618</v>
      </c>
      <c r="B1619" s="10" t="s">
        <v>9</v>
      </c>
      <c r="C1619" s="11" t="s">
        <v>10</v>
      </c>
      <c r="D1619" s="12">
        <v>45623</v>
      </c>
      <c r="E1619" s="13" t="str">
        <f>+HYPERLINK("http://trademark.i-assist.jp/data/china/image_1913th/80652416.pdf","80652416")</f>
        <v>80652416</v>
      </c>
      <c r="F1619" s="11" t="s">
        <v>4170</v>
      </c>
      <c r="G1619" s="11" t="s">
        <v>1012</v>
      </c>
      <c r="H1619" s="11" t="s">
        <v>4171</v>
      </c>
      <c r="I1619" s="12">
        <v>45534</v>
      </c>
    </row>
    <row r="1620" spans="1:9" x14ac:dyDescent="0.15">
      <c r="A1620" s="9">
        <v>1619</v>
      </c>
      <c r="B1620" s="10" t="s">
        <v>9</v>
      </c>
      <c r="C1620" s="11" t="s">
        <v>10</v>
      </c>
      <c r="D1620" s="12">
        <v>45623</v>
      </c>
      <c r="E1620" s="13" t="str">
        <f>+HYPERLINK("http://trademark.i-assist.jp/data/china/image_1913th/80663694.pdf","80663694")</f>
        <v>80663694</v>
      </c>
      <c r="F1620" s="11" t="s">
        <v>1013</v>
      </c>
      <c r="G1620" s="11" t="s">
        <v>4172</v>
      </c>
      <c r="H1620" s="11" t="s">
        <v>4173</v>
      </c>
      <c r="I1620" s="12">
        <v>45534</v>
      </c>
    </row>
    <row r="1621" spans="1:9" x14ac:dyDescent="0.15">
      <c r="A1621" s="9">
        <v>1620</v>
      </c>
      <c r="B1621" s="10" t="s">
        <v>9</v>
      </c>
      <c r="C1621" s="11" t="s">
        <v>10</v>
      </c>
      <c r="D1621" s="12">
        <v>45623</v>
      </c>
      <c r="E1621" s="13" t="str">
        <f>+HYPERLINK("http://trademark.i-assist.jp/data/china/image_1913th/80667134.pdf","80667134")</f>
        <v>80667134</v>
      </c>
      <c r="F1621" s="11" t="s">
        <v>1014</v>
      </c>
      <c r="G1621" s="11" t="s">
        <v>1596</v>
      </c>
      <c r="H1621" s="11" t="s">
        <v>1597</v>
      </c>
      <c r="I1621" s="12">
        <v>45534</v>
      </c>
    </row>
    <row r="1622" spans="1:9" x14ac:dyDescent="0.15">
      <c r="A1622" s="9">
        <v>1621</v>
      </c>
      <c r="B1622" s="10" t="s">
        <v>9</v>
      </c>
      <c r="C1622" s="11" t="s">
        <v>10</v>
      </c>
      <c r="D1622" s="12">
        <v>45623</v>
      </c>
      <c r="E1622" s="13" t="str">
        <f>+HYPERLINK("http://trademark.i-assist.jp/data/china/image_1913th/80672074.pdf","80672074")</f>
        <v>80672074</v>
      </c>
      <c r="F1622" s="11" t="s">
        <v>4174</v>
      </c>
      <c r="G1622" s="11" t="s">
        <v>4175</v>
      </c>
      <c r="H1622" s="11" t="s">
        <v>4176</v>
      </c>
      <c r="I1622" s="12">
        <v>45534</v>
      </c>
    </row>
    <row r="1623" spans="1:9" x14ac:dyDescent="0.15">
      <c r="A1623" s="9">
        <v>1622</v>
      </c>
      <c r="B1623" s="10" t="s">
        <v>9</v>
      </c>
      <c r="C1623" s="11" t="s">
        <v>10</v>
      </c>
      <c r="D1623" s="12">
        <v>45623</v>
      </c>
      <c r="E1623" s="13" t="str">
        <f>+HYPERLINK("http://trademark.i-assist.jp/data/china/image_1913th/80672803.pdf","80672803")</f>
        <v>80672803</v>
      </c>
      <c r="F1623" s="11" t="s">
        <v>1015</v>
      </c>
      <c r="G1623" s="11" t="s">
        <v>4177</v>
      </c>
      <c r="H1623" s="11" t="s">
        <v>4178</v>
      </c>
      <c r="I1623" s="12">
        <v>45534</v>
      </c>
    </row>
    <row r="1624" spans="1:9" x14ac:dyDescent="0.15">
      <c r="A1624" s="9">
        <v>1623</v>
      </c>
      <c r="B1624" s="10" t="s">
        <v>9</v>
      </c>
      <c r="C1624" s="11" t="s">
        <v>10</v>
      </c>
      <c r="D1624" s="12">
        <v>45623</v>
      </c>
      <c r="E1624" s="13" t="str">
        <f>+HYPERLINK("http://trademark.i-assist.jp/data/china/image_1913th/80675832.pdf","80675832")</f>
        <v>80675832</v>
      </c>
      <c r="F1624" s="11" t="s">
        <v>1016</v>
      </c>
      <c r="G1624" s="11" t="s">
        <v>4179</v>
      </c>
      <c r="H1624" s="11" t="s">
        <v>4180</v>
      </c>
      <c r="I1624" s="12">
        <v>45535</v>
      </c>
    </row>
    <row r="1625" spans="1:9" x14ac:dyDescent="0.15">
      <c r="A1625" s="9">
        <v>1624</v>
      </c>
      <c r="B1625" s="10" t="s">
        <v>9</v>
      </c>
      <c r="C1625" s="11" t="s">
        <v>10</v>
      </c>
      <c r="D1625" s="12">
        <v>45623</v>
      </c>
      <c r="E1625" s="13" t="str">
        <f>+HYPERLINK("http://trademark.i-assist.jp/data/china/image_1913th/80678302.pdf","80678302")</f>
        <v>80678302</v>
      </c>
      <c r="F1625" s="11" t="s">
        <v>1017</v>
      </c>
      <c r="G1625" s="11" t="s">
        <v>4181</v>
      </c>
      <c r="H1625" s="11" t="s">
        <v>4182</v>
      </c>
      <c r="I1625" s="12">
        <v>45535</v>
      </c>
    </row>
    <row r="1626" spans="1:9" x14ac:dyDescent="0.15">
      <c r="A1626" s="9">
        <v>1625</v>
      </c>
      <c r="B1626" s="10" t="s">
        <v>9</v>
      </c>
      <c r="C1626" s="11" t="s">
        <v>10</v>
      </c>
      <c r="D1626" s="12">
        <v>45623</v>
      </c>
      <c r="E1626" s="13" t="str">
        <f>+HYPERLINK("http://trademark.i-assist.jp/data/china/image_1913th/80678515.pdf","80678515")</f>
        <v>80678515</v>
      </c>
      <c r="F1626" s="11" t="s">
        <v>1018</v>
      </c>
      <c r="G1626" s="11" t="s">
        <v>4183</v>
      </c>
      <c r="H1626" s="11" t="s">
        <v>4184</v>
      </c>
      <c r="I1626" s="12">
        <v>45535</v>
      </c>
    </row>
    <row r="1627" spans="1:9" x14ac:dyDescent="0.15">
      <c r="A1627" s="9">
        <v>1626</v>
      </c>
      <c r="B1627" s="10" t="s">
        <v>9</v>
      </c>
      <c r="C1627" s="11" t="s">
        <v>10</v>
      </c>
      <c r="D1627" s="12">
        <v>45623</v>
      </c>
      <c r="E1627" s="13" t="str">
        <f>+HYPERLINK("http://trademark.i-assist.jp/data/china/image_1913th/80679877.pdf","80679877")</f>
        <v>80679877</v>
      </c>
      <c r="F1627" s="11" t="s">
        <v>4185</v>
      </c>
      <c r="G1627" s="11" t="s">
        <v>1019</v>
      </c>
      <c r="H1627" s="11" t="s">
        <v>1742</v>
      </c>
      <c r="I1627" s="12">
        <v>45535</v>
      </c>
    </row>
    <row r="1628" spans="1:9" x14ac:dyDescent="0.15">
      <c r="A1628" s="9">
        <v>1627</v>
      </c>
      <c r="B1628" s="10" t="s">
        <v>9</v>
      </c>
      <c r="C1628" s="11" t="s">
        <v>10</v>
      </c>
      <c r="D1628" s="12">
        <v>45623</v>
      </c>
      <c r="E1628" s="13" t="str">
        <f>+HYPERLINK("http://trademark.i-assist.jp/data/china/image_1913th/80934339.pdf","80934339")</f>
        <v>80934339</v>
      </c>
      <c r="F1628" s="11" t="s">
        <v>4186</v>
      </c>
      <c r="G1628" s="11" t="s">
        <v>200</v>
      </c>
      <c r="H1628" s="11" t="s">
        <v>1851</v>
      </c>
      <c r="I1628" s="12">
        <v>45549</v>
      </c>
    </row>
    <row r="1629" spans="1:9" x14ac:dyDescent="0.15">
      <c r="A1629" s="9">
        <v>1628</v>
      </c>
      <c r="B1629" s="10" t="s">
        <v>9</v>
      </c>
      <c r="C1629" s="11" t="s">
        <v>10</v>
      </c>
      <c r="D1629" s="12">
        <v>45623</v>
      </c>
      <c r="E1629" s="13" t="str">
        <f>+HYPERLINK("http://trademark.i-assist.jp/data/china/image_1913th/80790781.pdf","80790781")</f>
        <v>80790781</v>
      </c>
      <c r="F1629" s="11" t="s">
        <v>1335</v>
      </c>
      <c r="G1629" s="11" t="s">
        <v>3715</v>
      </c>
      <c r="H1629" s="11" t="s">
        <v>3716</v>
      </c>
      <c r="I1629" s="12">
        <v>45541</v>
      </c>
    </row>
    <row r="1630" spans="1:9" x14ac:dyDescent="0.15">
      <c r="A1630" s="9">
        <v>1629</v>
      </c>
      <c r="B1630" s="10" t="s">
        <v>9</v>
      </c>
      <c r="C1630" s="11" t="s">
        <v>10</v>
      </c>
      <c r="D1630" s="12">
        <v>45623</v>
      </c>
      <c r="E1630" s="13" t="str">
        <f>+HYPERLINK("http://trademark.i-assist.jp/data/china/image_1913th/80793043.pdf","80793043")</f>
        <v>80793043</v>
      </c>
      <c r="F1630" s="11" t="s">
        <v>4187</v>
      </c>
      <c r="G1630" s="11" t="s">
        <v>1020</v>
      </c>
      <c r="H1630" s="11" t="s">
        <v>1666</v>
      </c>
      <c r="I1630" s="12">
        <v>45541</v>
      </c>
    </row>
    <row r="1631" spans="1:9" x14ac:dyDescent="0.15">
      <c r="A1631" s="9">
        <v>1630</v>
      </c>
      <c r="B1631" s="10" t="s">
        <v>9</v>
      </c>
      <c r="C1631" s="11" t="s">
        <v>10</v>
      </c>
      <c r="D1631" s="12">
        <v>45623</v>
      </c>
      <c r="E1631" s="13" t="str">
        <f>+HYPERLINK("http://trademark.i-assist.jp/data/china/image_1913th/80797663.pdf","80797663")</f>
        <v>80797663</v>
      </c>
      <c r="F1631" s="11" t="s">
        <v>1021</v>
      </c>
      <c r="G1631" s="11" t="s">
        <v>1020</v>
      </c>
      <c r="H1631" s="11" t="s">
        <v>1666</v>
      </c>
      <c r="I1631" s="12">
        <v>45541</v>
      </c>
    </row>
    <row r="1632" spans="1:9" x14ac:dyDescent="0.15">
      <c r="A1632" s="9">
        <v>1631</v>
      </c>
      <c r="B1632" s="10" t="s">
        <v>9</v>
      </c>
      <c r="C1632" s="11" t="s">
        <v>10</v>
      </c>
      <c r="D1632" s="12">
        <v>45623</v>
      </c>
      <c r="E1632" s="13" t="str">
        <f>+HYPERLINK("http://trademark.i-assist.jp/data/china/image_1913th/80808852.pdf","80808852")</f>
        <v>80808852</v>
      </c>
      <c r="F1632" s="11" t="s">
        <v>4188</v>
      </c>
      <c r="G1632" s="11" t="s">
        <v>4189</v>
      </c>
      <c r="H1632" s="11" t="s">
        <v>4190</v>
      </c>
      <c r="I1632" s="12">
        <v>45543</v>
      </c>
    </row>
    <row r="1633" spans="1:9" x14ac:dyDescent="0.15">
      <c r="A1633" s="9">
        <v>1632</v>
      </c>
      <c r="B1633" s="10" t="s">
        <v>9</v>
      </c>
      <c r="C1633" s="11" t="s">
        <v>10</v>
      </c>
      <c r="D1633" s="12">
        <v>45623</v>
      </c>
      <c r="E1633" s="13" t="str">
        <f>+HYPERLINK("http://trademark.i-assist.jp/data/china/image_1913th/80810344.pdf","80810344")</f>
        <v>80810344</v>
      </c>
      <c r="F1633" s="11" t="s">
        <v>1022</v>
      </c>
      <c r="G1633" s="11" t="s">
        <v>4191</v>
      </c>
      <c r="H1633" s="11" t="s">
        <v>4192</v>
      </c>
      <c r="I1633" s="12">
        <v>45544</v>
      </c>
    </row>
    <row r="1634" spans="1:9" x14ac:dyDescent="0.15">
      <c r="A1634" s="9">
        <v>1633</v>
      </c>
      <c r="B1634" s="10" t="s">
        <v>9</v>
      </c>
      <c r="C1634" s="11" t="s">
        <v>10</v>
      </c>
      <c r="D1634" s="12">
        <v>45623</v>
      </c>
      <c r="E1634" s="13" t="str">
        <f>+HYPERLINK("http://trademark.i-assist.jp/data/china/image_1913th/80813771.pdf","80813771")</f>
        <v>80813771</v>
      </c>
      <c r="F1634" s="11" t="s">
        <v>4193</v>
      </c>
      <c r="G1634" s="11" t="s">
        <v>4194</v>
      </c>
      <c r="H1634" s="11" t="s">
        <v>4195</v>
      </c>
      <c r="I1634" s="12">
        <v>45544</v>
      </c>
    </row>
    <row r="1635" spans="1:9" x14ac:dyDescent="0.15">
      <c r="A1635" s="9">
        <v>1634</v>
      </c>
      <c r="B1635" s="10" t="s">
        <v>9</v>
      </c>
      <c r="C1635" s="11" t="s">
        <v>10</v>
      </c>
      <c r="D1635" s="12">
        <v>45623</v>
      </c>
      <c r="E1635" s="13" t="str">
        <f>+HYPERLINK("http://trademark.i-assist.jp/data/china/image_1913th/80815773.pdf","80815773")</f>
        <v>80815773</v>
      </c>
      <c r="F1635" s="11" t="s">
        <v>4196</v>
      </c>
      <c r="G1635" s="11" t="s">
        <v>4197</v>
      </c>
      <c r="H1635" s="11" t="s">
        <v>4198</v>
      </c>
      <c r="I1635" s="12">
        <v>45544</v>
      </c>
    </row>
    <row r="1636" spans="1:9" x14ac:dyDescent="0.15">
      <c r="A1636" s="9">
        <v>1635</v>
      </c>
      <c r="B1636" s="10" t="s">
        <v>9</v>
      </c>
      <c r="C1636" s="11" t="s">
        <v>10</v>
      </c>
      <c r="D1636" s="12">
        <v>45623</v>
      </c>
      <c r="E1636" s="13" t="str">
        <f>+HYPERLINK("http://trademark.i-assist.jp/data/china/image_1913th/80818021.pdf","80818021")</f>
        <v>80818021</v>
      </c>
      <c r="F1636" s="11" t="s">
        <v>1024</v>
      </c>
      <c r="G1636" s="11" t="s">
        <v>1023</v>
      </c>
      <c r="H1636" s="11" t="s">
        <v>4199</v>
      </c>
      <c r="I1636" s="12">
        <v>45544</v>
      </c>
    </row>
    <row r="1637" spans="1:9" x14ac:dyDescent="0.15">
      <c r="A1637" s="9">
        <v>1636</v>
      </c>
      <c r="B1637" s="10" t="s">
        <v>9</v>
      </c>
      <c r="C1637" s="11" t="s">
        <v>10</v>
      </c>
      <c r="D1637" s="12">
        <v>45623</v>
      </c>
      <c r="E1637" s="13" t="str">
        <f>+HYPERLINK("http://trademark.i-assist.jp/data/china/image_1913th/80821422.pdf","80821422")</f>
        <v>80821422</v>
      </c>
      <c r="F1637" s="11" t="s">
        <v>4200</v>
      </c>
      <c r="G1637" s="11" t="s">
        <v>4201</v>
      </c>
      <c r="H1637" s="11" t="s">
        <v>4202</v>
      </c>
      <c r="I1637" s="12">
        <v>45544</v>
      </c>
    </row>
    <row r="1638" spans="1:9" x14ac:dyDescent="0.15">
      <c r="A1638" s="9">
        <v>1637</v>
      </c>
      <c r="B1638" s="10" t="s">
        <v>9</v>
      </c>
      <c r="C1638" s="11" t="s">
        <v>10</v>
      </c>
      <c r="D1638" s="12">
        <v>45623</v>
      </c>
      <c r="E1638" s="13" t="str">
        <f>+HYPERLINK("http://trademark.i-assist.jp/data/china/image_1913th/80831823.pdf","80831823")</f>
        <v>80831823</v>
      </c>
      <c r="F1638" s="11" t="s">
        <v>4203</v>
      </c>
      <c r="G1638" s="11" t="s">
        <v>1025</v>
      </c>
      <c r="H1638" s="11" t="s">
        <v>4204</v>
      </c>
      <c r="I1638" s="12">
        <v>45544</v>
      </c>
    </row>
    <row r="1639" spans="1:9" x14ac:dyDescent="0.15">
      <c r="A1639" s="9">
        <v>1638</v>
      </c>
      <c r="B1639" s="10" t="s">
        <v>9</v>
      </c>
      <c r="C1639" s="11" t="s">
        <v>10</v>
      </c>
      <c r="D1639" s="12">
        <v>45623</v>
      </c>
      <c r="E1639" s="13" t="str">
        <f>+HYPERLINK("http://trademark.i-assist.jp/data/china/image_1913th/80858955.pdf","80858955")</f>
        <v>80858955</v>
      </c>
      <c r="F1639" s="11" t="s">
        <v>4205</v>
      </c>
      <c r="G1639" s="11" t="s">
        <v>4206</v>
      </c>
      <c r="H1639" s="11" t="s">
        <v>4207</v>
      </c>
      <c r="I1639" s="12">
        <v>45546</v>
      </c>
    </row>
    <row r="1640" spans="1:9" x14ac:dyDescent="0.15">
      <c r="A1640" s="9">
        <v>1639</v>
      </c>
      <c r="B1640" s="10" t="s">
        <v>9</v>
      </c>
      <c r="C1640" s="11" t="s">
        <v>10</v>
      </c>
      <c r="D1640" s="12">
        <v>45623</v>
      </c>
      <c r="E1640" s="13" t="str">
        <f>+HYPERLINK("http://trademark.i-assist.jp/data/china/image_1913th/80860176.pdf","80860176")</f>
        <v>80860176</v>
      </c>
      <c r="F1640" s="11" t="s">
        <v>1027</v>
      </c>
      <c r="G1640" s="11" t="s">
        <v>1026</v>
      </c>
      <c r="H1640" s="11" t="s">
        <v>4208</v>
      </c>
      <c r="I1640" s="12">
        <v>45546</v>
      </c>
    </row>
    <row r="1641" spans="1:9" x14ac:dyDescent="0.15">
      <c r="A1641" s="9">
        <v>1640</v>
      </c>
      <c r="B1641" s="10" t="s">
        <v>9</v>
      </c>
      <c r="C1641" s="11" t="s">
        <v>10</v>
      </c>
      <c r="D1641" s="12">
        <v>45623</v>
      </c>
      <c r="E1641" s="13" t="str">
        <f>+HYPERLINK("http://trademark.i-assist.jp/data/china/image_1913th/80870122.pdf","80870122")</f>
        <v>80870122</v>
      </c>
      <c r="F1641" s="11" t="s">
        <v>1028</v>
      </c>
      <c r="G1641" s="11" t="s">
        <v>4209</v>
      </c>
      <c r="H1641" s="11" t="s">
        <v>4210</v>
      </c>
      <c r="I1641" s="12">
        <v>45546</v>
      </c>
    </row>
    <row r="1642" spans="1:9" x14ac:dyDescent="0.15">
      <c r="A1642" s="9">
        <v>1641</v>
      </c>
      <c r="B1642" s="10" t="s">
        <v>9</v>
      </c>
      <c r="C1642" s="11" t="s">
        <v>10</v>
      </c>
      <c r="D1642" s="12">
        <v>45623</v>
      </c>
      <c r="E1642" s="13" t="str">
        <f>+HYPERLINK("http://trademark.i-assist.jp/data/china/image_1913th/80880603.pdf","80880603")</f>
        <v>80880603</v>
      </c>
      <c r="F1642" s="11" t="s">
        <v>4211</v>
      </c>
      <c r="G1642" s="11" t="s">
        <v>4212</v>
      </c>
      <c r="H1642" s="11" t="s">
        <v>2982</v>
      </c>
      <c r="I1642" s="12">
        <v>45547</v>
      </c>
    </row>
    <row r="1643" spans="1:9" x14ac:dyDescent="0.15">
      <c r="A1643" s="9">
        <v>1642</v>
      </c>
      <c r="B1643" s="10" t="s">
        <v>9</v>
      </c>
      <c r="C1643" s="11" t="s">
        <v>10</v>
      </c>
      <c r="D1643" s="12">
        <v>45623</v>
      </c>
      <c r="E1643" s="13" t="str">
        <f>+HYPERLINK("http://trademark.i-assist.jp/data/china/image_1913th/80886445.pdf","80886445")</f>
        <v>80886445</v>
      </c>
      <c r="F1643" s="11" t="s">
        <v>1030</v>
      </c>
      <c r="G1643" s="11" t="s">
        <v>1029</v>
      </c>
      <c r="H1643" s="11" t="s">
        <v>4213</v>
      </c>
      <c r="I1643" s="12">
        <v>45547</v>
      </c>
    </row>
    <row r="1644" spans="1:9" x14ac:dyDescent="0.15">
      <c r="A1644" s="9">
        <v>1643</v>
      </c>
      <c r="B1644" s="10" t="s">
        <v>9</v>
      </c>
      <c r="C1644" s="11" t="s">
        <v>10</v>
      </c>
      <c r="D1644" s="12">
        <v>45623</v>
      </c>
      <c r="E1644" s="13" t="str">
        <f>+HYPERLINK("http://trademark.i-assist.jp/data/china/image_1913th/80897227.pdf","80897227")</f>
        <v>80897227</v>
      </c>
      <c r="F1644" s="11" t="s">
        <v>1031</v>
      </c>
      <c r="G1644" s="11" t="s">
        <v>3837</v>
      </c>
      <c r="H1644" s="11" t="s">
        <v>3838</v>
      </c>
      <c r="I1644" s="12">
        <v>45547</v>
      </c>
    </row>
    <row r="1645" spans="1:9" x14ac:dyDescent="0.15">
      <c r="A1645" s="9">
        <v>1644</v>
      </c>
      <c r="B1645" s="10" t="s">
        <v>9</v>
      </c>
      <c r="C1645" s="11" t="s">
        <v>10</v>
      </c>
      <c r="D1645" s="12">
        <v>45623</v>
      </c>
      <c r="E1645" s="13" t="str">
        <f>+HYPERLINK("http://trademark.i-assist.jp/data/china/image_1913th/80705199.pdf","80705199")</f>
        <v>80705199</v>
      </c>
      <c r="F1645" s="11" t="s">
        <v>4214</v>
      </c>
      <c r="G1645" s="11" t="s">
        <v>4215</v>
      </c>
      <c r="H1645" s="11" t="s">
        <v>4216</v>
      </c>
      <c r="I1645" s="12">
        <v>45537</v>
      </c>
    </row>
    <row r="1646" spans="1:9" x14ac:dyDescent="0.15">
      <c r="A1646" s="9">
        <v>1645</v>
      </c>
      <c r="B1646" s="10" t="s">
        <v>9</v>
      </c>
      <c r="C1646" s="11" t="s">
        <v>10</v>
      </c>
      <c r="D1646" s="12">
        <v>45623</v>
      </c>
      <c r="E1646" s="13" t="str">
        <f>+HYPERLINK("http://trademark.i-assist.jp/data/china/image_1913th/80705564.pdf","80705564")</f>
        <v>80705564</v>
      </c>
      <c r="F1646" s="11" t="s">
        <v>4217</v>
      </c>
      <c r="G1646" s="11" t="s">
        <v>145</v>
      </c>
      <c r="H1646" s="11" t="s">
        <v>1666</v>
      </c>
      <c r="I1646" s="12">
        <v>45537</v>
      </c>
    </row>
    <row r="1647" spans="1:9" x14ac:dyDescent="0.15">
      <c r="A1647" s="9">
        <v>1646</v>
      </c>
      <c r="B1647" s="10" t="s">
        <v>9</v>
      </c>
      <c r="C1647" s="11" t="s">
        <v>10</v>
      </c>
      <c r="D1647" s="12">
        <v>45623</v>
      </c>
      <c r="E1647" s="13" t="str">
        <f>+HYPERLINK("http://trademark.i-assist.jp/data/china/image_1913th/80709165.pdf","80709165")</f>
        <v>80709165</v>
      </c>
      <c r="F1647" s="11" t="s">
        <v>4218</v>
      </c>
      <c r="G1647" s="11" t="s">
        <v>1942</v>
      </c>
      <c r="H1647" s="11" t="s">
        <v>1423</v>
      </c>
      <c r="I1647" s="12">
        <v>45538</v>
      </c>
    </row>
    <row r="1648" spans="1:9" x14ac:dyDescent="0.15">
      <c r="A1648" s="9">
        <v>1647</v>
      </c>
      <c r="B1648" s="10" t="s">
        <v>9</v>
      </c>
      <c r="C1648" s="11" t="s">
        <v>10</v>
      </c>
      <c r="D1648" s="12">
        <v>45623</v>
      </c>
      <c r="E1648" s="13" t="str">
        <f>+HYPERLINK("http://trademark.i-assist.jp/data/china/image_1913th/80709313.pdf","80709313")</f>
        <v>80709313</v>
      </c>
      <c r="F1648" s="11" t="s">
        <v>4219</v>
      </c>
      <c r="G1648" s="11" t="s">
        <v>1659</v>
      </c>
      <c r="H1648" s="11" t="s">
        <v>1660</v>
      </c>
      <c r="I1648" s="12">
        <v>45538</v>
      </c>
    </row>
    <row r="1649" spans="1:9" x14ac:dyDescent="0.15">
      <c r="A1649" s="9">
        <v>1648</v>
      </c>
      <c r="B1649" s="10" t="s">
        <v>9</v>
      </c>
      <c r="C1649" s="11" t="s">
        <v>10</v>
      </c>
      <c r="D1649" s="12">
        <v>45623</v>
      </c>
      <c r="E1649" s="13" t="str">
        <f>+HYPERLINK("http://trademark.i-assist.jp/data/china/image_1913th/80715840.pdf","80715840")</f>
        <v>80715840</v>
      </c>
      <c r="F1649" s="11" t="s">
        <v>1033</v>
      </c>
      <c r="G1649" s="11" t="s">
        <v>1032</v>
      </c>
      <c r="H1649" s="11" t="s">
        <v>4220</v>
      </c>
      <c r="I1649" s="12">
        <v>45538</v>
      </c>
    </row>
    <row r="1650" spans="1:9" x14ac:dyDescent="0.15">
      <c r="A1650" s="9">
        <v>1649</v>
      </c>
      <c r="B1650" s="10" t="s">
        <v>9</v>
      </c>
      <c r="C1650" s="11" t="s">
        <v>10</v>
      </c>
      <c r="D1650" s="12">
        <v>45623</v>
      </c>
      <c r="E1650" s="13" t="str">
        <f>+HYPERLINK("http://trademark.i-assist.jp/data/china/image_1913th/80717019.pdf","80717019")</f>
        <v>80717019</v>
      </c>
      <c r="F1650" s="11" t="s">
        <v>1034</v>
      </c>
      <c r="G1650" s="11" t="s">
        <v>4221</v>
      </c>
      <c r="H1650" s="11" t="s">
        <v>4222</v>
      </c>
      <c r="I1650" s="12">
        <v>45538</v>
      </c>
    </row>
    <row r="1651" spans="1:9" x14ac:dyDescent="0.15">
      <c r="A1651" s="9">
        <v>1650</v>
      </c>
      <c r="B1651" s="10" t="s">
        <v>9</v>
      </c>
      <c r="C1651" s="11" t="s">
        <v>10</v>
      </c>
      <c r="D1651" s="12">
        <v>45623</v>
      </c>
      <c r="E1651" s="13" t="str">
        <f>+HYPERLINK("http://trademark.i-assist.jp/data/china/image_1913th/80717521.pdf","80717521")</f>
        <v>80717521</v>
      </c>
      <c r="F1651" s="11" t="s">
        <v>4223</v>
      </c>
      <c r="G1651" s="11" t="s">
        <v>42</v>
      </c>
      <c r="H1651" s="11" t="s">
        <v>1423</v>
      </c>
      <c r="I1651" s="12">
        <v>45538</v>
      </c>
    </row>
    <row r="1652" spans="1:9" x14ac:dyDescent="0.15">
      <c r="A1652" s="9">
        <v>1651</v>
      </c>
      <c r="B1652" s="10" t="s">
        <v>9</v>
      </c>
      <c r="C1652" s="11" t="s">
        <v>10</v>
      </c>
      <c r="D1652" s="12">
        <v>45623</v>
      </c>
      <c r="E1652" s="13" t="str">
        <f>+HYPERLINK("http://trademark.i-assist.jp/data/china/image_1913th/80720128.pdf","80720128")</f>
        <v>80720128</v>
      </c>
      <c r="F1652" s="11" t="s">
        <v>1035</v>
      </c>
      <c r="G1652" s="11" t="s">
        <v>4224</v>
      </c>
      <c r="H1652" s="11" t="s">
        <v>4225</v>
      </c>
      <c r="I1652" s="12">
        <v>45538</v>
      </c>
    </row>
    <row r="1653" spans="1:9" x14ac:dyDescent="0.15">
      <c r="A1653" s="9">
        <v>1652</v>
      </c>
      <c r="B1653" s="10" t="s">
        <v>9</v>
      </c>
      <c r="C1653" s="11" t="s">
        <v>10</v>
      </c>
      <c r="D1653" s="12">
        <v>45623</v>
      </c>
      <c r="E1653" s="13" t="str">
        <f>+HYPERLINK("http://trademark.i-assist.jp/data/china/image_1913th/80721031.pdf","80721031")</f>
        <v>80721031</v>
      </c>
      <c r="F1653" s="11" t="s">
        <v>4226</v>
      </c>
      <c r="G1653" s="11" t="s">
        <v>1777</v>
      </c>
      <c r="H1653" s="11" t="s">
        <v>1778</v>
      </c>
      <c r="I1653" s="12">
        <v>45538</v>
      </c>
    </row>
    <row r="1654" spans="1:9" x14ac:dyDescent="0.15">
      <c r="A1654" s="9">
        <v>1653</v>
      </c>
      <c r="B1654" s="10" t="s">
        <v>9</v>
      </c>
      <c r="C1654" s="11" t="s">
        <v>10</v>
      </c>
      <c r="D1654" s="12">
        <v>45623</v>
      </c>
      <c r="E1654" s="13" t="str">
        <f>+HYPERLINK("http://trademark.i-assist.jp/data/china/image_1913th/80727716.pdf","80727716")</f>
        <v>80727716</v>
      </c>
      <c r="F1654" s="11" t="s">
        <v>1036</v>
      </c>
      <c r="G1654" s="11" t="s">
        <v>2521</v>
      </c>
      <c r="H1654" s="11" t="s">
        <v>4227</v>
      </c>
      <c r="I1654" s="12">
        <v>45538</v>
      </c>
    </row>
    <row r="1655" spans="1:9" x14ac:dyDescent="0.15">
      <c r="A1655" s="9">
        <v>1654</v>
      </c>
      <c r="B1655" s="10" t="s">
        <v>9</v>
      </c>
      <c r="C1655" s="11" t="s">
        <v>10</v>
      </c>
      <c r="D1655" s="12">
        <v>45623</v>
      </c>
      <c r="E1655" s="13" t="str">
        <f>+HYPERLINK("http://trademark.i-assist.jp/data/china/image_1913th/80728084.pdf","80728084")</f>
        <v>80728084</v>
      </c>
      <c r="F1655" s="11" t="s">
        <v>1038</v>
      </c>
      <c r="G1655" s="11" t="s">
        <v>1037</v>
      </c>
      <c r="H1655" s="11" t="s">
        <v>4228</v>
      </c>
      <c r="I1655" s="12">
        <v>45538</v>
      </c>
    </row>
    <row r="1656" spans="1:9" x14ac:dyDescent="0.15">
      <c r="A1656" s="9">
        <v>1655</v>
      </c>
      <c r="B1656" s="10" t="s">
        <v>9</v>
      </c>
      <c r="C1656" s="11" t="s">
        <v>10</v>
      </c>
      <c r="D1656" s="12">
        <v>45623</v>
      </c>
      <c r="E1656" s="13" t="str">
        <f>+HYPERLINK("http://trademark.i-assist.jp/data/china/image_1913th/80729089.pdf","80729089")</f>
        <v>80729089</v>
      </c>
      <c r="F1656" s="11" t="s">
        <v>4229</v>
      </c>
      <c r="G1656" s="11" t="s">
        <v>4230</v>
      </c>
      <c r="H1656" s="11" t="s">
        <v>1302</v>
      </c>
      <c r="I1656" s="12">
        <v>45538</v>
      </c>
    </row>
    <row r="1657" spans="1:9" x14ac:dyDescent="0.15">
      <c r="A1657" s="9">
        <v>1656</v>
      </c>
      <c r="B1657" s="10" t="s">
        <v>9</v>
      </c>
      <c r="C1657" s="11" t="s">
        <v>10</v>
      </c>
      <c r="D1657" s="12">
        <v>45623</v>
      </c>
      <c r="E1657" s="13" t="str">
        <f>+HYPERLINK("http://trademark.i-assist.jp/data/china/image_1913th/80683544.pdf","80683544")</f>
        <v>80683544</v>
      </c>
      <c r="F1657" s="11" t="s">
        <v>1039</v>
      </c>
      <c r="G1657" s="11" t="s">
        <v>4231</v>
      </c>
      <c r="H1657" s="11" t="s">
        <v>4232</v>
      </c>
      <c r="I1657" s="12">
        <v>45537</v>
      </c>
    </row>
    <row r="1658" spans="1:9" x14ac:dyDescent="0.15">
      <c r="A1658" s="9">
        <v>1657</v>
      </c>
      <c r="B1658" s="10" t="s">
        <v>9</v>
      </c>
      <c r="C1658" s="11" t="s">
        <v>10</v>
      </c>
      <c r="D1658" s="12">
        <v>45623</v>
      </c>
      <c r="E1658" s="13" t="str">
        <f>+HYPERLINK("http://trademark.i-assist.jp/data/china/image_1913th/80687563.pdf","80687563")</f>
        <v>80687563</v>
      </c>
      <c r="F1658" s="11" t="s">
        <v>4233</v>
      </c>
      <c r="G1658" s="11" t="s">
        <v>4234</v>
      </c>
      <c r="H1658" s="11" t="s">
        <v>4235</v>
      </c>
      <c r="I1658" s="12">
        <v>45537</v>
      </c>
    </row>
    <row r="1659" spans="1:9" x14ac:dyDescent="0.15">
      <c r="A1659" s="9">
        <v>1658</v>
      </c>
      <c r="B1659" s="10" t="s">
        <v>9</v>
      </c>
      <c r="C1659" s="11" t="s">
        <v>10</v>
      </c>
      <c r="D1659" s="12">
        <v>45623</v>
      </c>
      <c r="E1659" s="13" t="str">
        <f>+HYPERLINK("http://trademark.i-assist.jp/data/china/image_1913th/80698900.pdf","80698900")</f>
        <v>80698900</v>
      </c>
      <c r="F1659" s="11" t="s">
        <v>1040</v>
      </c>
      <c r="G1659" s="11" t="s">
        <v>4236</v>
      </c>
      <c r="H1659" s="11" t="s">
        <v>4237</v>
      </c>
      <c r="I1659" s="12">
        <v>45537</v>
      </c>
    </row>
    <row r="1660" spans="1:9" x14ac:dyDescent="0.15">
      <c r="A1660" s="9">
        <v>1659</v>
      </c>
      <c r="B1660" s="10" t="s">
        <v>9</v>
      </c>
      <c r="C1660" s="11" t="s">
        <v>10</v>
      </c>
      <c r="D1660" s="12">
        <v>45623</v>
      </c>
      <c r="E1660" s="13" t="str">
        <f>+HYPERLINK("http://trademark.i-assist.jp/data/china/image_1913th/80701366.pdf","80701366")</f>
        <v>80701366</v>
      </c>
      <c r="F1660" s="11" t="s">
        <v>1042</v>
      </c>
      <c r="G1660" s="11" t="s">
        <v>1041</v>
      </c>
      <c r="H1660" s="11" t="s">
        <v>4238</v>
      </c>
      <c r="I1660" s="12">
        <v>45537</v>
      </c>
    </row>
    <row r="1661" spans="1:9" x14ac:dyDescent="0.15">
      <c r="A1661" s="9">
        <v>1660</v>
      </c>
      <c r="B1661" s="10" t="s">
        <v>9</v>
      </c>
      <c r="C1661" s="11" t="s">
        <v>10</v>
      </c>
      <c r="D1661" s="12">
        <v>45623</v>
      </c>
      <c r="E1661" s="13" t="str">
        <f>+HYPERLINK("http://trademark.i-assist.jp/data/china/image_1913th/80704258.pdf","80704258")</f>
        <v>80704258</v>
      </c>
      <c r="F1661" s="11" t="s">
        <v>4239</v>
      </c>
      <c r="G1661" s="11" t="s">
        <v>4240</v>
      </c>
      <c r="H1661" s="11" t="s">
        <v>1580</v>
      </c>
      <c r="I1661" s="12">
        <v>45537</v>
      </c>
    </row>
    <row r="1662" spans="1:9" x14ac:dyDescent="0.15">
      <c r="A1662" s="9">
        <v>1661</v>
      </c>
      <c r="B1662" s="10" t="s">
        <v>9</v>
      </c>
      <c r="C1662" s="11" t="s">
        <v>10</v>
      </c>
      <c r="D1662" s="12">
        <v>45623</v>
      </c>
      <c r="E1662" s="13" t="str">
        <f>+HYPERLINK("http://trademark.i-assist.jp/data/china/image_1913th/74530353.pdf","74530353")</f>
        <v>74530353</v>
      </c>
      <c r="F1662" s="11" t="s">
        <v>1043</v>
      </c>
      <c r="G1662" s="11" t="s">
        <v>4241</v>
      </c>
      <c r="H1662" s="11" t="s">
        <v>4242</v>
      </c>
      <c r="I1662" s="12">
        <v>45211</v>
      </c>
    </row>
    <row r="1663" spans="1:9" x14ac:dyDescent="0.15">
      <c r="A1663" s="9">
        <v>1662</v>
      </c>
      <c r="B1663" s="10" t="s">
        <v>9</v>
      </c>
      <c r="C1663" s="11" t="s">
        <v>10</v>
      </c>
      <c r="D1663" s="12">
        <v>45623</v>
      </c>
      <c r="E1663" s="13" t="str">
        <f>+HYPERLINK("http://trademark.i-assist.jp/data/china/image_1913th/74972669.pdf","74972669")</f>
        <v>74972669</v>
      </c>
      <c r="F1663" s="11" t="s">
        <v>1045</v>
      </c>
      <c r="G1663" s="11" t="s">
        <v>1044</v>
      </c>
      <c r="H1663" s="11" t="s">
        <v>4243</v>
      </c>
      <c r="I1663" s="12">
        <v>45233</v>
      </c>
    </row>
    <row r="1664" spans="1:9" x14ac:dyDescent="0.15">
      <c r="A1664" s="9">
        <v>1663</v>
      </c>
      <c r="B1664" s="10" t="s">
        <v>9</v>
      </c>
      <c r="C1664" s="11" t="s">
        <v>10</v>
      </c>
      <c r="D1664" s="12">
        <v>45623</v>
      </c>
      <c r="E1664" s="13" t="str">
        <f>+HYPERLINK("http://trademark.i-assist.jp/data/china/image_1913th/75346281.pdf","75346281")</f>
        <v>75346281</v>
      </c>
      <c r="F1664" s="11" t="s">
        <v>4244</v>
      </c>
      <c r="G1664" s="11" t="s">
        <v>4245</v>
      </c>
      <c r="H1664" s="11" t="s">
        <v>4246</v>
      </c>
      <c r="I1664" s="12">
        <v>45252</v>
      </c>
    </row>
    <row r="1665" spans="1:9" x14ac:dyDescent="0.15">
      <c r="A1665" s="9">
        <v>1664</v>
      </c>
      <c r="B1665" s="10" t="s">
        <v>9</v>
      </c>
      <c r="C1665" s="11" t="s">
        <v>10</v>
      </c>
      <c r="D1665" s="12">
        <v>45623</v>
      </c>
      <c r="E1665" s="13" t="str">
        <f>+HYPERLINK("http://trademark.i-assist.jp/data/china/image_1913th/80335554.pdf","80335554")</f>
        <v>80335554</v>
      </c>
      <c r="F1665" s="11" t="s">
        <v>4247</v>
      </c>
      <c r="G1665" s="11" t="s">
        <v>4248</v>
      </c>
      <c r="H1665" s="11" t="s">
        <v>1920</v>
      </c>
      <c r="I1665" s="12">
        <v>45517</v>
      </c>
    </row>
    <row r="1666" spans="1:9" x14ac:dyDescent="0.15">
      <c r="A1666" s="9">
        <v>1665</v>
      </c>
      <c r="B1666" s="10" t="s">
        <v>9</v>
      </c>
      <c r="C1666" s="11" t="s">
        <v>10</v>
      </c>
      <c r="D1666" s="12">
        <v>45623</v>
      </c>
      <c r="E1666" s="13" t="str">
        <f>+HYPERLINK("http://trademark.i-assist.jp/data/china/image_1913th/80337025.pdf","80337025")</f>
        <v>80337025</v>
      </c>
      <c r="F1666" s="11" t="s">
        <v>4249</v>
      </c>
      <c r="G1666" s="11" t="s">
        <v>1046</v>
      </c>
      <c r="H1666" s="11" t="s">
        <v>4250</v>
      </c>
      <c r="I1666" s="12">
        <v>45517</v>
      </c>
    </row>
    <row r="1667" spans="1:9" x14ac:dyDescent="0.15">
      <c r="A1667" s="9">
        <v>1666</v>
      </c>
      <c r="B1667" s="10" t="s">
        <v>9</v>
      </c>
      <c r="C1667" s="11" t="s">
        <v>10</v>
      </c>
      <c r="D1667" s="12">
        <v>45623</v>
      </c>
      <c r="E1667" s="13" t="str">
        <f>+HYPERLINK("http://trademark.i-assist.jp/data/china/image_1913th/80337648.pdf","80337648")</f>
        <v>80337648</v>
      </c>
      <c r="F1667" s="11" t="s">
        <v>4251</v>
      </c>
      <c r="G1667" s="11" t="s">
        <v>4252</v>
      </c>
      <c r="H1667" s="11" t="s">
        <v>1302</v>
      </c>
      <c r="I1667" s="12">
        <v>45517</v>
      </c>
    </row>
    <row r="1668" spans="1:9" x14ac:dyDescent="0.15">
      <c r="A1668" s="9">
        <v>1667</v>
      </c>
      <c r="B1668" s="10" t="s">
        <v>9</v>
      </c>
      <c r="C1668" s="11" t="s">
        <v>10</v>
      </c>
      <c r="D1668" s="12">
        <v>45623</v>
      </c>
      <c r="E1668" s="13" t="str">
        <f>+HYPERLINK("http://trademark.i-assist.jp/data/china/image_1913th/80356438.pdf","80356438")</f>
        <v>80356438</v>
      </c>
      <c r="F1668" s="11" t="s">
        <v>1048</v>
      </c>
      <c r="G1668" s="11" t="s">
        <v>1047</v>
      </c>
      <c r="H1668" s="11" t="s">
        <v>4253</v>
      </c>
      <c r="I1668" s="12">
        <v>45518</v>
      </c>
    </row>
    <row r="1669" spans="1:9" x14ac:dyDescent="0.15">
      <c r="A1669" s="9">
        <v>1668</v>
      </c>
      <c r="B1669" s="10" t="s">
        <v>9</v>
      </c>
      <c r="C1669" s="11" t="s">
        <v>10</v>
      </c>
      <c r="D1669" s="12">
        <v>45623</v>
      </c>
      <c r="E1669" s="13" t="str">
        <f>+HYPERLINK("http://trademark.i-assist.jp/data/china/image_1913th/80398637.pdf","80398637")</f>
        <v>80398637</v>
      </c>
      <c r="F1669" s="11" t="s">
        <v>1049</v>
      </c>
      <c r="G1669" s="11" t="s">
        <v>2829</v>
      </c>
      <c r="H1669" s="11" t="s">
        <v>2830</v>
      </c>
      <c r="I1669" s="12">
        <v>45520</v>
      </c>
    </row>
    <row r="1670" spans="1:9" x14ac:dyDescent="0.15">
      <c r="A1670" s="9">
        <v>1669</v>
      </c>
      <c r="B1670" s="10" t="s">
        <v>9</v>
      </c>
      <c r="C1670" s="11" t="s">
        <v>10</v>
      </c>
      <c r="D1670" s="12">
        <v>45623</v>
      </c>
      <c r="E1670" s="13" t="str">
        <f>+HYPERLINK("http://trademark.i-assist.jp/data/china/image_1913th/80405760.pdf","80405760")</f>
        <v>80405760</v>
      </c>
      <c r="F1670" s="11" t="s">
        <v>1050</v>
      </c>
      <c r="G1670" s="11" t="s">
        <v>4254</v>
      </c>
      <c r="H1670" s="11" t="s">
        <v>4255</v>
      </c>
      <c r="I1670" s="12">
        <v>45520</v>
      </c>
    </row>
    <row r="1671" spans="1:9" x14ac:dyDescent="0.15">
      <c r="A1671" s="9">
        <v>1670</v>
      </c>
      <c r="B1671" s="10" t="s">
        <v>9</v>
      </c>
      <c r="C1671" s="11" t="s">
        <v>10</v>
      </c>
      <c r="D1671" s="12">
        <v>45623</v>
      </c>
      <c r="E1671" s="13" t="str">
        <f>+HYPERLINK("http://trademark.i-assist.jp/data/china/image_1913th/80411044.pdf","80411044")</f>
        <v>80411044</v>
      </c>
      <c r="F1671" s="11" t="s">
        <v>1052</v>
      </c>
      <c r="G1671" s="11" t="s">
        <v>1051</v>
      </c>
      <c r="H1671" s="11" t="s">
        <v>4256</v>
      </c>
      <c r="I1671" s="12">
        <v>45520</v>
      </c>
    </row>
    <row r="1672" spans="1:9" x14ac:dyDescent="0.15">
      <c r="A1672" s="9">
        <v>1671</v>
      </c>
      <c r="B1672" s="10" t="s">
        <v>9</v>
      </c>
      <c r="C1672" s="11" t="s">
        <v>10</v>
      </c>
      <c r="D1672" s="12">
        <v>45623</v>
      </c>
      <c r="E1672" s="13" t="str">
        <f>+HYPERLINK("http://trademark.i-assist.jp/data/china/image_1913th/80428222.pdf","80428222")</f>
        <v>80428222</v>
      </c>
      <c r="F1672" s="11" t="s">
        <v>1335</v>
      </c>
      <c r="G1672" s="11" t="s">
        <v>4257</v>
      </c>
      <c r="H1672" s="11" t="s">
        <v>4258</v>
      </c>
      <c r="I1672" s="12">
        <v>45523</v>
      </c>
    </row>
    <row r="1673" spans="1:9" x14ac:dyDescent="0.15">
      <c r="A1673" s="9">
        <v>1672</v>
      </c>
      <c r="B1673" s="10" t="s">
        <v>9</v>
      </c>
      <c r="C1673" s="11" t="s">
        <v>10</v>
      </c>
      <c r="D1673" s="12">
        <v>45623</v>
      </c>
      <c r="E1673" s="13" t="str">
        <f>+HYPERLINK("http://trademark.i-assist.jp/data/china/image_1913th/80453380.pdf","80453380")</f>
        <v>80453380</v>
      </c>
      <c r="F1673" s="11" t="s">
        <v>4259</v>
      </c>
      <c r="G1673" s="11" t="s">
        <v>4260</v>
      </c>
      <c r="H1673" s="11" t="s">
        <v>4261</v>
      </c>
      <c r="I1673" s="12">
        <v>45524</v>
      </c>
    </row>
    <row r="1674" spans="1:9" x14ac:dyDescent="0.15">
      <c r="A1674" s="9">
        <v>1673</v>
      </c>
      <c r="B1674" s="10" t="s">
        <v>9</v>
      </c>
      <c r="C1674" s="11" t="s">
        <v>10</v>
      </c>
      <c r="D1674" s="12">
        <v>45623</v>
      </c>
      <c r="E1674" s="13" t="str">
        <f>+HYPERLINK("http://trademark.i-assist.jp/data/china/image_1913th/80758822.pdf","80758822")</f>
        <v>80758822</v>
      </c>
      <c r="F1674" s="11" t="s">
        <v>1053</v>
      </c>
      <c r="G1674" s="11" t="s">
        <v>1748</v>
      </c>
      <c r="H1674" s="11" t="s">
        <v>1749</v>
      </c>
      <c r="I1674" s="12">
        <v>45540</v>
      </c>
    </row>
    <row r="1675" spans="1:9" x14ac:dyDescent="0.15">
      <c r="A1675" s="9">
        <v>1674</v>
      </c>
      <c r="B1675" s="10" t="s">
        <v>9</v>
      </c>
      <c r="C1675" s="11" t="s">
        <v>10</v>
      </c>
      <c r="D1675" s="12">
        <v>45623</v>
      </c>
      <c r="E1675" s="13" t="str">
        <f>+HYPERLINK("http://trademark.i-assist.jp/data/china/image_1913th/80762468.pdf","80762468")</f>
        <v>80762468</v>
      </c>
      <c r="F1675" s="11" t="s">
        <v>4262</v>
      </c>
      <c r="G1675" s="11" t="s">
        <v>2603</v>
      </c>
      <c r="H1675" s="11" t="s">
        <v>2604</v>
      </c>
      <c r="I1675" s="12">
        <v>45540</v>
      </c>
    </row>
    <row r="1676" spans="1:9" x14ac:dyDescent="0.15">
      <c r="A1676" s="9">
        <v>1675</v>
      </c>
      <c r="B1676" s="10" t="s">
        <v>9</v>
      </c>
      <c r="C1676" s="11" t="s">
        <v>10</v>
      </c>
      <c r="D1676" s="12">
        <v>45623</v>
      </c>
      <c r="E1676" s="13" t="str">
        <f>+HYPERLINK("http://trademark.i-assist.jp/data/china/image_1913th/80770330.pdf","80770330")</f>
        <v>80770330</v>
      </c>
      <c r="F1676" s="11" t="s">
        <v>1054</v>
      </c>
      <c r="G1676" s="11" t="s">
        <v>3083</v>
      </c>
      <c r="H1676" s="11" t="s">
        <v>2145</v>
      </c>
      <c r="I1676" s="12">
        <v>45540</v>
      </c>
    </row>
    <row r="1677" spans="1:9" x14ac:dyDescent="0.15">
      <c r="A1677" s="9">
        <v>1676</v>
      </c>
      <c r="B1677" s="10" t="s">
        <v>9</v>
      </c>
      <c r="C1677" s="11" t="s">
        <v>10</v>
      </c>
      <c r="D1677" s="12">
        <v>45623</v>
      </c>
      <c r="E1677" s="13" t="str">
        <f>+HYPERLINK("http://trademark.i-assist.jp/data/china/image_1913th/80771464.pdf","80771464")</f>
        <v>80771464</v>
      </c>
      <c r="F1677" s="11" t="s">
        <v>1055</v>
      </c>
      <c r="G1677" s="11" t="s">
        <v>3191</v>
      </c>
      <c r="H1677" s="11" t="s">
        <v>4263</v>
      </c>
      <c r="I1677" s="12">
        <v>45540</v>
      </c>
    </row>
    <row r="1678" spans="1:9" x14ac:dyDescent="0.15">
      <c r="A1678" s="9">
        <v>1677</v>
      </c>
      <c r="B1678" s="10" t="s">
        <v>9</v>
      </c>
      <c r="C1678" s="11" t="s">
        <v>10</v>
      </c>
      <c r="D1678" s="12">
        <v>45623</v>
      </c>
      <c r="E1678" s="13" t="str">
        <f>+HYPERLINK("http://trademark.i-assist.jp/data/china/image_1913th/79157121.pdf","79157121")</f>
        <v>79157121</v>
      </c>
      <c r="F1678" s="11" t="s">
        <v>1056</v>
      </c>
      <c r="G1678" s="11" t="s">
        <v>2305</v>
      </c>
      <c r="H1678" s="11" t="s">
        <v>2306</v>
      </c>
      <c r="I1678" s="12">
        <v>45455</v>
      </c>
    </row>
    <row r="1679" spans="1:9" x14ac:dyDescent="0.15">
      <c r="A1679" s="9">
        <v>1678</v>
      </c>
      <c r="B1679" s="10" t="s">
        <v>9</v>
      </c>
      <c r="C1679" s="11" t="s">
        <v>10</v>
      </c>
      <c r="D1679" s="12">
        <v>45623</v>
      </c>
      <c r="E1679" s="13" t="str">
        <f>+HYPERLINK("http://trademark.i-assist.jp/data/china/image_1913th/79158000.pdf","79158000")</f>
        <v>79158000</v>
      </c>
      <c r="F1679" s="11" t="s">
        <v>4264</v>
      </c>
      <c r="G1679" s="11" t="s">
        <v>4265</v>
      </c>
      <c r="H1679" s="11" t="s">
        <v>4266</v>
      </c>
      <c r="I1679" s="12">
        <v>45455</v>
      </c>
    </row>
    <row r="1680" spans="1:9" x14ac:dyDescent="0.15">
      <c r="A1680" s="9">
        <v>1679</v>
      </c>
      <c r="B1680" s="10" t="s">
        <v>9</v>
      </c>
      <c r="C1680" s="11" t="s">
        <v>10</v>
      </c>
      <c r="D1680" s="12">
        <v>45623</v>
      </c>
      <c r="E1680" s="13" t="str">
        <f>+HYPERLINK("http://trademark.i-assist.jp/data/china/image_1913th/80712875.pdf","80712875")</f>
        <v>80712875</v>
      </c>
      <c r="F1680" s="11" t="s">
        <v>1057</v>
      </c>
      <c r="G1680" s="11" t="s">
        <v>334</v>
      </c>
      <c r="H1680" s="11" t="s">
        <v>1382</v>
      </c>
      <c r="I1680" s="12">
        <v>45538</v>
      </c>
    </row>
    <row r="1681" spans="1:9" x14ac:dyDescent="0.15">
      <c r="A1681" s="9">
        <v>1680</v>
      </c>
      <c r="B1681" s="10" t="s">
        <v>9</v>
      </c>
      <c r="C1681" s="11" t="s">
        <v>10</v>
      </c>
      <c r="D1681" s="12">
        <v>45623</v>
      </c>
      <c r="E1681" s="13" t="str">
        <f>+HYPERLINK("http://trademark.i-assist.jp/data/china/image_1913th/80720455.pdf","80720455")</f>
        <v>80720455</v>
      </c>
      <c r="F1681" s="11" t="s">
        <v>4267</v>
      </c>
      <c r="G1681" s="11" t="s">
        <v>1420</v>
      </c>
      <c r="H1681" s="11" t="s">
        <v>4268</v>
      </c>
      <c r="I1681" s="12">
        <v>45538</v>
      </c>
    </row>
    <row r="1682" spans="1:9" x14ac:dyDescent="0.15">
      <c r="A1682" s="9">
        <v>1681</v>
      </c>
      <c r="B1682" s="10" t="s">
        <v>9</v>
      </c>
      <c r="C1682" s="11" t="s">
        <v>10</v>
      </c>
      <c r="D1682" s="12">
        <v>45623</v>
      </c>
      <c r="E1682" s="13" t="str">
        <f>+HYPERLINK("http://trademark.i-assist.jp/data/china/image_1913th/80731041.pdf","80731041")</f>
        <v>80731041</v>
      </c>
      <c r="F1682" s="11" t="s">
        <v>1058</v>
      </c>
      <c r="G1682" s="11" t="s">
        <v>4269</v>
      </c>
      <c r="H1682" s="11" t="s">
        <v>4270</v>
      </c>
      <c r="I1682" s="12">
        <v>45539</v>
      </c>
    </row>
    <row r="1683" spans="1:9" x14ac:dyDescent="0.15">
      <c r="A1683" s="9">
        <v>1682</v>
      </c>
      <c r="B1683" s="10" t="s">
        <v>9</v>
      </c>
      <c r="C1683" s="11" t="s">
        <v>10</v>
      </c>
      <c r="D1683" s="12">
        <v>45623</v>
      </c>
      <c r="E1683" s="13" t="str">
        <f>+HYPERLINK("http://trademark.i-assist.jp/data/china/image_1913th/80606239.pdf","80606239")</f>
        <v>80606239</v>
      </c>
      <c r="F1683" s="11" t="s">
        <v>1059</v>
      </c>
      <c r="G1683" s="11" t="s">
        <v>4271</v>
      </c>
      <c r="H1683" s="11" t="s">
        <v>4272</v>
      </c>
      <c r="I1683" s="12">
        <v>45532</v>
      </c>
    </row>
    <row r="1684" spans="1:9" x14ac:dyDescent="0.15">
      <c r="A1684" s="9">
        <v>1683</v>
      </c>
      <c r="B1684" s="10" t="s">
        <v>9</v>
      </c>
      <c r="C1684" s="11" t="s">
        <v>10</v>
      </c>
      <c r="D1684" s="12">
        <v>45623</v>
      </c>
      <c r="E1684" s="13" t="str">
        <f>+HYPERLINK("http://trademark.i-assist.jp/data/china/image_1913th/80618193.pdf","80618193")</f>
        <v>80618193</v>
      </c>
      <c r="F1684" s="11" t="s">
        <v>1060</v>
      </c>
      <c r="G1684" s="11" t="s">
        <v>4273</v>
      </c>
      <c r="H1684" s="11" t="s">
        <v>4274</v>
      </c>
      <c r="I1684" s="12">
        <v>45532</v>
      </c>
    </row>
    <row r="1685" spans="1:9" x14ac:dyDescent="0.15">
      <c r="A1685" s="9">
        <v>1684</v>
      </c>
      <c r="B1685" s="10" t="s">
        <v>9</v>
      </c>
      <c r="C1685" s="11" t="s">
        <v>10</v>
      </c>
      <c r="D1685" s="12">
        <v>45623</v>
      </c>
      <c r="E1685" s="13" t="str">
        <f>+HYPERLINK("http://trademark.i-assist.jp/data/china/image_1913th/80629252.pdf","80629252")</f>
        <v>80629252</v>
      </c>
      <c r="F1685" s="11" t="s">
        <v>4275</v>
      </c>
      <c r="G1685" s="11" t="s">
        <v>1061</v>
      </c>
      <c r="H1685" s="11" t="s">
        <v>4115</v>
      </c>
      <c r="I1685" s="12">
        <v>45533</v>
      </c>
    </row>
    <row r="1686" spans="1:9" x14ac:dyDescent="0.15">
      <c r="A1686" s="9">
        <v>1685</v>
      </c>
      <c r="B1686" s="10" t="s">
        <v>9</v>
      </c>
      <c r="C1686" s="11" t="s">
        <v>10</v>
      </c>
      <c r="D1686" s="12">
        <v>45623</v>
      </c>
      <c r="E1686" s="13" t="str">
        <f>+HYPERLINK("http://trademark.i-assist.jp/data/china/image_1913th/80633482.pdf","80633482")</f>
        <v>80633482</v>
      </c>
      <c r="F1686" s="11" t="s">
        <v>1062</v>
      </c>
      <c r="G1686" s="11" t="s">
        <v>1388</v>
      </c>
      <c r="H1686" s="11" t="s">
        <v>1389</v>
      </c>
      <c r="I1686" s="12">
        <v>45533</v>
      </c>
    </row>
    <row r="1687" spans="1:9" x14ac:dyDescent="0.15">
      <c r="A1687" s="9">
        <v>1686</v>
      </c>
      <c r="B1687" s="10" t="s">
        <v>9</v>
      </c>
      <c r="C1687" s="11" t="s">
        <v>10</v>
      </c>
      <c r="D1687" s="12">
        <v>45623</v>
      </c>
      <c r="E1687" s="13" t="str">
        <f>+HYPERLINK("http://trademark.i-assist.jp/data/china/image_1913th/80636874.pdf","80636874")</f>
        <v>80636874</v>
      </c>
      <c r="F1687" s="11" t="s">
        <v>4276</v>
      </c>
      <c r="G1687" s="11" t="s">
        <v>4277</v>
      </c>
      <c r="H1687" s="11" t="s">
        <v>4278</v>
      </c>
      <c r="I1687" s="12">
        <v>45533</v>
      </c>
    </row>
    <row r="1688" spans="1:9" x14ac:dyDescent="0.15">
      <c r="A1688" s="9">
        <v>1687</v>
      </c>
      <c r="B1688" s="10" t="s">
        <v>9</v>
      </c>
      <c r="C1688" s="11" t="s">
        <v>10</v>
      </c>
      <c r="D1688" s="12">
        <v>45623</v>
      </c>
      <c r="E1688" s="13" t="str">
        <f>+HYPERLINK("http://trademark.i-assist.jp/data/china/image_1913th/80637528.pdf","80637528")</f>
        <v>80637528</v>
      </c>
      <c r="F1688" s="11" t="s">
        <v>4279</v>
      </c>
      <c r="G1688" s="11" t="s">
        <v>4280</v>
      </c>
      <c r="H1688" s="11" t="s">
        <v>4281</v>
      </c>
      <c r="I1688" s="12">
        <v>45533</v>
      </c>
    </row>
    <row r="1689" spans="1:9" x14ac:dyDescent="0.15">
      <c r="A1689" s="9">
        <v>1688</v>
      </c>
      <c r="B1689" s="10" t="s">
        <v>9</v>
      </c>
      <c r="C1689" s="11" t="s">
        <v>10</v>
      </c>
      <c r="D1689" s="12">
        <v>45623</v>
      </c>
      <c r="E1689" s="13" t="str">
        <f>+HYPERLINK("http://trademark.i-assist.jp/data/china/image_1913th/80641430.pdf","80641430")</f>
        <v>80641430</v>
      </c>
      <c r="F1689" s="11" t="s">
        <v>4282</v>
      </c>
      <c r="G1689" s="11" t="s">
        <v>4283</v>
      </c>
      <c r="H1689" s="11" t="s">
        <v>3965</v>
      </c>
      <c r="I1689" s="12">
        <v>45533</v>
      </c>
    </row>
    <row r="1690" spans="1:9" x14ac:dyDescent="0.15">
      <c r="A1690" s="9">
        <v>1689</v>
      </c>
      <c r="B1690" s="10" t="s">
        <v>9</v>
      </c>
      <c r="C1690" s="11" t="s">
        <v>10</v>
      </c>
      <c r="D1690" s="12">
        <v>45623</v>
      </c>
      <c r="E1690" s="13" t="str">
        <f>+HYPERLINK("http://trademark.i-assist.jp/data/china/image_1913th/80901136.pdf","80901136")</f>
        <v>80901136</v>
      </c>
      <c r="F1690" s="11" t="s">
        <v>4284</v>
      </c>
      <c r="G1690" s="11" t="s">
        <v>4285</v>
      </c>
      <c r="H1690" s="11" t="s">
        <v>1469</v>
      </c>
      <c r="I1690" s="12">
        <v>45548</v>
      </c>
    </row>
    <row r="1691" spans="1:9" x14ac:dyDescent="0.15">
      <c r="A1691" s="9">
        <v>1690</v>
      </c>
      <c r="B1691" s="10" t="s">
        <v>9</v>
      </c>
      <c r="C1691" s="11" t="s">
        <v>10</v>
      </c>
      <c r="D1691" s="12">
        <v>45623</v>
      </c>
      <c r="E1691" s="13" t="str">
        <f>+HYPERLINK("http://trademark.i-assist.jp/data/china/image_1913th/80910715.pdf","80910715")</f>
        <v>80910715</v>
      </c>
      <c r="F1691" s="11" t="s">
        <v>4286</v>
      </c>
      <c r="G1691" s="11" t="s">
        <v>2997</v>
      </c>
      <c r="H1691" s="11" t="s">
        <v>2998</v>
      </c>
      <c r="I1691" s="12">
        <v>45548</v>
      </c>
    </row>
    <row r="1692" spans="1:9" x14ac:dyDescent="0.15">
      <c r="A1692" s="9">
        <v>1691</v>
      </c>
      <c r="B1692" s="10" t="s">
        <v>9</v>
      </c>
      <c r="C1692" s="11" t="s">
        <v>10</v>
      </c>
      <c r="D1692" s="12">
        <v>45623</v>
      </c>
      <c r="E1692" s="13" t="str">
        <f>+HYPERLINK("http://trademark.i-assist.jp/data/china/image_1913th/80916925.pdf","80916925")</f>
        <v>80916925</v>
      </c>
      <c r="F1692" s="11" t="s">
        <v>1063</v>
      </c>
      <c r="G1692" s="11" t="s">
        <v>4287</v>
      </c>
      <c r="H1692" s="11" t="s">
        <v>4288</v>
      </c>
      <c r="I1692" s="12">
        <v>45548</v>
      </c>
    </row>
    <row r="1693" spans="1:9" x14ac:dyDescent="0.15">
      <c r="A1693" s="9">
        <v>1692</v>
      </c>
      <c r="B1693" s="10" t="s">
        <v>9</v>
      </c>
      <c r="C1693" s="11" t="s">
        <v>10</v>
      </c>
      <c r="D1693" s="12">
        <v>45623</v>
      </c>
      <c r="E1693" s="13" t="str">
        <f>+HYPERLINK("http://trademark.i-assist.jp/data/china/image_1913th/80979448.pdf","80979448")</f>
        <v>80979448</v>
      </c>
      <c r="F1693" s="11" t="s">
        <v>4289</v>
      </c>
      <c r="G1693" s="11" t="s">
        <v>4290</v>
      </c>
      <c r="H1693" s="11" t="s">
        <v>4291</v>
      </c>
      <c r="I1693" s="12">
        <v>45553</v>
      </c>
    </row>
    <row r="1694" spans="1:9" x14ac:dyDescent="0.15">
      <c r="A1694" s="9">
        <v>1693</v>
      </c>
      <c r="B1694" s="10" t="s">
        <v>9</v>
      </c>
      <c r="C1694" s="11" t="s">
        <v>10</v>
      </c>
      <c r="D1694" s="12">
        <v>45623</v>
      </c>
      <c r="E1694" s="13" t="str">
        <f>+HYPERLINK("http://trademark.i-assist.jp/data/china/image_1913th/80733897.pdf","80733897")</f>
        <v>80733897</v>
      </c>
      <c r="F1694" s="11" t="s">
        <v>4292</v>
      </c>
      <c r="G1694" s="11" t="s">
        <v>385</v>
      </c>
      <c r="H1694" s="11" t="s">
        <v>1302</v>
      </c>
      <c r="I1694" s="12">
        <v>45539</v>
      </c>
    </row>
    <row r="1695" spans="1:9" x14ac:dyDescent="0.15">
      <c r="A1695" s="9">
        <v>1694</v>
      </c>
      <c r="B1695" s="10" t="s">
        <v>9</v>
      </c>
      <c r="C1695" s="11" t="s">
        <v>10</v>
      </c>
      <c r="D1695" s="12">
        <v>45623</v>
      </c>
      <c r="E1695" s="13" t="str">
        <f>+HYPERLINK("http://trademark.i-assist.jp/data/china/image_1913th/80734573.pdf","80734573")</f>
        <v>80734573</v>
      </c>
      <c r="F1695" s="11" t="s">
        <v>4293</v>
      </c>
      <c r="G1695" s="11" t="s">
        <v>4294</v>
      </c>
      <c r="H1695" s="11" t="s">
        <v>4295</v>
      </c>
      <c r="I1695" s="12">
        <v>45539</v>
      </c>
    </row>
    <row r="1696" spans="1:9" x14ac:dyDescent="0.15">
      <c r="A1696" s="9">
        <v>1695</v>
      </c>
      <c r="B1696" s="10" t="s">
        <v>9</v>
      </c>
      <c r="C1696" s="11" t="s">
        <v>10</v>
      </c>
      <c r="D1696" s="12">
        <v>45623</v>
      </c>
      <c r="E1696" s="13" t="str">
        <f>+HYPERLINK("http://trademark.i-assist.jp/data/china/image_1913th/80735178.pdf","80735178")</f>
        <v>80735178</v>
      </c>
      <c r="F1696" s="11" t="s">
        <v>1064</v>
      </c>
      <c r="G1696" s="11" t="s">
        <v>4296</v>
      </c>
      <c r="H1696" s="11" t="s">
        <v>4297</v>
      </c>
      <c r="I1696" s="12">
        <v>45539</v>
      </c>
    </row>
    <row r="1697" spans="1:9" x14ac:dyDescent="0.15">
      <c r="A1697" s="9">
        <v>1696</v>
      </c>
      <c r="B1697" s="10" t="s">
        <v>9</v>
      </c>
      <c r="C1697" s="11" t="s">
        <v>10</v>
      </c>
      <c r="D1697" s="12">
        <v>45623</v>
      </c>
      <c r="E1697" s="13" t="str">
        <f>+HYPERLINK("http://trademark.i-assist.jp/data/china/image_1913th/80735609.pdf","80735609")</f>
        <v>80735609</v>
      </c>
      <c r="F1697" s="11" t="s">
        <v>1065</v>
      </c>
      <c r="G1697" s="11" t="s">
        <v>4298</v>
      </c>
      <c r="H1697" s="11" t="s">
        <v>4299</v>
      </c>
      <c r="I1697" s="12">
        <v>45539</v>
      </c>
    </row>
    <row r="1698" spans="1:9" x14ac:dyDescent="0.15">
      <c r="A1698" s="9">
        <v>1697</v>
      </c>
      <c r="B1698" s="10" t="s">
        <v>9</v>
      </c>
      <c r="C1698" s="11" t="s">
        <v>10</v>
      </c>
      <c r="D1698" s="12">
        <v>45623</v>
      </c>
      <c r="E1698" s="13" t="str">
        <f>+HYPERLINK("http://trademark.i-assist.jp/data/china/image_1913th/80735770.pdf","80735770")</f>
        <v>80735770</v>
      </c>
      <c r="F1698" s="11" t="s">
        <v>4300</v>
      </c>
      <c r="G1698" s="11" t="s">
        <v>4301</v>
      </c>
      <c r="H1698" s="11" t="s">
        <v>1430</v>
      </c>
      <c r="I1698" s="12">
        <v>45539</v>
      </c>
    </row>
    <row r="1699" spans="1:9" x14ac:dyDescent="0.15">
      <c r="A1699" s="9">
        <v>1698</v>
      </c>
      <c r="B1699" s="10" t="s">
        <v>9</v>
      </c>
      <c r="C1699" s="11" t="s">
        <v>10</v>
      </c>
      <c r="D1699" s="12">
        <v>45623</v>
      </c>
      <c r="E1699" s="13" t="str">
        <f>+HYPERLINK("http://trademark.i-assist.jp/data/china/image_1913th/80737115.pdf","80737115")</f>
        <v>80737115</v>
      </c>
      <c r="F1699" s="11" t="s">
        <v>1066</v>
      </c>
      <c r="G1699" s="11" t="s">
        <v>1644</v>
      </c>
      <c r="H1699" s="11" t="s">
        <v>1645</v>
      </c>
      <c r="I1699" s="12">
        <v>45539</v>
      </c>
    </row>
    <row r="1700" spans="1:9" x14ac:dyDescent="0.15">
      <c r="A1700" s="9">
        <v>1699</v>
      </c>
      <c r="B1700" s="10" t="s">
        <v>9</v>
      </c>
      <c r="C1700" s="11" t="s">
        <v>10</v>
      </c>
      <c r="D1700" s="12">
        <v>45623</v>
      </c>
      <c r="E1700" s="13" t="str">
        <f>+HYPERLINK("http://trademark.i-assist.jp/data/china/image_1913th/80743505.pdf","80743505")</f>
        <v>80743505</v>
      </c>
      <c r="F1700" s="11" t="s">
        <v>1067</v>
      </c>
      <c r="G1700" s="11" t="s">
        <v>4302</v>
      </c>
      <c r="H1700" s="11" t="s">
        <v>4303</v>
      </c>
      <c r="I1700" s="12">
        <v>45539</v>
      </c>
    </row>
    <row r="1701" spans="1:9" x14ac:dyDescent="0.15">
      <c r="A1701" s="9">
        <v>1700</v>
      </c>
      <c r="B1701" s="10" t="s">
        <v>9</v>
      </c>
      <c r="C1701" s="11" t="s">
        <v>10</v>
      </c>
      <c r="D1701" s="12">
        <v>45623</v>
      </c>
      <c r="E1701" s="13" t="str">
        <f>+HYPERLINK("http://trademark.i-assist.jp/data/china/image_1913th/80745784.pdf","80745784")</f>
        <v>80745784</v>
      </c>
      <c r="F1701" s="11" t="s">
        <v>4304</v>
      </c>
      <c r="G1701" s="11" t="s">
        <v>4305</v>
      </c>
      <c r="H1701" s="11" t="s">
        <v>4306</v>
      </c>
      <c r="I1701" s="12">
        <v>45539</v>
      </c>
    </row>
    <row r="1702" spans="1:9" x14ac:dyDescent="0.15">
      <c r="A1702" s="9">
        <v>1701</v>
      </c>
      <c r="B1702" s="10" t="s">
        <v>9</v>
      </c>
      <c r="C1702" s="11" t="s">
        <v>10</v>
      </c>
      <c r="D1702" s="12">
        <v>45623</v>
      </c>
      <c r="E1702" s="13" t="str">
        <f>+HYPERLINK("http://trademark.i-assist.jp/data/china/image_1913th/80747075.pdf","80747075")</f>
        <v>80747075</v>
      </c>
      <c r="F1702" s="11" t="s">
        <v>1068</v>
      </c>
      <c r="G1702" s="11" t="s">
        <v>184</v>
      </c>
      <c r="H1702" s="11" t="s">
        <v>1382</v>
      </c>
      <c r="I1702" s="12">
        <v>45539</v>
      </c>
    </row>
    <row r="1703" spans="1:9" x14ac:dyDescent="0.15">
      <c r="A1703" s="9">
        <v>1702</v>
      </c>
      <c r="B1703" s="10" t="s">
        <v>9</v>
      </c>
      <c r="C1703" s="11" t="s">
        <v>10</v>
      </c>
      <c r="D1703" s="12">
        <v>45623</v>
      </c>
      <c r="E1703" s="13" t="str">
        <f>+HYPERLINK("http://trademark.i-assist.jp/data/china/image_1913th/80748898.pdf","80748898")</f>
        <v>80748898</v>
      </c>
      <c r="F1703" s="11" t="s">
        <v>1069</v>
      </c>
      <c r="G1703" s="11" t="s">
        <v>4307</v>
      </c>
      <c r="H1703" s="11" t="s">
        <v>4308</v>
      </c>
      <c r="I1703" s="12">
        <v>45539</v>
      </c>
    </row>
    <row r="1704" spans="1:9" x14ac:dyDescent="0.15">
      <c r="A1704" s="9">
        <v>1703</v>
      </c>
      <c r="B1704" s="10" t="s">
        <v>9</v>
      </c>
      <c r="C1704" s="11" t="s">
        <v>10</v>
      </c>
      <c r="D1704" s="12">
        <v>45623</v>
      </c>
      <c r="E1704" s="13" t="str">
        <f>+HYPERLINK("http://trademark.i-assist.jp/data/china/image_1913th/79752677.pdf","79752677")</f>
        <v>79752677</v>
      </c>
      <c r="F1704" s="11" t="s">
        <v>1070</v>
      </c>
      <c r="G1704" s="11" t="s">
        <v>1070</v>
      </c>
      <c r="H1704" s="11" t="s">
        <v>2982</v>
      </c>
      <c r="I1704" s="12">
        <v>45485</v>
      </c>
    </row>
    <row r="1705" spans="1:9" x14ac:dyDescent="0.15">
      <c r="A1705" s="9">
        <v>1704</v>
      </c>
      <c r="B1705" s="10" t="s">
        <v>9</v>
      </c>
      <c r="C1705" s="11" t="s">
        <v>10</v>
      </c>
      <c r="D1705" s="12">
        <v>45623</v>
      </c>
      <c r="E1705" s="13" t="str">
        <f>+HYPERLINK("http://trademark.i-assist.jp/data/china/image_1913th/79841063.pdf","79841063")</f>
        <v>79841063</v>
      </c>
      <c r="F1705" s="11" t="s">
        <v>1335</v>
      </c>
      <c r="G1705" s="11" t="s">
        <v>1071</v>
      </c>
      <c r="H1705" s="11" t="s">
        <v>4309</v>
      </c>
      <c r="I1705" s="12">
        <v>45490</v>
      </c>
    </row>
    <row r="1706" spans="1:9" x14ac:dyDescent="0.15">
      <c r="A1706" s="9">
        <v>1705</v>
      </c>
      <c r="B1706" s="10" t="s">
        <v>9</v>
      </c>
      <c r="C1706" s="11" t="s">
        <v>10</v>
      </c>
      <c r="D1706" s="12">
        <v>45623</v>
      </c>
      <c r="E1706" s="13" t="str">
        <f>+HYPERLINK("http://trademark.i-assist.jp/data/china/image_1913th/79892094.pdf","79892094")</f>
        <v>79892094</v>
      </c>
      <c r="F1706" s="11" t="s">
        <v>1072</v>
      </c>
      <c r="G1706" s="11" t="s">
        <v>4310</v>
      </c>
      <c r="H1706" s="11" t="s">
        <v>4311</v>
      </c>
      <c r="I1706" s="12">
        <v>45492</v>
      </c>
    </row>
    <row r="1707" spans="1:9" x14ac:dyDescent="0.15">
      <c r="A1707" s="9">
        <v>1706</v>
      </c>
      <c r="B1707" s="10" t="s">
        <v>9</v>
      </c>
      <c r="C1707" s="11" t="s">
        <v>10</v>
      </c>
      <c r="D1707" s="12">
        <v>45623</v>
      </c>
      <c r="E1707" s="13" t="str">
        <f>+HYPERLINK("http://trademark.i-assist.jp/data/china/image_1913th/76602886.pdf","76602886")</f>
        <v>76602886</v>
      </c>
      <c r="F1707" s="11" t="s">
        <v>4312</v>
      </c>
      <c r="G1707" s="11" t="s">
        <v>4313</v>
      </c>
      <c r="H1707" s="11" t="s">
        <v>4314</v>
      </c>
      <c r="I1707" s="12">
        <v>45316</v>
      </c>
    </row>
    <row r="1708" spans="1:9" x14ac:dyDescent="0.15">
      <c r="A1708" s="9">
        <v>1707</v>
      </c>
      <c r="B1708" s="10" t="s">
        <v>9</v>
      </c>
      <c r="C1708" s="11" t="s">
        <v>10</v>
      </c>
      <c r="D1708" s="12">
        <v>45623</v>
      </c>
      <c r="E1708" s="13" t="str">
        <f>+HYPERLINK("http://trademark.i-assist.jp/data/china/image_1913th/80554854.pdf","80554854")</f>
        <v>80554854</v>
      </c>
      <c r="F1708" s="11" t="s">
        <v>4315</v>
      </c>
      <c r="G1708" s="11" t="s">
        <v>4316</v>
      </c>
      <c r="H1708" s="11" t="s">
        <v>1382</v>
      </c>
      <c r="I1708" s="12">
        <v>45530</v>
      </c>
    </row>
    <row r="1709" spans="1:9" x14ac:dyDescent="0.15">
      <c r="A1709" s="9">
        <v>1708</v>
      </c>
      <c r="B1709" s="10" t="s">
        <v>9</v>
      </c>
      <c r="C1709" s="11" t="s">
        <v>10</v>
      </c>
      <c r="D1709" s="12">
        <v>45623</v>
      </c>
      <c r="E1709" s="13" t="str">
        <f>+HYPERLINK("http://trademark.i-assist.jp/data/china/image_1913th/80562948.pdf","80562948")</f>
        <v>80562948</v>
      </c>
      <c r="F1709" s="11" t="s">
        <v>1073</v>
      </c>
      <c r="G1709" s="11" t="s">
        <v>4317</v>
      </c>
      <c r="H1709" s="11" t="s">
        <v>4318</v>
      </c>
      <c r="I1709" s="12">
        <v>45530</v>
      </c>
    </row>
    <row r="1710" spans="1:9" x14ac:dyDescent="0.15">
      <c r="A1710" s="9">
        <v>1709</v>
      </c>
      <c r="B1710" s="10" t="s">
        <v>9</v>
      </c>
      <c r="C1710" s="11" t="s">
        <v>10</v>
      </c>
      <c r="D1710" s="12">
        <v>45623</v>
      </c>
      <c r="E1710" s="13" t="str">
        <f>+HYPERLINK("http://trademark.i-assist.jp/data/china/image_1913th/80565734.pdf","80565734")</f>
        <v>80565734</v>
      </c>
      <c r="F1710" s="11" t="s">
        <v>4319</v>
      </c>
      <c r="G1710" s="11" t="s">
        <v>3352</v>
      </c>
      <c r="H1710" s="11" t="s">
        <v>3353</v>
      </c>
      <c r="I1710" s="12">
        <v>45530</v>
      </c>
    </row>
    <row r="1711" spans="1:9" x14ac:dyDescent="0.15">
      <c r="A1711" s="9">
        <v>1710</v>
      </c>
      <c r="B1711" s="10" t="s">
        <v>9</v>
      </c>
      <c r="C1711" s="11" t="s">
        <v>10</v>
      </c>
      <c r="D1711" s="12">
        <v>45623</v>
      </c>
      <c r="E1711" s="13" t="str">
        <f>+HYPERLINK("http://trademark.i-assist.jp/data/china/image_1913th/80566394.pdf","80566394")</f>
        <v>80566394</v>
      </c>
      <c r="F1711" s="11" t="s">
        <v>4320</v>
      </c>
      <c r="G1711" s="11" t="s">
        <v>4321</v>
      </c>
      <c r="H1711" s="11" t="s">
        <v>4322</v>
      </c>
      <c r="I1711" s="12">
        <v>45530</v>
      </c>
    </row>
    <row r="1712" spans="1:9" x14ac:dyDescent="0.15">
      <c r="A1712" s="9">
        <v>1711</v>
      </c>
      <c r="B1712" s="10" t="s">
        <v>9</v>
      </c>
      <c r="C1712" s="11" t="s">
        <v>10</v>
      </c>
      <c r="D1712" s="12">
        <v>45623</v>
      </c>
      <c r="E1712" s="13" t="str">
        <f>+HYPERLINK("http://trademark.i-assist.jp/data/china/image_1913th/80577602.pdf","80577602")</f>
        <v>80577602</v>
      </c>
      <c r="F1712" s="11" t="s">
        <v>1074</v>
      </c>
      <c r="G1712" s="11" t="s">
        <v>4323</v>
      </c>
      <c r="H1712" s="11" t="s">
        <v>4324</v>
      </c>
      <c r="I1712" s="12">
        <v>45530</v>
      </c>
    </row>
    <row r="1713" spans="1:9" x14ac:dyDescent="0.15">
      <c r="A1713" s="9">
        <v>1712</v>
      </c>
      <c r="B1713" s="10" t="s">
        <v>9</v>
      </c>
      <c r="C1713" s="11" t="s">
        <v>10</v>
      </c>
      <c r="D1713" s="12">
        <v>45623</v>
      </c>
      <c r="E1713" s="13" t="str">
        <f>+HYPERLINK("http://trademark.i-assist.jp/data/china/image_1913th/80583909.pdf","80583909")</f>
        <v>80583909</v>
      </c>
      <c r="F1713" s="11" t="s">
        <v>1076</v>
      </c>
      <c r="G1713" s="11" t="s">
        <v>1075</v>
      </c>
      <c r="H1713" s="11" t="s">
        <v>1302</v>
      </c>
      <c r="I1713" s="12">
        <v>45531</v>
      </c>
    </row>
    <row r="1714" spans="1:9" x14ac:dyDescent="0.15">
      <c r="A1714" s="9">
        <v>1713</v>
      </c>
      <c r="B1714" s="10" t="s">
        <v>9</v>
      </c>
      <c r="C1714" s="11" t="s">
        <v>10</v>
      </c>
      <c r="D1714" s="12">
        <v>45623</v>
      </c>
      <c r="E1714" s="13" t="str">
        <f>+HYPERLINK("http://trademark.i-assist.jp/data/china/image_1913th/80585619.pdf","80585619")</f>
        <v>80585619</v>
      </c>
      <c r="F1714" s="11" t="s">
        <v>1077</v>
      </c>
      <c r="G1714" s="11" t="s">
        <v>4325</v>
      </c>
      <c r="H1714" s="11" t="s">
        <v>4326</v>
      </c>
      <c r="I1714" s="12">
        <v>45531</v>
      </c>
    </row>
    <row r="1715" spans="1:9" x14ac:dyDescent="0.15">
      <c r="A1715" s="9">
        <v>1714</v>
      </c>
      <c r="B1715" s="10" t="s">
        <v>9</v>
      </c>
      <c r="C1715" s="11" t="s">
        <v>10</v>
      </c>
      <c r="D1715" s="12">
        <v>45623</v>
      </c>
      <c r="E1715" s="13" t="str">
        <f>+HYPERLINK("http://trademark.i-assist.jp/data/china/image_1913th/80586211.pdf","80586211")</f>
        <v>80586211</v>
      </c>
      <c r="F1715" s="11" t="s">
        <v>1078</v>
      </c>
      <c r="G1715" s="11" t="s">
        <v>4327</v>
      </c>
      <c r="H1715" s="11" t="s">
        <v>4328</v>
      </c>
      <c r="I1715" s="12">
        <v>45531</v>
      </c>
    </row>
    <row r="1716" spans="1:9" x14ac:dyDescent="0.15">
      <c r="A1716" s="9">
        <v>1715</v>
      </c>
      <c r="B1716" s="10" t="s">
        <v>9</v>
      </c>
      <c r="C1716" s="11" t="s">
        <v>10</v>
      </c>
      <c r="D1716" s="12">
        <v>45623</v>
      </c>
      <c r="E1716" s="13" t="str">
        <f>+HYPERLINK("http://trademark.i-assist.jp/data/china/image_1913th/80595503.pdf","80595503")</f>
        <v>80595503</v>
      </c>
      <c r="F1716" s="11" t="s">
        <v>4329</v>
      </c>
      <c r="G1716" s="11" t="s">
        <v>1484</v>
      </c>
      <c r="H1716" s="11" t="s">
        <v>1485</v>
      </c>
      <c r="I1716" s="12">
        <v>45531</v>
      </c>
    </row>
    <row r="1717" spans="1:9" x14ac:dyDescent="0.15">
      <c r="A1717" s="9">
        <v>1716</v>
      </c>
      <c r="B1717" s="10" t="s">
        <v>9</v>
      </c>
      <c r="C1717" s="11" t="s">
        <v>10</v>
      </c>
      <c r="D1717" s="12">
        <v>45623</v>
      </c>
      <c r="E1717" s="13" t="str">
        <f>+HYPERLINK("http://trademark.i-assist.jp/data/china/image_1913th/79513978.pdf","79513978")</f>
        <v>79513978</v>
      </c>
      <c r="F1717" s="11" t="s">
        <v>1079</v>
      </c>
      <c r="G1717" s="11" t="s">
        <v>1338</v>
      </c>
      <c r="H1717" s="11" t="s">
        <v>1700</v>
      </c>
      <c r="I1717" s="12">
        <v>45471</v>
      </c>
    </row>
    <row r="1718" spans="1:9" x14ac:dyDescent="0.15">
      <c r="A1718" s="9">
        <v>1717</v>
      </c>
      <c r="B1718" s="10" t="s">
        <v>9</v>
      </c>
      <c r="C1718" s="11" t="s">
        <v>10</v>
      </c>
      <c r="D1718" s="12">
        <v>45623</v>
      </c>
      <c r="E1718" s="13" t="str">
        <f>+HYPERLINK("http://trademark.i-assist.jp/data/china/image_1913th/80803760.pdf","80803760")</f>
        <v>80803760</v>
      </c>
      <c r="F1718" s="11" t="s">
        <v>1080</v>
      </c>
      <c r="G1718" s="11" t="s">
        <v>4330</v>
      </c>
      <c r="H1718" s="11" t="s">
        <v>4331</v>
      </c>
      <c r="I1718" s="12">
        <v>45542</v>
      </c>
    </row>
    <row r="1719" spans="1:9" x14ac:dyDescent="0.15">
      <c r="A1719" s="9">
        <v>1718</v>
      </c>
      <c r="B1719" s="10" t="s">
        <v>9</v>
      </c>
      <c r="C1719" s="11" t="s">
        <v>10</v>
      </c>
      <c r="D1719" s="12">
        <v>45623</v>
      </c>
      <c r="E1719" s="13" t="str">
        <f>+HYPERLINK("http://trademark.i-assist.jp/data/china/image_1913th/80806325.pdf","80806325")</f>
        <v>80806325</v>
      </c>
      <c r="F1719" s="11" t="s">
        <v>1081</v>
      </c>
      <c r="G1719" s="11" t="s">
        <v>4332</v>
      </c>
      <c r="H1719" s="11" t="s">
        <v>4333</v>
      </c>
      <c r="I1719" s="12">
        <v>45542</v>
      </c>
    </row>
    <row r="1720" spans="1:9" x14ac:dyDescent="0.15">
      <c r="A1720" s="9">
        <v>1719</v>
      </c>
      <c r="B1720" s="10" t="s">
        <v>9</v>
      </c>
      <c r="C1720" s="11" t="s">
        <v>10</v>
      </c>
      <c r="D1720" s="12">
        <v>45623</v>
      </c>
      <c r="E1720" s="13" t="str">
        <f>+HYPERLINK("http://trademark.i-assist.jp/data/china/image_1913th/80814372.pdf","80814372")</f>
        <v>80814372</v>
      </c>
      <c r="F1720" s="11" t="s">
        <v>4334</v>
      </c>
      <c r="G1720" s="11" t="s">
        <v>4335</v>
      </c>
      <c r="H1720" s="11" t="s">
        <v>4336</v>
      </c>
      <c r="I1720" s="12">
        <v>45544</v>
      </c>
    </row>
    <row r="1721" spans="1:9" x14ac:dyDescent="0.15">
      <c r="A1721" s="9">
        <v>1720</v>
      </c>
      <c r="B1721" s="10" t="s">
        <v>9</v>
      </c>
      <c r="C1721" s="11" t="s">
        <v>10</v>
      </c>
      <c r="D1721" s="12">
        <v>45623</v>
      </c>
      <c r="E1721" s="13" t="str">
        <f>+HYPERLINK("http://trademark.i-assist.jp/data/china/image_1913th/80815318.pdf","80815318")</f>
        <v>80815318</v>
      </c>
      <c r="F1721" s="11" t="s">
        <v>4337</v>
      </c>
      <c r="G1721" s="11" t="s">
        <v>4338</v>
      </c>
      <c r="H1721" s="11" t="s">
        <v>4339</v>
      </c>
      <c r="I1721" s="12">
        <v>45544</v>
      </c>
    </row>
    <row r="1722" spans="1:9" x14ac:dyDescent="0.15">
      <c r="A1722" s="9">
        <v>1721</v>
      </c>
      <c r="B1722" s="10" t="s">
        <v>9</v>
      </c>
      <c r="C1722" s="11" t="s">
        <v>10</v>
      </c>
      <c r="D1722" s="12">
        <v>45623</v>
      </c>
      <c r="E1722" s="13" t="str">
        <f>+HYPERLINK("http://trademark.i-assist.jp/data/china/image_1913th/80460894.pdf","80460894")</f>
        <v>80460894</v>
      </c>
      <c r="F1722" s="11" t="s">
        <v>1082</v>
      </c>
      <c r="G1722" s="11" t="s">
        <v>4340</v>
      </c>
      <c r="H1722" s="11" t="s">
        <v>4341</v>
      </c>
      <c r="I1722" s="12">
        <v>45524</v>
      </c>
    </row>
    <row r="1723" spans="1:9" x14ac:dyDescent="0.15">
      <c r="A1723" s="9">
        <v>1722</v>
      </c>
      <c r="B1723" s="10" t="s">
        <v>9</v>
      </c>
      <c r="C1723" s="11" t="s">
        <v>10</v>
      </c>
      <c r="D1723" s="12">
        <v>45623</v>
      </c>
      <c r="E1723" s="13" t="str">
        <f>+HYPERLINK("http://trademark.i-assist.jp/data/china/image_1913th/80475381.pdf","80475381")</f>
        <v>80475381</v>
      </c>
      <c r="F1723" s="11" t="s">
        <v>1083</v>
      </c>
      <c r="G1723" s="11" t="s">
        <v>4342</v>
      </c>
      <c r="H1723" s="11" t="s">
        <v>4343</v>
      </c>
      <c r="I1723" s="12">
        <v>45525</v>
      </c>
    </row>
    <row r="1724" spans="1:9" x14ac:dyDescent="0.15">
      <c r="A1724" s="9">
        <v>1723</v>
      </c>
      <c r="B1724" s="10" t="s">
        <v>9</v>
      </c>
      <c r="C1724" s="11" t="s">
        <v>10</v>
      </c>
      <c r="D1724" s="12">
        <v>45623</v>
      </c>
      <c r="E1724" s="13" t="str">
        <f>+HYPERLINK("http://trademark.i-assist.jp/data/china/image_1913th/80478756.pdf","80478756")</f>
        <v>80478756</v>
      </c>
      <c r="F1724" s="11" t="s">
        <v>4344</v>
      </c>
      <c r="G1724" s="11" t="s">
        <v>4345</v>
      </c>
      <c r="H1724" s="11" t="s">
        <v>3689</v>
      </c>
      <c r="I1724" s="12">
        <v>45525</v>
      </c>
    </row>
    <row r="1725" spans="1:9" x14ac:dyDescent="0.15">
      <c r="A1725" s="9">
        <v>1724</v>
      </c>
      <c r="B1725" s="10" t="s">
        <v>9</v>
      </c>
      <c r="C1725" s="11" t="s">
        <v>10</v>
      </c>
      <c r="D1725" s="12">
        <v>45623</v>
      </c>
      <c r="E1725" s="13" t="str">
        <f>+HYPERLINK("http://trademark.i-assist.jp/data/china/image_1913th/80482666.pdf","80482666")</f>
        <v>80482666</v>
      </c>
      <c r="F1725" s="11" t="s">
        <v>1085</v>
      </c>
      <c r="G1725" s="11" t="s">
        <v>1084</v>
      </c>
      <c r="H1725" s="11" t="s">
        <v>4346</v>
      </c>
      <c r="I1725" s="12">
        <v>45525</v>
      </c>
    </row>
    <row r="1726" spans="1:9" x14ac:dyDescent="0.15">
      <c r="A1726" s="9">
        <v>1725</v>
      </c>
      <c r="B1726" s="10" t="s">
        <v>9</v>
      </c>
      <c r="C1726" s="11" t="s">
        <v>10</v>
      </c>
      <c r="D1726" s="12">
        <v>45623</v>
      </c>
      <c r="E1726" s="13" t="str">
        <f>+HYPERLINK("http://trademark.i-assist.jp/data/china/image_1913th/80485542.pdf","80485542")</f>
        <v>80485542</v>
      </c>
      <c r="F1726" s="11" t="s">
        <v>4347</v>
      </c>
      <c r="G1726" s="11" t="s">
        <v>4348</v>
      </c>
      <c r="H1726" s="11" t="s">
        <v>4349</v>
      </c>
      <c r="I1726" s="12">
        <v>45525</v>
      </c>
    </row>
    <row r="1727" spans="1:9" x14ac:dyDescent="0.15">
      <c r="A1727" s="9">
        <v>1726</v>
      </c>
      <c r="B1727" s="10" t="s">
        <v>9</v>
      </c>
      <c r="C1727" s="11" t="s">
        <v>10</v>
      </c>
      <c r="D1727" s="12">
        <v>45623</v>
      </c>
      <c r="E1727" s="13" t="str">
        <f>+HYPERLINK("http://trademark.i-assist.jp/data/china/image_1913th/80488054.pdf","80488054")</f>
        <v>80488054</v>
      </c>
      <c r="F1727" s="11" t="s">
        <v>1086</v>
      </c>
      <c r="G1727" s="11" t="s">
        <v>4350</v>
      </c>
      <c r="H1727" s="11" t="s">
        <v>4351</v>
      </c>
      <c r="I1727" s="12">
        <v>45525</v>
      </c>
    </row>
    <row r="1728" spans="1:9" x14ac:dyDescent="0.15">
      <c r="A1728" s="9">
        <v>1727</v>
      </c>
      <c r="B1728" s="10" t="s">
        <v>9</v>
      </c>
      <c r="C1728" s="11" t="s">
        <v>10</v>
      </c>
      <c r="D1728" s="12">
        <v>45623</v>
      </c>
      <c r="E1728" s="13" t="str">
        <f>+HYPERLINK("http://trademark.i-assist.jp/data/china/image_1913th/80489903.pdf","80489903")</f>
        <v>80489903</v>
      </c>
      <c r="F1728" s="11" t="s">
        <v>4352</v>
      </c>
      <c r="G1728" s="11" t="s">
        <v>4353</v>
      </c>
      <c r="H1728" s="11" t="s">
        <v>4354</v>
      </c>
      <c r="I1728" s="12">
        <v>45525</v>
      </c>
    </row>
    <row r="1729" spans="1:9" x14ac:dyDescent="0.15">
      <c r="A1729" s="9">
        <v>1728</v>
      </c>
      <c r="B1729" s="10" t="s">
        <v>9</v>
      </c>
      <c r="C1729" s="11" t="s">
        <v>10</v>
      </c>
      <c r="D1729" s="12">
        <v>45623</v>
      </c>
      <c r="E1729" s="13" t="str">
        <f>+HYPERLINK("http://trademark.i-assist.jp/data/china/image_1913th/80502026.pdf","80502026")</f>
        <v>80502026</v>
      </c>
      <c r="F1729" s="11" t="s">
        <v>4355</v>
      </c>
      <c r="G1729" s="11" t="s">
        <v>2313</v>
      </c>
      <c r="H1729" s="11" t="s">
        <v>2314</v>
      </c>
      <c r="I1729" s="12">
        <v>45526</v>
      </c>
    </row>
    <row r="1730" spans="1:9" x14ac:dyDescent="0.15">
      <c r="A1730" s="9">
        <v>1729</v>
      </c>
      <c r="B1730" s="10" t="s">
        <v>9</v>
      </c>
      <c r="C1730" s="11" t="s">
        <v>10</v>
      </c>
      <c r="D1730" s="12">
        <v>45623</v>
      </c>
      <c r="E1730" s="13" t="str">
        <f>+HYPERLINK("http://trademark.i-assist.jp/data/china/image_1913th/80515052.pdf","80515052")</f>
        <v>80515052</v>
      </c>
      <c r="F1730" s="11" t="s">
        <v>1087</v>
      </c>
      <c r="G1730" s="11" t="s">
        <v>999</v>
      </c>
      <c r="H1730" s="11" t="s">
        <v>4356</v>
      </c>
      <c r="I1730" s="12">
        <v>45526</v>
      </c>
    </row>
    <row r="1731" spans="1:9" x14ac:dyDescent="0.15">
      <c r="A1731" s="9">
        <v>1730</v>
      </c>
      <c r="B1731" s="10" t="s">
        <v>9</v>
      </c>
      <c r="C1731" s="11" t="s">
        <v>10</v>
      </c>
      <c r="D1731" s="12">
        <v>45623</v>
      </c>
      <c r="E1731" s="13" t="str">
        <f>+HYPERLINK("http://trademark.i-assist.jp/data/china/image_1913th/80528294.pdf","80528294")</f>
        <v>80528294</v>
      </c>
      <c r="F1731" s="11" t="s">
        <v>1088</v>
      </c>
      <c r="G1731" s="11" t="s">
        <v>4357</v>
      </c>
      <c r="H1731" s="11" t="s">
        <v>4358</v>
      </c>
      <c r="I1731" s="12">
        <v>45527</v>
      </c>
    </row>
    <row r="1732" spans="1:9" x14ac:dyDescent="0.15">
      <c r="A1732" s="9">
        <v>1731</v>
      </c>
      <c r="B1732" s="10" t="s">
        <v>9</v>
      </c>
      <c r="C1732" s="11" t="s">
        <v>10</v>
      </c>
      <c r="D1732" s="12">
        <v>45623</v>
      </c>
      <c r="E1732" s="13" t="str">
        <f>+HYPERLINK("http://trademark.i-assist.jp/data/china/image_1913th/80544012.pdf","80544012")</f>
        <v>80544012</v>
      </c>
      <c r="F1732" s="11" t="s">
        <v>4359</v>
      </c>
      <c r="G1732" s="11" t="s">
        <v>4360</v>
      </c>
      <c r="H1732" s="11" t="s">
        <v>4361</v>
      </c>
      <c r="I1732" s="12">
        <v>45527</v>
      </c>
    </row>
    <row r="1733" spans="1:9" x14ac:dyDescent="0.15">
      <c r="A1733" s="9">
        <v>1732</v>
      </c>
      <c r="B1733" s="10" t="s">
        <v>9</v>
      </c>
      <c r="C1733" s="11" t="s">
        <v>10</v>
      </c>
      <c r="D1733" s="12">
        <v>45623</v>
      </c>
      <c r="E1733" s="13" t="str">
        <f>+HYPERLINK("http://trademark.i-assist.jp/data/china/image_1913th/80684476.pdf","80684476")</f>
        <v>80684476</v>
      </c>
      <c r="F1733" s="11" t="s">
        <v>4362</v>
      </c>
      <c r="G1733" s="11" t="s">
        <v>4363</v>
      </c>
      <c r="H1733" s="11" t="s">
        <v>4364</v>
      </c>
      <c r="I1733" s="12">
        <v>45537</v>
      </c>
    </row>
    <row r="1734" spans="1:9" x14ac:dyDescent="0.15">
      <c r="A1734" s="9">
        <v>1733</v>
      </c>
      <c r="B1734" s="10" t="s">
        <v>9</v>
      </c>
      <c r="C1734" s="11" t="s">
        <v>10</v>
      </c>
      <c r="D1734" s="12">
        <v>45623</v>
      </c>
      <c r="E1734" s="13" t="str">
        <f>+HYPERLINK("http://trademark.i-assist.jp/data/china/image_1913th/80684564.pdf","80684564")</f>
        <v>80684564</v>
      </c>
      <c r="F1734" s="11" t="s">
        <v>1089</v>
      </c>
      <c r="G1734" s="11" t="s">
        <v>1818</v>
      </c>
      <c r="H1734" s="11" t="s">
        <v>1819</v>
      </c>
      <c r="I1734" s="12">
        <v>45537</v>
      </c>
    </row>
    <row r="1735" spans="1:9" x14ac:dyDescent="0.15">
      <c r="A1735" s="9">
        <v>1734</v>
      </c>
      <c r="B1735" s="10" t="s">
        <v>9</v>
      </c>
      <c r="C1735" s="11" t="s">
        <v>10</v>
      </c>
      <c r="D1735" s="12">
        <v>45623</v>
      </c>
      <c r="E1735" s="13" t="str">
        <f>+HYPERLINK("http://trademark.i-assist.jp/data/china/image_1913th/80686053.pdf","80686053")</f>
        <v>80686053</v>
      </c>
      <c r="F1735" s="11" t="s">
        <v>4365</v>
      </c>
      <c r="G1735" s="11" t="s">
        <v>4366</v>
      </c>
      <c r="H1735" s="11" t="s">
        <v>4367</v>
      </c>
      <c r="I1735" s="12">
        <v>45537</v>
      </c>
    </row>
    <row r="1736" spans="1:9" x14ac:dyDescent="0.15">
      <c r="A1736" s="9">
        <v>1735</v>
      </c>
      <c r="B1736" s="10" t="s">
        <v>9</v>
      </c>
      <c r="C1736" s="11" t="s">
        <v>10</v>
      </c>
      <c r="D1736" s="12">
        <v>45623</v>
      </c>
      <c r="E1736" s="13" t="str">
        <f>+HYPERLINK("http://trademark.i-assist.jp/data/china/image_1913th/80687832.pdf","80687832")</f>
        <v>80687832</v>
      </c>
      <c r="F1736" s="11" t="s">
        <v>1090</v>
      </c>
      <c r="G1736" s="11" t="s">
        <v>1400</v>
      </c>
      <c r="H1736" s="11" t="s">
        <v>1401</v>
      </c>
      <c r="I1736" s="12">
        <v>45537</v>
      </c>
    </row>
    <row r="1737" spans="1:9" x14ac:dyDescent="0.15">
      <c r="A1737" s="9">
        <v>1736</v>
      </c>
      <c r="B1737" s="10" t="s">
        <v>9</v>
      </c>
      <c r="C1737" s="11" t="s">
        <v>10</v>
      </c>
      <c r="D1737" s="12">
        <v>45623</v>
      </c>
      <c r="E1737" s="13" t="str">
        <f>+HYPERLINK("http://trademark.i-assist.jp/data/china/image_1913th/80687996.pdf","80687996")</f>
        <v>80687996</v>
      </c>
      <c r="F1737" s="11" t="s">
        <v>1091</v>
      </c>
      <c r="G1737" s="11" t="s">
        <v>4368</v>
      </c>
      <c r="H1737" s="11" t="s">
        <v>1920</v>
      </c>
      <c r="I1737" s="12">
        <v>45537</v>
      </c>
    </row>
    <row r="1738" spans="1:9" x14ac:dyDescent="0.15">
      <c r="A1738" s="9">
        <v>1737</v>
      </c>
      <c r="B1738" s="10" t="s">
        <v>9</v>
      </c>
      <c r="C1738" s="11" t="s">
        <v>10</v>
      </c>
      <c r="D1738" s="12">
        <v>45623</v>
      </c>
      <c r="E1738" s="13" t="str">
        <f>+HYPERLINK("http://trademark.i-assist.jp/data/china/image_1913th/80689285.pdf","80689285")</f>
        <v>80689285</v>
      </c>
      <c r="F1738" s="11" t="s">
        <v>1092</v>
      </c>
      <c r="G1738" s="11" t="s">
        <v>4369</v>
      </c>
      <c r="H1738" s="11" t="s">
        <v>4370</v>
      </c>
      <c r="I1738" s="12">
        <v>45537</v>
      </c>
    </row>
    <row r="1739" spans="1:9" x14ac:dyDescent="0.15">
      <c r="A1739" s="9">
        <v>1738</v>
      </c>
      <c r="B1739" s="10" t="s">
        <v>9</v>
      </c>
      <c r="C1739" s="11" t="s">
        <v>10</v>
      </c>
      <c r="D1739" s="12">
        <v>45623</v>
      </c>
      <c r="E1739" s="13" t="str">
        <f>+HYPERLINK("http://trademark.i-assist.jp/data/china/image_1913th/80690621.pdf","80690621")</f>
        <v>80690621</v>
      </c>
      <c r="F1739" s="11" t="s">
        <v>1335</v>
      </c>
      <c r="G1739" s="11" t="s">
        <v>4371</v>
      </c>
      <c r="H1739" s="11" t="s">
        <v>4372</v>
      </c>
      <c r="I1739" s="12">
        <v>45537</v>
      </c>
    </row>
    <row r="1740" spans="1:9" x14ac:dyDescent="0.15">
      <c r="A1740" s="9">
        <v>1739</v>
      </c>
      <c r="B1740" s="10" t="s">
        <v>9</v>
      </c>
      <c r="C1740" s="11" t="s">
        <v>10</v>
      </c>
      <c r="D1740" s="12">
        <v>45623</v>
      </c>
      <c r="E1740" s="13" t="str">
        <f>+HYPERLINK("http://trademark.i-assist.jp/data/china/image_1913th/80693180.pdf","80693180")</f>
        <v>80693180</v>
      </c>
      <c r="F1740" s="11" t="s">
        <v>4373</v>
      </c>
      <c r="G1740" s="11" t="s">
        <v>4374</v>
      </c>
      <c r="H1740" s="11" t="s">
        <v>4375</v>
      </c>
      <c r="I1740" s="12">
        <v>45537</v>
      </c>
    </row>
    <row r="1741" spans="1:9" x14ac:dyDescent="0.15">
      <c r="A1741" s="9">
        <v>1740</v>
      </c>
      <c r="B1741" s="10" t="s">
        <v>9</v>
      </c>
      <c r="C1741" s="11" t="s">
        <v>10</v>
      </c>
      <c r="D1741" s="12">
        <v>45623</v>
      </c>
      <c r="E1741" s="13" t="str">
        <f>+HYPERLINK("http://trademark.i-assist.jp/data/china/image_1913th/80694722.pdf","80694722")</f>
        <v>80694722</v>
      </c>
      <c r="F1741" s="11" t="s">
        <v>4376</v>
      </c>
      <c r="G1741" s="11" t="s">
        <v>2288</v>
      </c>
      <c r="H1741" s="11" t="s">
        <v>2289</v>
      </c>
      <c r="I1741" s="12">
        <v>45537</v>
      </c>
    </row>
    <row r="1742" spans="1:9" x14ac:dyDescent="0.15">
      <c r="A1742" s="9">
        <v>1741</v>
      </c>
      <c r="B1742" s="10" t="s">
        <v>9</v>
      </c>
      <c r="C1742" s="11" t="s">
        <v>10</v>
      </c>
      <c r="D1742" s="12">
        <v>45623</v>
      </c>
      <c r="E1742" s="13" t="str">
        <f>+HYPERLINK("http://trademark.i-assist.jp/data/china/image_1913th/80699749.pdf","80699749")</f>
        <v>80699749</v>
      </c>
      <c r="F1742" s="11" t="s">
        <v>4377</v>
      </c>
      <c r="G1742" s="11" t="s">
        <v>2770</v>
      </c>
      <c r="H1742" s="11" t="s">
        <v>2771</v>
      </c>
      <c r="I1742" s="12">
        <v>45537</v>
      </c>
    </row>
    <row r="1743" spans="1:9" x14ac:dyDescent="0.15">
      <c r="A1743" s="9">
        <v>1742</v>
      </c>
      <c r="B1743" s="10" t="s">
        <v>9</v>
      </c>
      <c r="C1743" s="11" t="s">
        <v>10</v>
      </c>
      <c r="D1743" s="12">
        <v>45623</v>
      </c>
      <c r="E1743" s="13" t="str">
        <f>+HYPERLINK("http://trademark.i-assist.jp/data/china/image_1913th/80701300.pdf","80701300")</f>
        <v>80701300</v>
      </c>
      <c r="F1743" s="11" t="s">
        <v>1093</v>
      </c>
      <c r="G1743" s="11" t="s">
        <v>4378</v>
      </c>
      <c r="H1743" s="11" t="s">
        <v>4379</v>
      </c>
      <c r="I1743" s="12">
        <v>45537</v>
      </c>
    </row>
    <row r="1744" spans="1:9" x14ac:dyDescent="0.15">
      <c r="A1744" s="9">
        <v>1743</v>
      </c>
      <c r="B1744" s="10" t="s">
        <v>9</v>
      </c>
      <c r="C1744" s="11" t="s">
        <v>10</v>
      </c>
      <c r="D1744" s="12">
        <v>45623</v>
      </c>
      <c r="E1744" s="13" t="str">
        <f>+HYPERLINK("http://trademark.i-assist.jp/data/china/image_1913th/80010766.pdf","80010766")</f>
        <v>80010766</v>
      </c>
      <c r="F1744" s="11" t="s">
        <v>4380</v>
      </c>
      <c r="G1744" s="11" t="s">
        <v>4381</v>
      </c>
      <c r="H1744" s="11" t="s">
        <v>1306</v>
      </c>
      <c r="I1744" s="12">
        <v>45499</v>
      </c>
    </row>
    <row r="1745" spans="1:9" x14ac:dyDescent="0.15">
      <c r="A1745" s="9">
        <v>1744</v>
      </c>
      <c r="B1745" s="10" t="s">
        <v>9</v>
      </c>
      <c r="C1745" s="11" t="s">
        <v>10</v>
      </c>
      <c r="D1745" s="12">
        <v>45623</v>
      </c>
      <c r="E1745" s="13" t="str">
        <f>+HYPERLINK("http://trademark.i-assist.jp/data/china/image_1913th/80045411.pdf","80045411")</f>
        <v>80045411</v>
      </c>
      <c r="F1745" s="11" t="s">
        <v>1094</v>
      </c>
      <c r="G1745" s="11" t="s">
        <v>4382</v>
      </c>
      <c r="H1745" s="11" t="s">
        <v>4383</v>
      </c>
      <c r="I1745" s="12">
        <v>45502</v>
      </c>
    </row>
    <row r="1746" spans="1:9" x14ac:dyDescent="0.15">
      <c r="A1746" s="9">
        <v>1745</v>
      </c>
      <c r="B1746" s="10" t="s">
        <v>9</v>
      </c>
      <c r="C1746" s="11" t="s">
        <v>10</v>
      </c>
      <c r="D1746" s="12">
        <v>45623</v>
      </c>
      <c r="E1746" s="13" t="str">
        <f>+HYPERLINK("http://trademark.i-assist.jp/data/china/image_1913th/80139127.pdf","80139127")</f>
        <v>80139127</v>
      </c>
      <c r="F1746" s="11" t="s">
        <v>4384</v>
      </c>
      <c r="G1746" s="11" t="s">
        <v>92</v>
      </c>
      <c r="H1746" s="11" t="s">
        <v>1553</v>
      </c>
      <c r="I1746" s="12">
        <v>45505</v>
      </c>
    </row>
    <row r="1747" spans="1:9" x14ac:dyDescent="0.15">
      <c r="A1747" s="9">
        <v>1746</v>
      </c>
      <c r="B1747" s="10" t="s">
        <v>9</v>
      </c>
      <c r="C1747" s="11" t="s">
        <v>10</v>
      </c>
      <c r="D1747" s="12">
        <v>45623</v>
      </c>
      <c r="E1747" s="13" t="str">
        <f>+HYPERLINK("http://trademark.i-assist.jp/data/china/image_1913th/80159904.pdf","80159904")</f>
        <v>80159904</v>
      </c>
      <c r="F1747" s="11" t="s">
        <v>1095</v>
      </c>
      <c r="G1747" s="11" t="s">
        <v>4385</v>
      </c>
      <c r="H1747" s="11" t="s">
        <v>2344</v>
      </c>
      <c r="I1747" s="12">
        <v>45506</v>
      </c>
    </row>
    <row r="1748" spans="1:9" x14ac:dyDescent="0.15">
      <c r="A1748" s="9">
        <v>1747</v>
      </c>
      <c r="B1748" s="10" t="s">
        <v>9</v>
      </c>
      <c r="C1748" s="11" t="s">
        <v>10</v>
      </c>
      <c r="D1748" s="12">
        <v>45623</v>
      </c>
      <c r="E1748" s="13" t="str">
        <f>+HYPERLINK("http://trademark.i-assist.jp/data/china/image_1913th/80173003.pdf","80173003")</f>
        <v>80173003</v>
      </c>
      <c r="F1748" s="11" t="s">
        <v>4386</v>
      </c>
      <c r="G1748" s="11" t="s">
        <v>3182</v>
      </c>
      <c r="H1748" s="11" t="s">
        <v>3183</v>
      </c>
      <c r="I1748" s="12">
        <v>45509</v>
      </c>
    </row>
    <row r="1749" spans="1:9" x14ac:dyDescent="0.15">
      <c r="A1749" s="9">
        <v>1748</v>
      </c>
      <c r="B1749" s="10" t="s">
        <v>9</v>
      </c>
      <c r="C1749" s="11" t="s">
        <v>10</v>
      </c>
      <c r="D1749" s="12">
        <v>45623</v>
      </c>
      <c r="E1749" s="13" t="str">
        <f>+HYPERLINK("http://trademark.i-assist.jp/data/china/image_1913th/80221561.pdf","80221561")</f>
        <v>80221561</v>
      </c>
      <c r="F1749" s="11" t="s">
        <v>1096</v>
      </c>
      <c r="G1749" s="11" t="s">
        <v>4387</v>
      </c>
      <c r="H1749" s="11" t="s">
        <v>4388</v>
      </c>
      <c r="I1749" s="12">
        <v>45511</v>
      </c>
    </row>
    <row r="1750" spans="1:9" x14ac:dyDescent="0.15">
      <c r="A1750" s="9">
        <v>1749</v>
      </c>
      <c r="B1750" s="10" t="s">
        <v>9</v>
      </c>
      <c r="C1750" s="11" t="s">
        <v>10</v>
      </c>
      <c r="D1750" s="12">
        <v>45623</v>
      </c>
      <c r="E1750" s="13" t="str">
        <f>+HYPERLINK("http://trademark.i-assist.jp/data/china/image_1913th/80242707.pdf","80242707")</f>
        <v>80242707</v>
      </c>
      <c r="F1750" s="11" t="s">
        <v>1097</v>
      </c>
      <c r="G1750" s="11" t="s">
        <v>4389</v>
      </c>
      <c r="H1750" s="11" t="s">
        <v>4390</v>
      </c>
      <c r="I1750" s="12">
        <v>45511</v>
      </c>
    </row>
    <row r="1751" spans="1:9" x14ac:dyDescent="0.15">
      <c r="A1751" s="9">
        <v>1750</v>
      </c>
      <c r="B1751" s="10" t="s">
        <v>9</v>
      </c>
      <c r="C1751" s="11" t="s">
        <v>10</v>
      </c>
      <c r="D1751" s="12">
        <v>45623</v>
      </c>
      <c r="E1751" s="13" t="str">
        <f>+HYPERLINK("http://trademark.i-assist.jp/data/china/image_1913th/80260836.pdf","80260836")</f>
        <v>80260836</v>
      </c>
      <c r="F1751" s="11" t="s">
        <v>4391</v>
      </c>
      <c r="G1751" s="11" t="s">
        <v>1098</v>
      </c>
      <c r="H1751" s="11" t="s">
        <v>2049</v>
      </c>
      <c r="I1751" s="12">
        <v>45512</v>
      </c>
    </row>
    <row r="1752" spans="1:9" x14ac:dyDescent="0.15">
      <c r="A1752" s="9">
        <v>1751</v>
      </c>
      <c r="B1752" s="10" t="s">
        <v>9</v>
      </c>
      <c r="C1752" s="11" t="s">
        <v>10</v>
      </c>
      <c r="D1752" s="12">
        <v>45623</v>
      </c>
      <c r="E1752" s="13" t="str">
        <f>+HYPERLINK("http://trademark.i-assist.jp/data/china/image_1913th/80276245.pdf","80276245")</f>
        <v>80276245</v>
      </c>
      <c r="F1752" s="11" t="s">
        <v>4392</v>
      </c>
      <c r="G1752" s="11" t="s">
        <v>1099</v>
      </c>
      <c r="H1752" s="11" t="s">
        <v>4393</v>
      </c>
      <c r="I1752" s="12">
        <v>45513</v>
      </c>
    </row>
    <row r="1753" spans="1:9" x14ac:dyDescent="0.15">
      <c r="A1753" s="9">
        <v>1752</v>
      </c>
      <c r="B1753" s="10" t="s">
        <v>9</v>
      </c>
      <c r="C1753" s="11" t="s">
        <v>10</v>
      </c>
      <c r="D1753" s="12">
        <v>45623</v>
      </c>
      <c r="E1753" s="13" t="str">
        <f>+HYPERLINK("http://trademark.i-assist.jp/data/china/image_1913th/80277186.pdf","80277186")</f>
        <v>80277186</v>
      </c>
      <c r="F1753" s="11" t="s">
        <v>1100</v>
      </c>
      <c r="G1753" s="11" t="s">
        <v>4394</v>
      </c>
      <c r="H1753" s="11" t="s">
        <v>4395</v>
      </c>
      <c r="I1753" s="12">
        <v>45513</v>
      </c>
    </row>
    <row r="1754" spans="1:9" x14ac:dyDescent="0.15">
      <c r="A1754" s="9">
        <v>1753</v>
      </c>
      <c r="B1754" s="10" t="s">
        <v>9</v>
      </c>
      <c r="C1754" s="11" t="s">
        <v>10</v>
      </c>
      <c r="D1754" s="12">
        <v>45623</v>
      </c>
      <c r="E1754" s="13" t="str">
        <f>+HYPERLINK("http://trademark.i-assist.jp/data/china/image_1913th/80290640.pdf","80290640")</f>
        <v>80290640</v>
      </c>
      <c r="F1754" s="11" t="s">
        <v>4396</v>
      </c>
      <c r="G1754" s="11" t="s">
        <v>4397</v>
      </c>
      <c r="H1754" s="11" t="s">
        <v>4398</v>
      </c>
      <c r="I1754" s="12">
        <v>45513</v>
      </c>
    </row>
    <row r="1755" spans="1:9" x14ac:dyDescent="0.15">
      <c r="A1755" s="9">
        <v>1754</v>
      </c>
      <c r="B1755" s="10" t="s">
        <v>9</v>
      </c>
      <c r="C1755" s="11" t="s">
        <v>10</v>
      </c>
      <c r="D1755" s="12">
        <v>45623</v>
      </c>
      <c r="E1755" s="13" t="str">
        <f>+HYPERLINK("http://trademark.i-assist.jp/data/china/image_1913th/80309960.pdf","80309960")</f>
        <v>80309960</v>
      </c>
      <c r="F1755" s="11" t="s">
        <v>4399</v>
      </c>
      <c r="G1755" s="11" t="s">
        <v>4400</v>
      </c>
      <c r="H1755" s="11" t="s">
        <v>4401</v>
      </c>
      <c r="I1755" s="12">
        <v>45516</v>
      </c>
    </row>
    <row r="1756" spans="1:9" x14ac:dyDescent="0.15">
      <c r="A1756" s="9">
        <v>1755</v>
      </c>
      <c r="B1756" s="10" t="s">
        <v>9</v>
      </c>
      <c r="C1756" s="11" t="s">
        <v>10</v>
      </c>
      <c r="D1756" s="12">
        <v>45623</v>
      </c>
      <c r="E1756" s="13" t="str">
        <f>+HYPERLINK("http://trademark.i-assist.jp/data/china/image_1913th/80310041.pdf","80310041")</f>
        <v>80310041</v>
      </c>
      <c r="F1756" s="11" t="s">
        <v>1101</v>
      </c>
      <c r="G1756" s="11" t="s">
        <v>1730</v>
      </c>
      <c r="H1756" s="11" t="s">
        <v>1731</v>
      </c>
      <c r="I1756" s="12">
        <v>45516</v>
      </c>
    </row>
    <row r="1757" spans="1:9" x14ac:dyDescent="0.15">
      <c r="A1757" s="9">
        <v>1756</v>
      </c>
      <c r="B1757" s="10" t="s">
        <v>9</v>
      </c>
      <c r="C1757" s="11" t="s">
        <v>10</v>
      </c>
      <c r="D1757" s="12">
        <v>45623</v>
      </c>
      <c r="E1757" s="13" t="str">
        <f>+HYPERLINK("http://trademark.i-assist.jp/data/china/image_1913th/80312401.pdf","80312401")</f>
        <v>80312401</v>
      </c>
      <c r="F1757" s="11" t="s">
        <v>4402</v>
      </c>
      <c r="G1757" s="11" t="s">
        <v>4403</v>
      </c>
      <c r="H1757" s="11" t="s">
        <v>4404</v>
      </c>
      <c r="I1757" s="12">
        <v>45516</v>
      </c>
    </row>
    <row r="1758" spans="1:9" x14ac:dyDescent="0.15">
      <c r="A1758" s="9">
        <v>1757</v>
      </c>
      <c r="B1758" s="10" t="s">
        <v>9</v>
      </c>
      <c r="C1758" s="11" t="s">
        <v>10</v>
      </c>
      <c r="D1758" s="12">
        <v>45623</v>
      </c>
      <c r="E1758" s="13" t="str">
        <f>+HYPERLINK("http://trademark.i-assist.jp/data/china/image_1913th/80329176.pdf","80329176")</f>
        <v>80329176</v>
      </c>
      <c r="F1758" s="11" t="s">
        <v>1102</v>
      </c>
      <c r="G1758" s="11" t="s">
        <v>4405</v>
      </c>
      <c r="H1758" s="11" t="s">
        <v>4406</v>
      </c>
      <c r="I1758" s="12">
        <v>45517</v>
      </c>
    </row>
    <row r="1759" spans="1:9" x14ac:dyDescent="0.15">
      <c r="A1759" s="9">
        <v>1758</v>
      </c>
      <c r="B1759" s="10" t="s">
        <v>9</v>
      </c>
      <c r="C1759" s="11" t="s">
        <v>10</v>
      </c>
      <c r="D1759" s="12">
        <v>45623</v>
      </c>
      <c r="E1759" s="13" t="str">
        <f>+HYPERLINK("http://trademark.i-assist.jp/data/china/image_1913th/80828144.pdf","80828144")</f>
        <v>80828144</v>
      </c>
      <c r="F1759" s="11" t="s">
        <v>1103</v>
      </c>
      <c r="G1759" s="11" t="s">
        <v>2687</v>
      </c>
      <c r="H1759" s="11" t="s">
        <v>2415</v>
      </c>
      <c r="I1759" s="12">
        <v>45544</v>
      </c>
    </row>
    <row r="1760" spans="1:9" x14ac:dyDescent="0.15">
      <c r="A1760" s="9">
        <v>1759</v>
      </c>
      <c r="B1760" s="10" t="s">
        <v>9</v>
      </c>
      <c r="C1760" s="11" t="s">
        <v>10</v>
      </c>
      <c r="D1760" s="12">
        <v>45623</v>
      </c>
      <c r="E1760" s="13" t="str">
        <f>+HYPERLINK("http://trademark.i-assist.jp/data/china/image_1913th/80828223.pdf","80828223")</f>
        <v>80828223</v>
      </c>
      <c r="F1760" s="11" t="s">
        <v>1104</v>
      </c>
      <c r="G1760" s="11" t="s">
        <v>4407</v>
      </c>
      <c r="H1760" s="11" t="s">
        <v>4408</v>
      </c>
      <c r="I1760" s="12">
        <v>45544</v>
      </c>
    </row>
    <row r="1761" spans="1:9" x14ac:dyDescent="0.15">
      <c r="A1761" s="9">
        <v>1760</v>
      </c>
      <c r="B1761" s="10" t="s">
        <v>9</v>
      </c>
      <c r="C1761" s="11" t="s">
        <v>10</v>
      </c>
      <c r="D1761" s="12">
        <v>45623</v>
      </c>
      <c r="E1761" s="13" t="str">
        <f>+HYPERLINK("http://trademark.i-assist.jp/data/china/image_1913th/80831249.pdf","80831249")</f>
        <v>80831249</v>
      </c>
      <c r="F1761" s="11" t="s">
        <v>1105</v>
      </c>
      <c r="G1761" s="11" t="s">
        <v>4409</v>
      </c>
      <c r="H1761" s="11" t="s">
        <v>3965</v>
      </c>
      <c r="I1761" s="12">
        <v>45544</v>
      </c>
    </row>
    <row r="1762" spans="1:9" x14ac:dyDescent="0.15">
      <c r="A1762" s="9">
        <v>1761</v>
      </c>
      <c r="B1762" s="10" t="s">
        <v>9</v>
      </c>
      <c r="C1762" s="11" t="s">
        <v>10</v>
      </c>
      <c r="D1762" s="12">
        <v>45623</v>
      </c>
      <c r="E1762" s="13" t="str">
        <f>+HYPERLINK("http://trademark.i-assist.jp/data/china/image_1913th/80838724.pdf","80838724")</f>
        <v>80838724</v>
      </c>
      <c r="F1762" s="11" t="s">
        <v>4410</v>
      </c>
      <c r="G1762" s="11" t="s">
        <v>4411</v>
      </c>
      <c r="H1762" s="11" t="s">
        <v>4372</v>
      </c>
      <c r="I1762" s="12">
        <v>45545</v>
      </c>
    </row>
    <row r="1763" spans="1:9" x14ac:dyDescent="0.15">
      <c r="A1763" s="9">
        <v>1762</v>
      </c>
      <c r="B1763" s="10" t="s">
        <v>9</v>
      </c>
      <c r="C1763" s="11" t="s">
        <v>10</v>
      </c>
      <c r="D1763" s="12">
        <v>45623</v>
      </c>
      <c r="E1763" s="13" t="str">
        <f>+HYPERLINK("http://trademark.i-assist.jp/data/china/image_1913th/80852826.pdf","80852826")</f>
        <v>80852826</v>
      </c>
      <c r="F1763" s="11" t="s">
        <v>1107</v>
      </c>
      <c r="G1763" s="11" t="s">
        <v>1106</v>
      </c>
      <c r="H1763" s="11" t="s">
        <v>4412</v>
      </c>
      <c r="I1763" s="12">
        <v>45545</v>
      </c>
    </row>
    <row r="1764" spans="1:9" x14ac:dyDescent="0.15">
      <c r="A1764" s="9">
        <v>1763</v>
      </c>
      <c r="B1764" s="10" t="s">
        <v>9</v>
      </c>
      <c r="C1764" s="11" t="s">
        <v>10</v>
      </c>
      <c r="D1764" s="12">
        <v>45623</v>
      </c>
      <c r="E1764" s="13" t="str">
        <f>+HYPERLINK("http://trademark.i-assist.jp/data/china/image_1913th/80855837.pdf","80855837")</f>
        <v>80855837</v>
      </c>
      <c r="F1764" s="11" t="s">
        <v>4413</v>
      </c>
      <c r="G1764" s="11" t="s">
        <v>1108</v>
      </c>
      <c r="H1764" s="11" t="s">
        <v>1302</v>
      </c>
      <c r="I1764" s="12">
        <v>45545</v>
      </c>
    </row>
    <row r="1765" spans="1:9" x14ac:dyDescent="0.15">
      <c r="A1765" s="9">
        <v>1764</v>
      </c>
      <c r="B1765" s="10" t="s">
        <v>9</v>
      </c>
      <c r="C1765" s="11" t="s">
        <v>10</v>
      </c>
      <c r="D1765" s="12">
        <v>45623</v>
      </c>
      <c r="E1765" s="13" t="str">
        <f>+HYPERLINK("http://trademark.i-assist.jp/data/china/image_1913th/80875678.pdf","80875678")</f>
        <v>80875678</v>
      </c>
      <c r="F1765" s="11" t="s">
        <v>1109</v>
      </c>
      <c r="G1765" s="11" t="s">
        <v>4414</v>
      </c>
      <c r="H1765" s="11" t="s">
        <v>4415</v>
      </c>
      <c r="I1765" s="12">
        <v>45546</v>
      </c>
    </row>
    <row r="1766" spans="1:9" x14ac:dyDescent="0.15">
      <c r="A1766" s="9">
        <v>1765</v>
      </c>
      <c r="B1766" s="10" t="s">
        <v>9</v>
      </c>
      <c r="C1766" s="11" t="s">
        <v>10</v>
      </c>
      <c r="D1766" s="12">
        <v>45623</v>
      </c>
      <c r="E1766" s="13" t="str">
        <f>+HYPERLINK("http://trademark.i-assist.jp/data/china/image_1913th/80883387.pdf","80883387")</f>
        <v>80883387</v>
      </c>
      <c r="F1766" s="11" t="s">
        <v>4416</v>
      </c>
      <c r="G1766" s="11" t="s">
        <v>73</v>
      </c>
      <c r="H1766" s="11" t="s">
        <v>1302</v>
      </c>
      <c r="I1766" s="12">
        <v>45547</v>
      </c>
    </row>
    <row r="1767" spans="1:9" x14ac:dyDescent="0.15">
      <c r="A1767" s="9">
        <v>1766</v>
      </c>
      <c r="B1767" s="10" t="s">
        <v>9</v>
      </c>
      <c r="C1767" s="11" t="s">
        <v>10</v>
      </c>
      <c r="D1767" s="12">
        <v>45623</v>
      </c>
      <c r="E1767" s="13" t="str">
        <f>+HYPERLINK("http://trademark.i-assist.jp/data/china/image_1913th/80898059.pdf","80898059")</f>
        <v>80898059</v>
      </c>
      <c r="F1767" s="11" t="s">
        <v>1110</v>
      </c>
      <c r="G1767" s="11" t="s">
        <v>4417</v>
      </c>
      <c r="H1767" s="11" t="s">
        <v>1302</v>
      </c>
      <c r="I1767" s="12">
        <v>45547</v>
      </c>
    </row>
    <row r="1768" spans="1:9" x14ac:dyDescent="0.15">
      <c r="A1768" s="9">
        <v>1767</v>
      </c>
      <c r="B1768" s="10" t="s">
        <v>9</v>
      </c>
      <c r="C1768" s="11" t="s">
        <v>10</v>
      </c>
      <c r="D1768" s="12">
        <v>45623</v>
      </c>
      <c r="E1768" s="13" t="str">
        <f>+HYPERLINK("http://trademark.i-assist.jp/data/china/image_1913th/80648185.pdf","80648185")</f>
        <v>80648185</v>
      </c>
      <c r="F1768" s="11" t="s">
        <v>4418</v>
      </c>
      <c r="G1768" s="11" t="s">
        <v>4419</v>
      </c>
      <c r="H1768" s="11" t="s">
        <v>2193</v>
      </c>
      <c r="I1768" s="12">
        <v>45533</v>
      </c>
    </row>
    <row r="1769" spans="1:9" x14ac:dyDescent="0.15">
      <c r="A1769" s="9">
        <v>1768</v>
      </c>
      <c r="B1769" s="10" t="s">
        <v>9</v>
      </c>
      <c r="C1769" s="11" t="s">
        <v>10</v>
      </c>
      <c r="D1769" s="12">
        <v>45623</v>
      </c>
      <c r="E1769" s="13" t="str">
        <f>+HYPERLINK("http://trademark.i-assist.jp/data/china/image_1913th/80648725.pdf","80648725")</f>
        <v>80648725</v>
      </c>
      <c r="F1769" s="11" t="s">
        <v>1111</v>
      </c>
      <c r="G1769" s="11" t="s">
        <v>4420</v>
      </c>
      <c r="H1769" s="11" t="s">
        <v>4421</v>
      </c>
      <c r="I1769" s="12">
        <v>45533</v>
      </c>
    </row>
    <row r="1770" spans="1:9" x14ac:dyDescent="0.15">
      <c r="A1770" s="9">
        <v>1769</v>
      </c>
      <c r="B1770" s="10" t="s">
        <v>9</v>
      </c>
      <c r="C1770" s="11" t="s">
        <v>10</v>
      </c>
      <c r="D1770" s="12">
        <v>45623</v>
      </c>
      <c r="E1770" s="13" t="str">
        <f>+HYPERLINK("http://trademark.i-assist.jp/data/china/image_1913th/80649614.pdf","80649614")</f>
        <v>80649614</v>
      </c>
      <c r="F1770" s="11" t="s">
        <v>1112</v>
      </c>
      <c r="G1770" s="11" t="s">
        <v>1598</v>
      </c>
      <c r="H1770" s="11" t="s">
        <v>1599</v>
      </c>
      <c r="I1770" s="12">
        <v>45534</v>
      </c>
    </row>
    <row r="1771" spans="1:9" x14ac:dyDescent="0.15">
      <c r="A1771" s="9">
        <v>1770</v>
      </c>
      <c r="B1771" s="10" t="s">
        <v>9</v>
      </c>
      <c r="C1771" s="11" t="s">
        <v>10</v>
      </c>
      <c r="D1771" s="12">
        <v>45623</v>
      </c>
      <c r="E1771" s="13" t="str">
        <f>+HYPERLINK("http://trademark.i-assist.jp/data/china/image_1913th/80651583.pdf","80651583")</f>
        <v>80651583</v>
      </c>
      <c r="F1771" s="11" t="s">
        <v>1113</v>
      </c>
      <c r="G1771" s="11" t="s">
        <v>1887</v>
      </c>
      <c r="H1771" s="11" t="s">
        <v>1888</v>
      </c>
      <c r="I1771" s="12">
        <v>45534</v>
      </c>
    </row>
    <row r="1772" spans="1:9" x14ac:dyDescent="0.15">
      <c r="A1772" s="9">
        <v>1771</v>
      </c>
      <c r="B1772" s="10" t="s">
        <v>9</v>
      </c>
      <c r="C1772" s="11" t="s">
        <v>10</v>
      </c>
      <c r="D1772" s="12">
        <v>45623</v>
      </c>
      <c r="E1772" s="13" t="str">
        <f>+HYPERLINK("http://trademark.i-assist.jp/data/china/image_1913th/80652015.pdf","80652015")</f>
        <v>80652015</v>
      </c>
      <c r="F1772" s="11" t="s">
        <v>1114</v>
      </c>
      <c r="G1772" s="11" t="s">
        <v>1986</v>
      </c>
      <c r="H1772" s="11" t="s">
        <v>1567</v>
      </c>
      <c r="I1772" s="12">
        <v>45534</v>
      </c>
    </row>
    <row r="1773" spans="1:9" x14ac:dyDescent="0.15">
      <c r="A1773" s="9">
        <v>1772</v>
      </c>
      <c r="B1773" s="10" t="s">
        <v>9</v>
      </c>
      <c r="C1773" s="11" t="s">
        <v>10</v>
      </c>
      <c r="D1773" s="12">
        <v>45623</v>
      </c>
      <c r="E1773" s="13" t="str">
        <f>+HYPERLINK("http://trademark.i-assist.jp/data/china/image_1913th/80656497.pdf","80656497")</f>
        <v>80656497</v>
      </c>
      <c r="F1773" s="11" t="s">
        <v>4422</v>
      </c>
      <c r="G1773" s="11" t="s">
        <v>1438</v>
      </c>
      <c r="H1773" s="11" t="s">
        <v>1439</v>
      </c>
      <c r="I1773" s="12">
        <v>45534</v>
      </c>
    </row>
    <row r="1774" spans="1:9" x14ac:dyDescent="0.15">
      <c r="A1774" s="9">
        <v>1773</v>
      </c>
      <c r="B1774" s="10" t="s">
        <v>9</v>
      </c>
      <c r="C1774" s="11" t="s">
        <v>10</v>
      </c>
      <c r="D1774" s="12">
        <v>45623</v>
      </c>
      <c r="E1774" s="13" t="str">
        <f>+HYPERLINK("http://trademark.i-assist.jp/data/china/image_1913th/80656581.pdf","80656581")</f>
        <v>80656581</v>
      </c>
      <c r="F1774" s="11" t="s">
        <v>1115</v>
      </c>
      <c r="G1774" s="11" t="s">
        <v>4423</v>
      </c>
      <c r="H1774" s="11" t="s">
        <v>4424</v>
      </c>
      <c r="I1774" s="12">
        <v>45534</v>
      </c>
    </row>
    <row r="1775" spans="1:9" x14ac:dyDescent="0.15">
      <c r="A1775" s="9">
        <v>1774</v>
      </c>
      <c r="B1775" s="10" t="s">
        <v>9</v>
      </c>
      <c r="C1775" s="11" t="s">
        <v>10</v>
      </c>
      <c r="D1775" s="12">
        <v>45623</v>
      </c>
      <c r="E1775" s="13" t="str">
        <f>+HYPERLINK("http://trademark.i-assist.jp/data/china/image_1913th/80666651.pdf","80666651")</f>
        <v>80666651</v>
      </c>
      <c r="F1775" s="11" t="s">
        <v>1116</v>
      </c>
      <c r="G1775" s="11" t="s">
        <v>4425</v>
      </c>
      <c r="H1775" s="11" t="s">
        <v>4426</v>
      </c>
      <c r="I1775" s="12">
        <v>45534</v>
      </c>
    </row>
    <row r="1776" spans="1:9" x14ac:dyDescent="0.15">
      <c r="A1776" s="9">
        <v>1775</v>
      </c>
      <c r="B1776" s="10" t="s">
        <v>9</v>
      </c>
      <c r="C1776" s="11" t="s">
        <v>10</v>
      </c>
      <c r="D1776" s="12">
        <v>45623</v>
      </c>
      <c r="E1776" s="13" t="str">
        <f>+HYPERLINK("http://trademark.i-assist.jp/data/china/image_1913th/80005804.pdf","80005804")</f>
        <v>80005804</v>
      </c>
      <c r="F1776" s="11" t="s">
        <v>1117</v>
      </c>
      <c r="G1776" s="11" t="s">
        <v>4427</v>
      </c>
      <c r="H1776" s="11" t="s">
        <v>4428</v>
      </c>
      <c r="I1776" s="12">
        <v>45498</v>
      </c>
    </row>
    <row r="1777" spans="1:9" x14ac:dyDescent="0.15">
      <c r="A1777" s="9">
        <v>1776</v>
      </c>
      <c r="B1777" s="10" t="s">
        <v>9</v>
      </c>
      <c r="C1777" s="11" t="s">
        <v>10</v>
      </c>
      <c r="D1777" s="12">
        <v>45623</v>
      </c>
      <c r="E1777" s="13" t="str">
        <f>+HYPERLINK("http://trademark.i-assist.jp/data/china/image_1913th/80173011.pdf","80173011")</f>
        <v>80173011</v>
      </c>
      <c r="F1777" s="11" t="s">
        <v>3181</v>
      </c>
      <c r="G1777" s="11" t="s">
        <v>3182</v>
      </c>
      <c r="H1777" s="11" t="s">
        <v>3183</v>
      </c>
      <c r="I1777" s="12">
        <v>45509</v>
      </c>
    </row>
    <row r="1778" spans="1:9" x14ac:dyDescent="0.15">
      <c r="A1778" s="9">
        <v>1777</v>
      </c>
      <c r="B1778" s="10" t="s">
        <v>9</v>
      </c>
      <c r="C1778" s="11" t="s">
        <v>10</v>
      </c>
      <c r="D1778" s="12">
        <v>45623</v>
      </c>
      <c r="E1778" s="13" t="str">
        <f>+HYPERLINK("http://trademark.i-assist.jp/data/china/image_1913th/80240131.pdf","80240131")</f>
        <v>80240131</v>
      </c>
      <c r="F1778" s="11" t="s">
        <v>4429</v>
      </c>
      <c r="G1778" s="11" t="s">
        <v>1118</v>
      </c>
      <c r="H1778" s="11" t="s">
        <v>4430</v>
      </c>
      <c r="I1778" s="12">
        <v>45511</v>
      </c>
    </row>
    <row r="1779" spans="1:9" x14ac:dyDescent="0.15">
      <c r="A1779" s="9">
        <v>1778</v>
      </c>
      <c r="B1779" s="10" t="s">
        <v>9</v>
      </c>
      <c r="C1779" s="11" t="s">
        <v>10</v>
      </c>
      <c r="D1779" s="12">
        <v>45623</v>
      </c>
      <c r="E1779" s="13" t="str">
        <f>+HYPERLINK("http://trademark.i-assist.jp/data/china/image_1913th/80267271.pdf","80267271")</f>
        <v>80267271</v>
      </c>
      <c r="F1779" s="11" t="s">
        <v>4431</v>
      </c>
      <c r="G1779" s="11" t="s">
        <v>4432</v>
      </c>
      <c r="H1779" s="11" t="s">
        <v>4433</v>
      </c>
      <c r="I1779" s="12">
        <v>45513</v>
      </c>
    </row>
    <row r="1780" spans="1:9" x14ac:dyDescent="0.15">
      <c r="A1780" s="9">
        <v>1779</v>
      </c>
      <c r="B1780" s="10" t="s">
        <v>9</v>
      </c>
      <c r="C1780" s="11" t="s">
        <v>10</v>
      </c>
      <c r="D1780" s="12">
        <v>45623</v>
      </c>
      <c r="E1780" s="13" t="str">
        <f>+HYPERLINK("http://trademark.i-assist.jp/data/china/image_1913th/80276736.pdf","80276736")</f>
        <v>80276736</v>
      </c>
      <c r="F1780" s="11" t="s">
        <v>4434</v>
      </c>
      <c r="G1780" s="11" t="s">
        <v>4435</v>
      </c>
      <c r="H1780" s="11" t="s">
        <v>4436</v>
      </c>
      <c r="I1780" s="12">
        <v>45513</v>
      </c>
    </row>
    <row r="1781" spans="1:9" x14ac:dyDescent="0.15">
      <c r="A1781" s="9">
        <v>1780</v>
      </c>
      <c r="B1781" s="10" t="s">
        <v>9</v>
      </c>
      <c r="C1781" s="11" t="s">
        <v>10</v>
      </c>
      <c r="D1781" s="12">
        <v>45623</v>
      </c>
      <c r="E1781" s="13" t="str">
        <f>+HYPERLINK("http://trademark.i-assist.jp/data/china/image_1913th/80299412.pdf","80299412")</f>
        <v>80299412</v>
      </c>
      <c r="F1781" s="11" t="s">
        <v>1119</v>
      </c>
      <c r="G1781" s="11" t="s">
        <v>1338</v>
      </c>
      <c r="H1781" s="11" t="s">
        <v>2096</v>
      </c>
      <c r="I1781" s="12">
        <v>45516</v>
      </c>
    </row>
    <row r="1782" spans="1:9" x14ac:dyDescent="0.15">
      <c r="A1782" s="9">
        <v>1781</v>
      </c>
      <c r="B1782" s="10" t="s">
        <v>9</v>
      </c>
      <c r="C1782" s="11" t="s">
        <v>10</v>
      </c>
      <c r="D1782" s="12">
        <v>45623</v>
      </c>
      <c r="E1782" s="13" t="str">
        <f>+HYPERLINK("http://trademark.i-assist.jp/data/china/image_1913th/80314186.pdf","80314186")</f>
        <v>80314186</v>
      </c>
      <c r="F1782" s="11" t="s">
        <v>1121</v>
      </c>
      <c r="G1782" s="11" t="s">
        <v>1120</v>
      </c>
      <c r="H1782" s="11" t="s">
        <v>4437</v>
      </c>
      <c r="I1782" s="12">
        <v>45516</v>
      </c>
    </row>
    <row r="1783" spans="1:9" x14ac:dyDescent="0.15">
      <c r="A1783" s="9">
        <v>1782</v>
      </c>
      <c r="B1783" s="10" t="s">
        <v>9</v>
      </c>
      <c r="C1783" s="11" t="s">
        <v>10</v>
      </c>
      <c r="D1783" s="12">
        <v>45623</v>
      </c>
      <c r="E1783" s="13" t="str">
        <f>+HYPERLINK("http://trademark.i-assist.jp/data/china/image_1913th/80314935.pdf","80314935")</f>
        <v>80314935</v>
      </c>
      <c r="F1783" s="11" t="s">
        <v>4438</v>
      </c>
      <c r="G1783" s="11" t="s">
        <v>3957</v>
      </c>
      <c r="H1783" s="11" t="s">
        <v>1567</v>
      </c>
      <c r="I1783" s="12">
        <v>45516</v>
      </c>
    </row>
    <row r="1784" spans="1:9" x14ac:dyDescent="0.15">
      <c r="A1784" s="9">
        <v>1783</v>
      </c>
      <c r="B1784" s="10" t="s">
        <v>9</v>
      </c>
      <c r="C1784" s="11" t="s">
        <v>10</v>
      </c>
      <c r="D1784" s="12">
        <v>45623</v>
      </c>
      <c r="E1784" s="13" t="str">
        <f>+HYPERLINK("http://trademark.i-assist.jp/data/china/image_1913th/80326123.pdf","80326123")</f>
        <v>80326123</v>
      </c>
      <c r="F1784" s="11" t="s">
        <v>4439</v>
      </c>
      <c r="G1784" s="11" t="s">
        <v>4440</v>
      </c>
      <c r="H1784" s="11" t="s">
        <v>4441</v>
      </c>
      <c r="I1784" s="12">
        <v>45517</v>
      </c>
    </row>
    <row r="1785" spans="1:9" x14ac:dyDescent="0.15">
      <c r="A1785" s="9">
        <v>1784</v>
      </c>
      <c r="B1785" s="10" t="s">
        <v>9</v>
      </c>
      <c r="C1785" s="11" t="s">
        <v>10</v>
      </c>
      <c r="D1785" s="12">
        <v>45623</v>
      </c>
      <c r="E1785" s="13" t="str">
        <f>+HYPERLINK("http://trademark.i-assist.jp/data/china/image_1913th/79651952.pdf","79651952")</f>
        <v>79651952</v>
      </c>
      <c r="F1785" s="11" t="s">
        <v>1122</v>
      </c>
      <c r="G1785" s="11" t="s">
        <v>4442</v>
      </c>
      <c r="H1785" s="11" t="s">
        <v>4443</v>
      </c>
      <c r="I1785" s="12">
        <v>45479</v>
      </c>
    </row>
    <row r="1786" spans="1:9" x14ac:dyDescent="0.15">
      <c r="A1786" s="9">
        <v>1785</v>
      </c>
      <c r="B1786" s="10" t="s">
        <v>9</v>
      </c>
      <c r="C1786" s="11" t="s">
        <v>10</v>
      </c>
      <c r="D1786" s="12">
        <v>45623</v>
      </c>
      <c r="E1786" s="13" t="str">
        <f>+HYPERLINK("http://trademark.i-assist.jp/data/china/image_1913th/79733649.pdf","79733649")</f>
        <v>79733649</v>
      </c>
      <c r="F1786" s="11" t="s">
        <v>4444</v>
      </c>
      <c r="G1786" s="11" t="s">
        <v>4445</v>
      </c>
      <c r="H1786" s="11" t="s">
        <v>4446</v>
      </c>
      <c r="I1786" s="12">
        <v>45484</v>
      </c>
    </row>
    <row r="1787" spans="1:9" x14ac:dyDescent="0.15">
      <c r="A1787" s="9">
        <v>1786</v>
      </c>
      <c r="B1787" s="10" t="s">
        <v>9</v>
      </c>
      <c r="C1787" s="11" t="s">
        <v>10</v>
      </c>
      <c r="D1787" s="12">
        <v>45623</v>
      </c>
      <c r="E1787" s="13" t="str">
        <f>+HYPERLINK("http://trademark.i-assist.jp/data/china/image_1913th/79844430.pdf","79844430")</f>
        <v>79844430</v>
      </c>
      <c r="F1787" s="11" t="s">
        <v>4447</v>
      </c>
      <c r="G1787" s="11" t="s">
        <v>1123</v>
      </c>
      <c r="H1787" s="11" t="s">
        <v>4448</v>
      </c>
      <c r="I1787" s="12">
        <v>45490</v>
      </c>
    </row>
    <row r="1788" spans="1:9" x14ac:dyDescent="0.15">
      <c r="A1788" s="9">
        <v>1787</v>
      </c>
      <c r="B1788" s="10" t="s">
        <v>9</v>
      </c>
      <c r="C1788" s="11" t="s">
        <v>10</v>
      </c>
      <c r="D1788" s="12">
        <v>45623</v>
      </c>
      <c r="E1788" s="13" t="str">
        <f>+HYPERLINK("http://trademark.i-assist.jp/data/china/image_1913th/79954315.pdf","79954315")</f>
        <v>79954315</v>
      </c>
      <c r="F1788" s="11" t="s">
        <v>1125</v>
      </c>
      <c r="G1788" s="11" t="s">
        <v>1124</v>
      </c>
      <c r="H1788" s="11" t="s">
        <v>1430</v>
      </c>
      <c r="I1788" s="12">
        <v>45496</v>
      </c>
    </row>
    <row r="1789" spans="1:9" x14ac:dyDescent="0.15">
      <c r="A1789" s="9">
        <v>1788</v>
      </c>
      <c r="B1789" s="10" t="s">
        <v>9</v>
      </c>
      <c r="C1789" s="11" t="s">
        <v>10</v>
      </c>
      <c r="D1789" s="12">
        <v>45623</v>
      </c>
      <c r="E1789" s="13" t="str">
        <f>+HYPERLINK("http://trademark.i-assist.jp/data/china/image_1913th/79974438.pdf","79974438")</f>
        <v>79974438</v>
      </c>
      <c r="F1789" s="11" t="s">
        <v>1126</v>
      </c>
      <c r="G1789" s="11" t="s">
        <v>4449</v>
      </c>
      <c r="H1789" s="11" t="s">
        <v>4450</v>
      </c>
      <c r="I1789" s="12">
        <v>45497</v>
      </c>
    </row>
    <row r="1790" spans="1:9" x14ac:dyDescent="0.15">
      <c r="A1790" s="9">
        <v>1789</v>
      </c>
      <c r="B1790" s="10" t="s">
        <v>9</v>
      </c>
      <c r="C1790" s="11" t="s">
        <v>10</v>
      </c>
      <c r="D1790" s="12">
        <v>45623</v>
      </c>
      <c r="E1790" s="13" t="str">
        <f>+HYPERLINK("http://trademark.i-assist.jp/data/china/image_1913th/79152066.pdf","79152066")</f>
        <v>79152066</v>
      </c>
      <c r="F1790" s="11" t="s">
        <v>4451</v>
      </c>
      <c r="G1790" s="11" t="s">
        <v>4452</v>
      </c>
      <c r="H1790" s="11" t="s">
        <v>4453</v>
      </c>
      <c r="I1790" s="12">
        <v>45454</v>
      </c>
    </row>
    <row r="1791" spans="1:9" x14ac:dyDescent="0.15">
      <c r="A1791" s="9">
        <v>1790</v>
      </c>
      <c r="B1791" s="10" t="s">
        <v>9</v>
      </c>
      <c r="C1791" s="11" t="s">
        <v>10</v>
      </c>
      <c r="D1791" s="12">
        <v>45623</v>
      </c>
      <c r="E1791" s="13" t="str">
        <f>+HYPERLINK("http://trademark.i-assist.jp/data/china/image_1913th/80466908.pdf","80466908")</f>
        <v>80466908</v>
      </c>
      <c r="F1791" s="11" t="s">
        <v>4454</v>
      </c>
      <c r="G1791" s="11" t="s">
        <v>1338</v>
      </c>
      <c r="H1791" s="11" t="s">
        <v>1339</v>
      </c>
      <c r="I1791" s="12">
        <v>45524</v>
      </c>
    </row>
    <row r="1792" spans="1:9" x14ac:dyDescent="0.15">
      <c r="A1792" s="9">
        <v>1791</v>
      </c>
      <c r="B1792" s="10" t="s">
        <v>9</v>
      </c>
      <c r="C1792" s="11" t="s">
        <v>10</v>
      </c>
      <c r="D1792" s="12">
        <v>45623</v>
      </c>
      <c r="E1792" s="13" t="str">
        <f>+HYPERLINK("http://trademark.i-assist.jp/data/china/image_1913th/80476889.pdf","80476889")</f>
        <v>80476889</v>
      </c>
      <c r="F1792" s="11" t="s">
        <v>4455</v>
      </c>
      <c r="G1792" s="11" t="s">
        <v>1127</v>
      </c>
      <c r="H1792" s="11" t="s">
        <v>4456</v>
      </c>
      <c r="I1792" s="12">
        <v>45525</v>
      </c>
    </row>
    <row r="1793" spans="1:9" x14ac:dyDescent="0.15">
      <c r="A1793" s="9">
        <v>1792</v>
      </c>
      <c r="B1793" s="10" t="s">
        <v>9</v>
      </c>
      <c r="C1793" s="11" t="s">
        <v>10</v>
      </c>
      <c r="D1793" s="12">
        <v>45623</v>
      </c>
      <c r="E1793" s="13" t="str">
        <f>+HYPERLINK("http://trademark.i-assist.jp/data/china/image_1913th/80501204.pdf","80501204")</f>
        <v>80501204</v>
      </c>
      <c r="F1793" s="11" t="s">
        <v>1128</v>
      </c>
      <c r="G1793" s="11" t="s">
        <v>3893</v>
      </c>
      <c r="H1793" s="11" t="s">
        <v>3504</v>
      </c>
      <c r="I1793" s="12">
        <v>45526</v>
      </c>
    </row>
    <row r="1794" spans="1:9" x14ac:dyDescent="0.15">
      <c r="A1794" s="9">
        <v>1793</v>
      </c>
      <c r="B1794" s="10" t="s">
        <v>9</v>
      </c>
      <c r="C1794" s="11" t="s">
        <v>10</v>
      </c>
      <c r="D1794" s="12">
        <v>45623</v>
      </c>
      <c r="E1794" s="13" t="str">
        <f>+HYPERLINK("http://trademark.i-assist.jp/data/china/image_1913th/80529572.pdf","80529572")</f>
        <v>80529572</v>
      </c>
      <c r="F1794" s="11" t="s">
        <v>4457</v>
      </c>
      <c r="G1794" s="11" t="s">
        <v>328</v>
      </c>
      <c r="H1794" s="11" t="s">
        <v>1721</v>
      </c>
      <c r="I1794" s="12">
        <v>45527</v>
      </c>
    </row>
    <row r="1795" spans="1:9" x14ac:dyDescent="0.15">
      <c r="A1795" s="9">
        <v>1794</v>
      </c>
      <c r="B1795" s="10" t="s">
        <v>9</v>
      </c>
      <c r="C1795" s="11" t="s">
        <v>10</v>
      </c>
      <c r="D1795" s="12">
        <v>45623</v>
      </c>
      <c r="E1795" s="13" t="str">
        <f>+HYPERLINK("http://trademark.i-assist.jp/data/china/image_1913th/80539848.pdf","80539848")</f>
        <v>80539848</v>
      </c>
      <c r="F1795" s="11" t="s">
        <v>4458</v>
      </c>
      <c r="G1795" s="11" t="s">
        <v>4459</v>
      </c>
      <c r="H1795" s="11" t="s">
        <v>4460</v>
      </c>
      <c r="I1795" s="12">
        <v>45527</v>
      </c>
    </row>
    <row r="1796" spans="1:9" x14ac:dyDescent="0.15">
      <c r="A1796" s="9">
        <v>1795</v>
      </c>
      <c r="B1796" s="10" t="s">
        <v>9</v>
      </c>
      <c r="C1796" s="11" t="s">
        <v>10</v>
      </c>
      <c r="D1796" s="12">
        <v>45623</v>
      </c>
      <c r="E1796" s="13" t="str">
        <f>+HYPERLINK("http://trademark.i-assist.jp/data/china/image_1913th/80540991.pdf","80540991")</f>
        <v>80540991</v>
      </c>
      <c r="F1796" s="11" t="s">
        <v>1129</v>
      </c>
      <c r="G1796" s="11" t="s">
        <v>4461</v>
      </c>
      <c r="H1796" s="11" t="s">
        <v>4462</v>
      </c>
      <c r="I1796" s="12">
        <v>45527</v>
      </c>
    </row>
    <row r="1797" spans="1:9" x14ac:dyDescent="0.15">
      <c r="A1797" s="9">
        <v>1796</v>
      </c>
      <c r="B1797" s="10" t="s">
        <v>9</v>
      </c>
      <c r="C1797" s="11" t="s">
        <v>10</v>
      </c>
      <c r="D1797" s="12">
        <v>45623</v>
      </c>
      <c r="E1797" s="13" t="str">
        <f>+HYPERLINK("http://trademark.i-assist.jp/data/china/image_1913th/80549010.pdf","80549010")</f>
        <v>80549010</v>
      </c>
      <c r="F1797" s="11" t="s">
        <v>1130</v>
      </c>
      <c r="G1797" s="11" t="s">
        <v>4463</v>
      </c>
      <c r="H1797" s="11" t="s">
        <v>4464</v>
      </c>
      <c r="I1797" s="12">
        <v>45528</v>
      </c>
    </row>
    <row r="1798" spans="1:9" x14ac:dyDescent="0.15">
      <c r="A1798" s="9">
        <v>1797</v>
      </c>
      <c r="B1798" s="10" t="s">
        <v>9</v>
      </c>
      <c r="C1798" s="11" t="s">
        <v>10</v>
      </c>
      <c r="D1798" s="12">
        <v>45623</v>
      </c>
      <c r="E1798" s="13" t="str">
        <f>+HYPERLINK("http://trademark.i-assist.jp/data/china/image_1913th/80735853.pdf","80735853")</f>
        <v>80735853</v>
      </c>
      <c r="F1798" s="11" t="s">
        <v>4465</v>
      </c>
      <c r="G1798" s="11" t="s">
        <v>4144</v>
      </c>
      <c r="H1798" s="11" t="s">
        <v>4145</v>
      </c>
      <c r="I1798" s="12">
        <v>45539</v>
      </c>
    </row>
    <row r="1799" spans="1:9" x14ac:dyDescent="0.15">
      <c r="A1799" s="9">
        <v>1798</v>
      </c>
      <c r="B1799" s="10" t="s">
        <v>9</v>
      </c>
      <c r="C1799" s="11" t="s">
        <v>10</v>
      </c>
      <c r="D1799" s="12">
        <v>45623</v>
      </c>
      <c r="E1799" s="13" t="str">
        <f>+HYPERLINK("http://trademark.i-assist.jp/data/china/image_1913th/80735918.pdf","80735918")</f>
        <v>80735918</v>
      </c>
      <c r="F1799" s="11" t="s">
        <v>1131</v>
      </c>
      <c r="G1799" s="11" t="s">
        <v>3515</v>
      </c>
      <c r="H1799" s="11" t="s">
        <v>3516</v>
      </c>
      <c r="I1799" s="12">
        <v>45539</v>
      </c>
    </row>
    <row r="1800" spans="1:9" x14ac:dyDescent="0.15">
      <c r="A1800" s="9">
        <v>1799</v>
      </c>
      <c r="B1800" s="10" t="s">
        <v>9</v>
      </c>
      <c r="C1800" s="11" t="s">
        <v>10</v>
      </c>
      <c r="D1800" s="12">
        <v>45623</v>
      </c>
      <c r="E1800" s="13" t="str">
        <f>+HYPERLINK("http://trademark.i-assist.jp/data/china/image_1913th/80736051.pdf","80736051")</f>
        <v>80736051</v>
      </c>
      <c r="F1800" s="11" t="s">
        <v>4466</v>
      </c>
      <c r="G1800" s="11" t="s">
        <v>3796</v>
      </c>
      <c r="H1800" s="11" t="s">
        <v>1658</v>
      </c>
      <c r="I1800" s="12">
        <v>45539</v>
      </c>
    </row>
    <row r="1801" spans="1:9" x14ac:dyDescent="0.15">
      <c r="A1801" s="9">
        <v>1800</v>
      </c>
      <c r="B1801" s="10" t="s">
        <v>9</v>
      </c>
      <c r="C1801" s="11" t="s">
        <v>10</v>
      </c>
      <c r="D1801" s="12">
        <v>45623</v>
      </c>
      <c r="E1801" s="13" t="str">
        <f>+HYPERLINK("http://trademark.i-assist.jp/data/china/image_1913th/80741699.pdf","80741699")</f>
        <v>80741699</v>
      </c>
      <c r="F1801" s="11" t="s">
        <v>1133</v>
      </c>
      <c r="G1801" s="11" t="s">
        <v>1132</v>
      </c>
      <c r="H1801" s="11" t="s">
        <v>4467</v>
      </c>
      <c r="I1801" s="12">
        <v>45539</v>
      </c>
    </row>
    <row r="1802" spans="1:9" x14ac:dyDescent="0.15">
      <c r="A1802" s="9">
        <v>1801</v>
      </c>
      <c r="B1802" s="10" t="s">
        <v>9</v>
      </c>
      <c r="C1802" s="11" t="s">
        <v>10</v>
      </c>
      <c r="D1802" s="12">
        <v>45623</v>
      </c>
      <c r="E1802" s="13" t="str">
        <f>+HYPERLINK("http://trademark.i-assist.jp/data/china/image_1913th/80748131.pdf","80748131")</f>
        <v>80748131</v>
      </c>
      <c r="F1802" s="11" t="s">
        <v>4468</v>
      </c>
      <c r="G1802" s="11" t="s">
        <v>2744</v>
      </c>
      <c r="H1802" s="11" t="s">
        <v>1658</v>
      </c>
      <c r="I1802" s="12">
        <v>45539</v>
      </c>
    </row>
    <row r="1803" spans="1:9" x14ac:dyDescent="0.15">
      <c r="A1803" s="9">
        <v>1802</v>
      </c>
      <c r="B1803" s="10" t="s">
        <v>9</v>
      </c>
      <c r="C1803" s="11" t="s">
        <v>10</v>
      </c>
      <c r="D1803" s="12">
        <v>45623</v>
      </c>
      <c r="E1803" s="13" t="str">
        <f>+HYPERLINK("http://trademark.i-assist.jp/data/china/image_1913th/80751482.pdf","80751482")</f>
        <v>80751482</v>
      </c>
      <c r="F1803" s="11" t="s">
        <v>1134</v>
      </c>
      <c r="G1803" s="11" t="s">
        <v>3796</v>
      </c>
      <c r="H1803" s="11" t="s">
        <v>1658</v>
      </c>
      <c r="I1803" s="12">
        <v>45539</v>
      </c>
    </row>
    <row r="1804" spans="1:9" x14ac:dyDescent="0.15">
      <c r="A1804" s="9">
        <v>1803</v>
      </c>
      <c r="B1804" s="10" t="s">
        <v>9</v>
      </c>
      <c r="C1804" s="11" t="s">
        <v>10</v>
      </c>
      <c r="D1804" s="12">
        <v>45623</v>
      </c>
      <c r="E1804" s="13" t="str">
        <f>+HYPERLINK("http://trademark.i-assist.jp/data/china/image_1913th/80753436.pdf","80753436")</f>
        <v>80753436</v>
      </c>
      <c r="F1804" s="11" t="s">
        <v>1135</v>
      </c>
      <c r="G1804" s="11" t="s">
        <v>4469</v>
      </c>
      <c r="H1804" s="11" t="s">
        <v>4470</v>
      </c>
      <c r="I1804" s="12">
        <v>45539</v>
      </c>
    </row>
    <row r="1805" spans="1:9" x14ac:dyDescent="0.15">
      <c r="A1805" s="9">
        <v>1804</v>
      </c>
      <c r="B1805" s="10" t="s">
        <v>9</v>
      </c>
      <c r="C1805" s="11" t="s">
        <v>10</v>
      </c>
      <c r="D1805" s="12">
        <v>45623</v>
      </c>
      <c r="E1805" s="13" t="str">
        <f>+HYPERLINK("http://trademark.i-assist.jp/data/china/image_1913th/80756459.pdf","80756459")</f>
        <v>80756459</v>
      </c>
      <c r="F1805" s="11" t="s">
        <v>1136</v>
      </c>
      <c r="G1805" s="11" t="s">
        <v>2396</v>
      </c>
      <c r="H1805" s="11" t="s">
        <v>2145</v>
      </c>
      <c r="I1805" s="12">
        <v>45540</v>
      </c>
    </row>
    <row r="1806" spans="1:9" x14ac:dyDescent="0.15">
      <c r="A1806" s="9">
        <v>1805</v>
      </c>
      <c r="B1806" s="10" t="s">
        <v>9</v>
      </c>
      <c r="C1806" s="11" t="s">
        <v>10</v>
      </c>
      <c r="D1806" s="12">
        <v>45623</v>
      </c>
      <c r="E1806" s="13" t="str">
        <f>+HYPERLINK("http://trademark.i-assist.jp/data/china/image_1913th/80774581.pdf","80774581")</f>
        <v>80774581</v>
      </c>
      <c r="F1806" s="11" t="s">
        <v>4471</v>
      </c>
      <c r="G1806" s="11" t="s">
        <v>1975</v>
      </c>
      <c r="H1806" s="11" t="s">
        <v>1976</v>
      </c>
      <c r="I1806" s="12">
        <v>45540</v>
      </c>
    </row>
    <row r="1807" spans="1:9" x14ac:dyDescent="0.15">
      <c r="A1807" s="9">
        <v>1806</v>
      </c>
      <c r="B1807" s="10" t="s">
        <v>9</v>
      </c>
      <c r="C1807" s="11" t="s">
        <v>10</v>
      </c>
      <c r="D1807" s="12">
        <v>45623</v>
      </c>
      <c r="E1807" s="13" t="str">
        <f>+HYPERLINK("http://trademark.i-assist.jp/data/china/image_1913th/80775183.pdf","80775183")</f>
        <v>80775183</v>
      </c>
      <c r="F1807" s="11" t="s">
        <v>1138</v>
      </c>
      <c r="G1807" s="11" t="s">
        <v>1137</v>
      </c>
      <c r="H1807" s="11" t="s">
        <v>1768</v>
      </c>
      <c r="I1807" s="12">
        <v>45540</v>
      </c>
    </row>
    <row r="1808" spans="1:9" x14ac:dyDescent="0.15">
      <c r="A1808" s="9">
        <v>1807</v>
      </c>
      <c r="B1808" s="10" t="s">
        <v>9</v>
      </c>
      <c r="C1808" s="11" t="s">
        <v>10</v>
      </c>
      <c r="D1808" s="12">
        <v>45623</v>
      </c>
      <c r="E1808" s="13" t="str">
        <f>+HYPERLINK("http://trademark.i-assist.jp/data/china/image_1913th/80779704.pdf","80779704")</f>
        <v>80779704</v>
      </c>
      <c r="F1808" s="11" t="s">
        <v>1139</v>
      </c>
      <c r="G1808" s="11" t="s">
        <v>4472</v>
      </c>
      <c r="H1808" s="11" t="s">
        <v>4473</v>
      </c>
      <c r="I1808" s="12">
        <v>45541</v>
      </c>
    </row>
    <row r="1809" spans="1:9" x14ac:dyDescent="0.15">
      <c r="A1809" s="9">
        <v>1808</v>
      </c>
      <c r="B1809" s="10" t="s">
        <v>9</v>
      </c>
      <c r="C1809" s="11" t="s">
        <v>10</v>
      </c>
      <c r="D1809" s="12">
        <v>45623</v>
      </c>
      <c r="E1809" s="13" t="str">
        <f>+HYPERLINK("http://trademark.i-assist.jp/data/china/image_1913th/80787635.pdf","80787635")</f>
        <v>80787635</v>
      </c>
      <c r="F1809" s="11" t="s">
        <v>1140</v>
      </c>
      <c r="G1809" s="11" t="s">
        <v>1020</v>
      </c>
      <c r="H1809" s="11" t="s">
        <v>1666</v>
      </c>
      <c r="I1809" s="12">
        <v>45541</v>
      </c>
    </row>
    <row r="1810" spans="1:9" x14ac:dyDescent="0.15">
      <c r="A1810" s="9">
        <v>1809</v>
      </c>
      <c r="B1810" s="10" t="s">
        <v>9</v>
      </c>
      <c r="C1810" s="11" t="s">
        <v>10</v>
      </c>
      <c r="D1810" s="12">
        <v>45623</v>
      </c>
      <c r="E1810" s="13" t="str">
        <f>+HYPERLINK("http://trademark.i-assist.jp/data/china/image_1913th/80829230.pdf","80829230")</f>
        <v>80829230</v>
      </c>
      <c r="F1810" s="11" t="s">
        <v>4474</v>
      </c>
      <c r="G1810" s="11" t="s">
        <v>4201</v>
      </c>
      <c r="H1810" s="11" t="s">
        <v>4202</v>
      </c>
      <c r="I1810" s="12">
        <v>45544</v>
      </c>
    </row>
    <row r="1811" spans="1:9" x14ac:dyDescent="0.15">
      <c r="A1811" s="9">
        <v>1810</v>
      </c>
      <c r="B1811" s="10" t="s">
        <v>9</v>
      </c>
      <c r="C1811" s="11" t="s">
        <v>10</v>
      </c>
      <c r="D1811" s="12">
        <v>45623</v>
      </c>
      <c r="E1811" s="13" t="str">
        <f>+HYPERLINK("http://trademark.i-assist.jp/data/china/image_1913th/80832670.pdf","80832670")</f>
        <v>80832670</v>
      </c>
      <c r="F1811" s="11" t="s">
        <v>1141</v>
      </c>
      <c r="G1811" s="11" t="s">
        <v>4475</v>
      </c>
      <c r="H1811" s="11" t="s">
        <v>4476</v>
      </c>
      <c r="I1811" s="12">
        <v>45544</v>
      </c>
    </row>
    <row r="1812" spans="1:9" x14ac:dyDescent="0.15">
      <c r="A1812" s="9">
        <v>1811</v>
      </c>
      <c r="B1812" s="10" t="s">
        <v>9</v>
      </c>
      <c r="C1812" s="11" t="s">
        <v>10</v>
      </c>
      <c r="D1812" s="12">
        <v>45623</v>
      </c>
      <c r="E1812" s="13" t="str">
        <f>+HYPERLINK("http://trademark.i-assist.jp/data/china/image_1913th/80850086.pdf","80850086")</f>
        <v>80850086</v>
      </c>
      <c r="F1812" s="11" t="s">
        <v>4477</v>
      </c>
      <c r="G1812" s="11" t="s">
        <v>4478</v>
      </c>
      <c r="H1812" s="11" t="s">
        <v>4479</v>
      </c>
      <c r="I1812" s="12">
        <v>45545</v>
      </c>
    </row>
    <row r="1813" spans="1:9" x14ac:dyDescent="0.15">
      <c r="A1813" s="9">
        <v>1812</v>
      </c>
      <c r="B1813" s="10" t="s">
        <v>9</v>
      </c>
      <c r="C1813" s="11" t="s">
        <v>10</v>
      </c>
      <c r="D1813" s="12">
        <v>45623</v>
      </c>
      <c r="E1813" s="13" t="str">
        <f>+HYPERLINK("http://trademark.i-assist.jp/data/china/image_1913th/80854718.pdf","80854718")</f>
        <v>80854718</v>
      </c>
      <c r="F1813" s="11" t="s">
        <v>4480</v>
      </c>
      <c r="G1813" s="11" t="s">
        <v>4481</v>
      </c>
      <c r="H1813" s="11" t="s">
        <v>4482</v>
      </c>
      <c r="I1813" s="12">
        <v>45545</v>
      </c>
    </row>
    <row r="1814" spans="1:9" x14ac:dyDescent="0.15">
      <c r="A1814" s="9">
        <v>1813</v>
      </c>
      <c r="B1814" s="10" t="s">
        <v>9</v>
      </c>
      <c r="C1814" s="11" t="s">
        <v>10</v>
      </c>
      <c r="D1814" s="12">
        <v>45623</v>
      </c>
      <c r="E1814" s="13" t="str">
        <f>+HYPERLINK("http://trademark.i-assist.jp/data/china/image_1913th/80857819.pdf","80857819")</f>
        <v>80857819</v>
      </c>
      <c r="F1814" s="11" t="s">
        <v>1142</v>
      </c>
      <c r="G1814" s="11" t="s">
        <v>4483</v>
      </c>
      <c r="H1814" s="11" t="s">
        <v>4484</v>
      </c>
      <c r="I1814" s="12">
        <v>45546</v>
      </c>
    </row>
    <row r="1815" spans="1:9" x14ac:dyDescent="0.15">
      <c r="A1815" s="9">
        <v>1814</v>
      </c>
      <c r="B1815" s="10" t="s">
        <v>9</v>
      </c>
      <c r="C1815" s="11" t="s">
        <v>10</v>
      </c>
      <c r="D1815" s="12">
        <v>45623</v>
      </c>
      <c r="E1815" s="13" t="str">
        <f>+HYPERLINK("http://trademark.i-assist.jp/data/china/image_1913th/80863685.pdf","80863685")</f>
        <v>80863685</v>
      </c>
      <c r="F1815" s="11" t="s">
        <v>4485</v>
      </c>
      <c r="G1815" s="11" t="s">
        <v>4486</v>
      </c>
      <c r="H1815" s="11" t="s">
        <v>4487</v>
      </c>
      <c r="I1815" s="12">
        <v>45546</v>
      </c>
    </row>
    <row r="1816" spans="1:9" x14ac:dyDescent="0.15">
      <c r="A1816" s="9">
        <v>1815</v>
      </c>
      <c r="B1816" s="10" t="s">
        <v>9</v>
      </c>
      <c r="C1816" s="11" t="s">
        <v>10</v>
      </c>
      <c r="D1816" s="12">
        <v>45623</v>
      </c>
      <c r="E1816" s="13" t="str">
        <f>+HYPERLINK("http://trademark.i-assist.jp/data/china/image_1913th/80882354.pdf","80882354")</f>
        <v>80882354</v>
      </c>
      <c r="F1816" s="11" t="s">
        <v>4488</v>
      </c>
      <c r="G1816" s="11" t="s">
        <v>4489</v>
      </c>
      <c r="H1816" s="11" t="s">
        <v>2344</v>
      </c>
      <c r="I1816" s="12">
        <v>45547</v>
      </c>
    </row>
    <row r="1817" spans="1:9" x14ac:dyDescent="0.15">
      <c r="A1817" s="9">
        <v>1816</v>
      </c>
      <c r="B1817" s="10" t="s">
        <v>9</v>
      </c>
      <c r="C1817" s="11" t="s">
        <v>10</v>
      </c>
      <c r="D1817" s="12">
        <v>45623</v>
      </c>
      <c r="E1817" s="13" t="str">
        <f>+HYPERLINK("http://trademark.i-assist.jp/data/china/image_1913th/80796228.pdf","80796228")</f>
        <v>80796228</v>
      </c>
      <c r="F1817" s="11" t="s">
        <v>4490</v>
      </c>
      <c r="G1817" s="11" t="s">
        <v>4491</v>
      </c>
      <c r="H1817" s="11" t="s">
        <v>4492</v>
      </c>
      <c r="I1817" s="12">
        <v>45541</v>
      </c>
    </row>
    <row r="1818" spans="1:9" x14ac:dyDescent="0.15">
      <c r="A1818" s="9">
        <v>1817</v>
      </c>
      <c r="B1818" s="10" t="s">
        <v>9</v>
      </c>
      <c r="C1818" s="11" t="s">
        <v>10</v>
      </c>
      <c r="D1818" s="12">
        <v>45623</v>
      </c>
      <c r="E1818" s="13" t="str">
        <f>+HYPERLINK("http://trademark.i-assist.jp/data/china/image_1913th/80822391.pdf","80822391")</f>
        <v>80822391</v>
      </c>
      <c r="F1818" s="11" t="s">
        <v>4493</v>
      </c>
      <c r="G1818" s="11" t="s">
        <v>4494</v>
      </c>
      <c r="H1818" s="11" t="s">
        <v>4495</v>
      </c>
      <c r="I1818" s="12">
        <v>45544</v>
      </c>
    </row>
    <row r="1819" spans="1:9" x14ac:dyDescent="0.15">
      <c r="A1819" s="9">
        <v>1818</v>
      </c>
      <c r="B1819" s="10" t="s">
        <v>9</v>
      </c>
      <c r="C1819" s="11" t="s">
        <v>10</v>
      </c>
      <c r="D1819" s="12">
        <v>45623</v>
      </c>
      <c r="E1819" s="13" t="str">
        <f>+HYPERLINK("http://trademark.i-assist.jp/data/china/image_1913th/80609399.pdf","80609399")</f>
        <v>80609399</v>
      </c>
      <c r="F1819" s="11" t="s">
        <v>1143</v>
      </c>
      <c r="G1819" s="11" t="s">
        <v>3453</v>
      </c>
      <c r="H1819" s="11" t="s">
        <v>3454</v>
      </c>
      <c r="I1819" s="12">
        <v>45532</v>
      </c>
    </row>
    <row r="1820" spans="1:9" x14ac:dyDescent="0.15">
      <c r="A1820" s="9">
        <v>1819</v>
      </c>
      <c r="B1820" s="10" t="s">
        <v>9</v>
      </c>
      <c r="C1820" s="11" t="s">
        <v>10</v>
      </c>
      <c r="D1820" s="12">
        <v>45623</v>
      </c>
      <c r="E1820" s="13" t="str">
        <f>+HYPERLINK("http://trademark.i-assist.jp/data/china/image_1913th/80609781.pdf","80609781")</f>
        <v>80609781</v>
      </c>
      <c r="F1820" s="11" t="s">
        <v>4496</v>
      </c>
      <c r="G1820" s="11" t="s">
        <v>4497</v>
      </c>
      <c r="H1820" s="11" t="s">
        <v>4498</v>
      </c>
      <c r="I1820" s="12">
        <v>45532</v>
      </c>
    </row>
    <row r="1821" spans="1:9" x14ac:dyDescent="0.15">
      <c r="A1821" s="9">
        <v>1820</v>
      </c>
      <c r="B1821" s="10" t="s">
        <v>9</v>
      </c>
      <c r="C1821" s="11" t="s">
        <v>10</v>
      </c>
      <c r="D1821" s="12">
        <v>45623</v>
      </c>
      <c r="E1821" s="13" t="str">
        <f>+HYPERLINK("http://trademark.i-assist.jp/data/china/image_1913th/80617526.pdf","80617526")</f>
        <v>80617526</v>
      </c>
      <c r="F1821" s="11" t="s">
        <v>4499</v>
      </c>
      <c r="G1821" s="11" t="s">
        <v>4500</v>
      </c>
      <c r="H1821" s="11" t="s">
        <v>4501</v>
      </c>
      <c r="I1821" s="12">
        <v>45532</v>
      </c>
    </row>
    <row r="1822" spans="1:9" x14ac:dyDescent="0.15">
      <c r="A1822" s="9">
        <v>1821</v>
      </c>
      <c r="B1822" s="10" t="s">
        <v>9</v>
      </c>
      <c r="C1822" s="11" t="s">
        <v>10</v>
      </c>
      <c r="D1822" s="12">
        <v>45623</v>
      </c>
      <c r="E1822" s="13" t="str">
        <f>+HYPERLINK("http://trademark.i-assist.jp/data/china/image_1913th/80629702.pdf","80629702")</f>
        <v>80629702</v>
      </c>
      <c r="F1822" s="11" t="s">
        <v>4502</v>
      </c>
      <c r="G1822" s="11" t="s">
        <v>4503</v>
      </c>
      <c r="H1822" s="11" t="s">
        <v>4504</v>
      </c>
      <c r="I1822" s="12">
        <v>45533</v>
      </c>
    </row>
    <row r="1823" spans="1:9" x14ac:dyDescent="0.15">
      <c r="A1823" s="9">
        <v>1822</v>
      </c>
      <c r="B1823" s="10" t="s">
        <v>9</v>
      </c>
      <c r="C1823" s="11" t="s">
        <v>10</v>
      </c>
      <c r="D1823" s="12">
        <v>45623</v>
      </c>
      <c r="E1823" s="13" t="str">
        <f>+HYPERLINK("http://trademark.i-assist.jp/data/china/image_1913th/80639754.pdf","80639754")</f>
        <v>80639754</v>
      </c>
      <c r="F1823" s="11" t="s">
        <v>4505</v>
      </c>
      <c r="G1823" s="11" t="s">
        <v>4506</v>
      </c>
      <c r="H1823" s="11" t="s">
        <v>2294</v>
      </c>
      <c r="I1823" s="12">
        <v>45533</v>
      </c>
    </row>
    <row r="1824" spans="1:9" x14ac:dyDescent="0.15">
      <c r="A1824" s="9">
        <v>1823</v>
      </c>
      <c r="B1824" s="10" t="s">
        <v>9</v>
      </c>
      <c r="C1824" s="11" t="s">
        <v>10</v>
      </c>
      <c r="D1824" s="12">
        <v>45623</v>
      </c>
      <c r="E1824" s="13" t="str">
        <f>+HYPERLINK("http://trademark.i-assist.jp/data/china/image_1913th/80641469.pdf","80641469")</f>
        <v>80641469</v>
      </c>
      <c r="F1824" s="11" t="s">
        <v>1144</v>
      </c>
      <c r="G1824" s="11" t="s">
        <v>4507</v>
      </c>
      <c r="H1824" s="11" t="s">
        <v>1279</v>
      </c>
      <c r="I1824" s="12">
        <v>45533</v>
      </c>
    </row>
    <row r="1825" spans="1:9" x14ac:dyDescent="0.15">
      <c r="A1825" s="9">
        <v>1824</v>
      </c>
      <c r="B1825" s="10" t="s">
        <v>9</v>
      </c>
      <c r="C1825" s="11" t="s">
        <v>10</v>
      </c>
      <c r="D1825" s="12">
        <v>45623</v>
      </c>
      <c r="E1825" s="13" t="str">
        <f>+HYPERLINK("http://trademark.i-assist.jp/data/china/image_1913th/80646670.pdf","80646670")</f>
        <v>80646670</v>
      </c>
      <c r="F1825" s="11" t="s">
        <v>1145</v>
      </c>
      <c r="G1825" s="11" t="s">
        <v>1388</v>
      </c>
      <c r="H1825" s="11" t="s">
        <v>1389</v>
      </c>
      <c r="I1825" s="12">
        <v>45533</v>
      </c>
    </row>
    <row r="1826" spans="1:9" x14ac:dyDescent="0.15">
      <c r="A1826" s="9">
        <v>1825</v>
      </c>
      <c r="B1826" s="10" t="s">
        <v>9</v>
      </c>
      <c r="C1826" s="11" t="s">
        <v>10</v>
      </c>
      <c r="D1826" s="12">
        <v>45623</v>
      </c>
      <c r="E1826" s="13" t="str">
        <f>+HYPERLINK("http://trademark.i-assist.jp/data/china/image_1913th/80648650.pdf","80648650")</f>
        <v>80648650</v>
      </c>
      <c r="F1826" s="11" t="s">
        <v>1335</v>
      </c>
      <c r="G1826" s="11" t="s">
        <v>2000</v>
      </c>
      <c r="H1826" s="11" t="s">
        <v>2001</v>
      </c>
      <c r="I1826" s="12">
        <v>45533</v>
      </c>
    </row>
    <row r="1827" spans="1:9" x14ac:dyDescent="0.15">
      <c r="A1827" s="9">
        <v>1826</v>
      </c>
      <c r="B1827" s="10" t="s">
        <v>9</v>
      </c>
      <c r="C1827" s="11" t="s">
        <v>10</v>
      </c>
      <c r="D1827" s="12">
        <v>45623</v>
      </c>
      <c r="E1827" s="13" t="str">
        <f>+HYPERLINK("http://trademark.i-assist.jp/data/china/image_1913th/80654322.pdf","80654322")</f>
        <v>80654322</v>
      </c>
      <c r="F1827" s="11" t="s">
        <v>1146</v>
      </c>
      <c r="G1827" s="11" t="s">
        <v>3461</v>
      </c>
      <c r="H1827" s="11" t="s">
        <v>1290</v>
      </c>
      <c r="I1827" s="12">
        <v>45534</v>
      </c>
    </row>
    <row r="1828" spans="1:9" x14ac:dyDescent="0.15">
      <c r="A1828" s="9">
        <v>1827</v>
      </c>
      <c r="B1828" s="10" t="s">
        <v>9</v>
      </c>
      <c r="C1828" s="11" t="s">
        <v>10</v>
      </c>
      <c r="D1828" s="12">
        <v>45623</v>
      </c>
      <c r="E1828" s="13" t="str">
        <f>+HYPERLINK("http://trademark.i-assist.jp/data/china/image_1913th/80657374.pdf","80657374")</f>
        <v>80657374</v>
      </c>
      <c r="F1828" s="11" t="s">
        <v>1147</v>
      </c>
      <c r="G1828" s="11" t="s">
        <v>4508</v>
      </c>
      <c r="H1828" s="11" t="s">
        <v>4509</v>
      </c>
      <c r="I1828" s="12">
        <v>45534</v>
      </c>
    </row>
    <row r="1829" spans="1:9" x14ac:dyDescent="0.15">
      <c r="A1829" s="9">
        <v>1828</v>
      </c>
      <c r="B1829" s="10" t="s">
        <v>9</v>
      </c>
      <c r="C1829" s="11" t="s">
        <v>10</v>
      </c>
      <c r="D1829" s="12">
        <v>45623</v>
      </c>
      <c r="E1829" s="13" t="str">
        <f>+HYPERLINK("http://trademark.i-assist.jp/data/china/image_1913th/80658737.pdf","80658737")</f>
        <v>80658737</v>
      </c>
      <c r="F1829" s="11" t="s">
        <v>4510</v>
      </c>
      <c r="G1829" s="11" t="s">
        <v>635</v>
      </c>
      <c r="H1829" s="11" t="s">
        <v>3167</v>
      </c>
      <c r="I1829" s="12">
        <v>45534</v>
      </c>
    </row>
    <row r="1830" spans="1:9" x14ac:dyDescent="0.15">
      <c r="A1830" s="9">
        <v>1829</v>
      </c>
      <c r="B1830" s="10" t="s">
        <v>9</v>
      </c>
      <c r="C1830" s="11" t="s">
        <v>10</v>
      </c>
      <c r="D1830" s="12">
        <v>45623</v>
      </c>
      <c r="E1830" s="13" t="str">
        <f>+HYPERLINK("http://trademark.i-assist.jp/data/china/image_1913th/80665503.pdf","80665503")</f>
        <v>80665503</v>
      </c>
      <c r="F1830" s="11" t="s">
        <v>1148</v>
      </c>
      <c r="G1830" s="11" t="s">
        <v>3169</v>
      </c>
      <c r="H1830" s="11" t="s">
        <v>1807</v>
      </c>
      <c r="I1830" s="12">
        <v>45534</v>
      </c>
    </row>
    <row r="1831" spans="1:9" x14ac:dyDescent="0.15">
      <c r="A1831" s="9">
        <v>1830</v>
      </c>
      <c r="B1831" s="10" t="s">
        <v>9</v>
      </c>
      <c r="C1831" s="11" t="s">
        <v>10</v>
      </c>
      <c r="D1831" s="12">
        <v>45623</v>
      </c>
      <c r="E1831" s="13" t="str">
        <f>+HYPERLINK("http://trademark.i-assist.jp/data/china/image_1913th/80670101.pdf","80670101")</f>
        <v>80670101</v>
      </c>
      <c r="F1831" s="11" t="s">
        <v>4511</v>
      </c>
      <c r="G1831" s="11" t="s">
        <v>705</v>
      </c>
      <c r="H1831" s="11" t="s">
        <v>4512</v>
      </c>
      <c r="I1831" s="12">
        <v>45534</v>
      </c>
    </row>
    <row r="1832" spans="1:9" x14ac:dyDescent="0.15">
      <c r="A1832" s="9">
        <v>1831</v>
      </c>
      <c r="B1832" s="10" t="s">
        <v>9</v>
      </c>
      <c r="C1832" s="11" t="s">
        <v>10</v>
      </c>
      <c r="D1832" s="12">
        <v>45623</v>
      </c>
      <c r="E1832" s="13" t="str">
        <f>+HYPERLINK("http://trademark.i-assist.jp/data/china/image_1913th/80673334.pdf","80673334")</f>
        <v>80673334</v>
      </c>
      <c r="F1832" s="11" t="s">
        <v>4513</v>
      </c>
      <c r="G1832" s="11" t="s">
        <v>4514</v>
      </c>
      <c r="H1832" s="11" t="s">
        <v>4515</v>
      </c>
      <c r="I1832" s="12">
        <v>45535</v>
      </c>
    </row>
    <row r="1833" spans="1:9" x14ac:dyDescent="0.15">
      <c r="A1833" s="9">
        <v>1832</v>
      </c>
      <c r="B1833" s="10" t="s">
        <v>9</v>
      </c>
      <c r="C1833" s="11" t="s">
        <v>10</v>
      </c>
      <c r="D1833" s="12">
        <v>45623</v>
      </c>
      <c r="E1833" s="13" t="str">
        <f>+HYPERLINK("http://trademark.i-assist.jp/data/china/image_1913th/80673414.pdf","80673414")</f>
        <v>80673414</v>
      </c>
      <c r="F1833" s="11" t="s">
        <v>4516</v>
      </c>
      <c r="G1833" s="11" t="s">
        <v>169</v>
      </c>
      <c r="H1833" s="11" t="s">
        <v>1742</v>
      </c>
      <c r="I1833" s="12">
        <v>45535</v>
      </c>
    </row>
    <row r="1834" spans="1:9" x14ac:dyDescent="0.15">
      <c r="A1834" s="9">
        <v>1833</v>
      </c>
      <c r="B1834" s="10" t="s">
        <v>9</v>
      </c>
      <c r="C1834" s="11" t="s">
        <v>10</v>
      </c>
      <c r="D1834" s="12">
        <v>45623</v>
      </c>
      <c r="E1834" s="13" t="str">
        <f>+HYPERLINK("http://trademark.i-assist.jp/data/china/image_1913th/80674009.pdf","80674009")</f>
        <v>80674009</v>
      </c>
      <c r="F1834" s="11" t="s">
        <v>1149</v>
      </c>
      <c r="G1834" s="11" t="s">
        <v>4517</v>
      </c>
      <c r="H1834" s="11" t="s">
        <v>4518</v>
      </c>
      <c r="I1834" s="12">
        <v>45535</v>
      </c>
    </row>
    <row r="1835" spans="1:9" x14ac:dyDescent="0.15">
      <c r="A1835" s="9">
        <v>1834</v>
      </c>
      <c r="B1835" s="10" t="s">
        <v>9</v>
      </c>
      <c r="C1835" s="11" t="s">
        <v>10</v>
      </c>
      <c r="D1835" s="12">
        <v>45623</v>
      </c>
      <c r="E1835" s="13" t="str">
        <f>+HYPERLINK("http://trademark.i-assist.jp/data/china/image_1913th/80675194.pdf","80675194")</f>
        <v>80675194</v>
      </c>
      <c r="F1835" s="11" t="s">
        <v>4519</v>
      </c>
      <c r="G1835" s="11" t="s">
        <v>169</v>
      </c>
      <c r="H1835" s="11" t="s">
        <v>1742</v>
      </c>
      <c r="I1835" s="12">
        <v>45535</v>
      </c>
    </row>
    <row r="1836" spans="1:9" x14ac:dyDescent="0.15">
      <c r="A1836" s="9">
        <v>1835</v>
      </c>
      <c r="B1836" s="10" t="s">
        <v>9</v>
      </c>
      <c r="C1836" s="11" t="s">
        <v>10</v>
      </c>
      <c r="D1836" s="12">
        <v>45623</v>
      </c>
      <c r="E1836" s="13" t="str">
        <f>+HYPERLINK("http://trademark.i-assist.jp/data/china/image_1913th/80680281.pdf","80680281")</f>
        <v>80680281</v>
      </c>
      <c r="F1836" s="11" t="s">
        <v>4520</v>
      </c>
      <c r="G1836" s="11" t="s">
        <v>2207</v>
      </c>
      <c r="H1836" s="11" t="s">
        <v>2208</v>
      </c>
      <c r="I1836" s="12">
        <v>45536</v>
      </c>
    </row>
    <row r="1837" spans="1:9" x14ac:dyDescent="0.15">
      <c r="A1837" s="9">
        <v>1836</v>
      </c>
      <c r="B1837" s="10" t="s">
        <v>9</v>
      </c>
      <c r="C1837" s="11" t="s">
        <v>10</v>
      </c>
      <c r="D1837" s="12">
        <v>45623</v>
      </c>
      <c r="E1837" s="13" t="str">
        <f>+HYPERLINK("http://trademark.i-assist.jp/data/china/image_1913th/80705704.pdf","80705704")</f>
        <v>80705704</v>
      </c>
      <c r="F1837" s="11" t="s">
        <v>1335</v>
      </c>
      <c r="G1837" s="11" t="s">
        <v>4521</v>
      </c>
      <c r="H1837" s="11" t="s">
        <v>4522</v>
      </c>
      <c r="I1837" s="12">
        <v>45537</v>
      </c>
    </row>
    <row r="1838" spans="1:9" x14ac:dyDescent="0.15">
      <c r="A1838" s="9">
        <v>1837</v>
      </c>
      <c r="B1838" s="10" t="s">
        <v>9</v>
      </c>
      <c r="C1838" s="11" t="s">
        <v>10</v>
      </c>
      <c r="D1838" s="12">
        <v>45623</v>
      </c>
      <c r="E1838" s="13" t="str">
        <f>+HYPERLINK("http://trademark.i-assist.jp/data/china/image_1913th/80709532.pdf","80709532")</f>
        <v>80709532</v>
      </c>
      <c r="F1838" s="11" t="s">
        <v>4523</v>
      </c>
      <c r="G1838" s="11" t="s">
        <v>1780</v>
      </c>
      <c r="H1838" s="11" t="s">
        <v>1781</v>
      </c>
      <c r="I1838" s="12">
        <v>45538</v>
      </c>
    </row>
    <row r="1839" spans="1:9" x14ac:dyDescent="0.15">
      <c r="A1839" s="9">
        <v>1838</v>
      </c>
      <c r="B1839" s="10" t="s">
        <v>9</v>
      </c>
      <c r="C1839" s="11" t="s">
        <v>10</v>
      </c>
      <c r="D1839" s="12">
        <v>45623</v>
      </c>
      <c r="E1839" s="13" t="str">
        <f>+HYPERLINK("http://trademark.i-assist.jp/data/china/image_1913th/80710363.pdf","80710363")</f>
        <v>80710363</v>
      </c>
      <c r="F1839" s="11" t="s">
        <v>1150</v>
      </c>
      <c r="G1839" s="11" t="s">
        <v>4524</v>
      </c>
      <c r="H1839" s="11" t="s">
        <v>4525</v>
      </c>
      <c r="I1839" s="12">
        <v>45538</v>
      </c>
    </row>
    <row r="1840" spans="1:9" x14ac:dyDescent="0.15">
      <c r="A1840" s="9">
        <v>1839</v>
      </c>
      <c r="B1840" s="10" t="s">
        <v>9</v>
      </c>
      <c r="C1840" s="11" t="s">
        <v>10</v>
      </c>
      <c r="D1840" s="12">
        <v>45623</v>
      </c>
      <c r="E1840" s="13" t="str">
        <f>+HYPERLINK("http://trademark.i-assist.jp/data/china/image_1913th/80714323.pdf","80714323")</f>
        <v>80714323</v>
      </c>
      <c r="F1840" s="11" t="s">
        <v>1335</v>
      </c>
      <c r="G1840" s="11" t="s">
        <v>4526</v>
      </c>
      <c r="H1840" s="11" t="s">
        <v>4527</v>
      </c>
      <c r="I1840" s="12">
        <v>45538</v>
      </c>
    </row>
    <row r="1841" spans="1:9" x14ac:dyDescent="0.15">
      <c r="A1841" s="9">
        <v>1840</v>
      </c>
      <c r="B1841" s="10" t="s">
        <v>9</v>
      </c>
      <c r="C1841" s="11" t="s">
        <v>10</v>
      </c>
      <c r="D1841" s="12">
        <v>45623</v>
      </c>
      <c r="E1841" s="13" t="str">
        <f>+HYPERLINK("http://trademark.i-assist.jp/data/china/image_1913th/80715805.pdf","80715805")</f>
        <v>80715805</v>
      </c>
      <c r="F1841" s="11" t="s">
        <v>4528</v>
      </c>
      <c r="G1841" s="11" t="s">
        <v>1780</v>
      </c>
      <c r="H1841" s="11" t="s">
        <v>1781</v>
      </c>
      <c r="I1841" s="12">
        <v>45538</v>
      </c>
    </row>
    <row r="1842" spans="1:9" x14ac:dyDescent="0.15">
      <c r="A1842" s="9">
        <v>1841</v>
      </c>
      <c r="B1842" s="10" t="s">
        <v>9</v>
      </c>
      <c r="C1842" s="11" t="s">
        <v>10</v>
      </c>
      <c r="D1842" s="12">
        <v>45623</v>
      </c>
      <c r="E1842" s="13" t="str">
        <f>+HYPERLINK("http://trademark.i-assist.jp/data/china/image_1913th/80717388.pdf","80717388")</f>
        <v>80717388</v>
      </c>
      <c r="F1842" s="11" t="s">
        <v>4529</v>
      </c>
      <c r="G1842" s="11" t="s">
        <v>1659</v>
      </c>
      <c r="H1842" s="11" t="s">
        <v>1660</v>
      </c>
      <c r="I1842" s="12">
        <v>45538</v>
      </c>
    </row>
    <row r="1843" spans="1:9" x14ac:dyDescent="0.15">
      <c r="A1843" s="9">
        <v>1842</v>
      </c>
      <c r="B1843" s="10" t="s">
        <v>9</v>
      </c>
      <c r="C1843" s="11" t="s">
        <v>10</v>
      </c>
      <c r="D1843" s="12">
        <v>45623</v>
      </c>
      <c r="E1843" s="13" t="str">
        <f>+HYPERLINK("http://trademark.i-assist.jp/data/china/image_1913th/80721219.pdf","80721219")</f>
        <v>80721219</v>
      </c>
      <c r="F1843" s="11" t="s">
        <v>4530</v>
      </c>
      <c r="G1843" s="11" t="s">
        <v>1931</v>
      </c>
      <c r="H1843" s="11" t="s">
        <v>1423</v>
      </c>
      <c r="I1843" s="12">
        <v>45538</v>
      </c>
    </row>
    <row r="1844" spans="1:9" x14ac:dyDescent="0.15">
      <c r="A1844" s="9">
        <v>1843</v>
      </c>
      <c r="B1844" s="10" t="s">
        <v>9</v>
      </c>
      <c r="C1844" s="11" t="s">
        <v>10</v>
      </c>
      <c r="D1844" s="12">
        <v>45623</v>
      </c>
      <c r="E1844" s="13" t="str">
        <f>+HYPERLINK("http://trademark.i-assist.jp/data/china/image_1913th/80721320.pdf","80721320")</f>
        <v>80721320</v>
      </c>
      <c r="F1844" s="11" t="s">
        <v>4531</v>
      </c>
      <c r="G1844" s="11" t="s">
        <v>1942</v>
      </c>
      <c r="H1844" s="11" t="s">
        <v>1423</v>
      </c>
      <c r="I1844" s="12">
        <v>45538</v>
      </c>
    </row>
    <row r="1845" spans="1:9" x14ac:dyDescent="0.15">
      <c r="A1845" s="9">
        <v>1844</v>
      </c>
      <c r="B1845" s="10" t="s">
        <v>9</v>
      </c>
      <c r="C1845" s="11" t="s">
        <v>10</v>
      </c>
      <c r="D1845" s="12">
        <v>45623</v>
      </c>
      <c r="E1845" s="13" t="str">
        <f>+HYPERLINK("http://trademark.i-assist.jp/data/china/image_1913th/80721708.pdf","80721708")</f>
        <v>80721708</v>
      </c>
      <c r="F1845" s="11" t="s">
        <v>4532</v>
      </c>
      <c r="G1845" s="11" t="s">
        <v>4533</v>
      </c>
      <c r="H1845" s="11" t="s">
        <v>4534</v>
      </c>
      <c r="I1845" s="12">
        <v>45538</v>
      </c>
    </row>
    <row r="1846" spans="1:9" x14ac:dyDescent="0.15">
      <c r="A1846" s="9">
        <v>1845</v>
      </c>
      <c r="B1846" s="10" t="s">
        <v>9</v>
      </c>
      <c r="C1846" s="11" t="s">
        <v>10</v>
      </c>
      <c r="D1846" s="12">
        <v>45623</v>
      </c>
      <c r="E1846" s="13" t="str">
        <f>+HYPERLINK("http://trademark.i-assist.jp/data/china/image_1913th/80724237.pdf","80724237")</f>
        <v>80724237</v>
      </c>
      <c r="F1846" s="11" t="s">
        <v>1151</v>
      </c>
      <c r="G1846" s="11" t="s">
        <v>4535</v>
      </c>
      <c r="H1846" s="11" t="s">
        <v>4536</v>
      </c>
      <c r="I1846" s="12">
        <v>45538</v>
      </c>
    </row>
    <row r="1847" spans="1:9" x14ac:dyDescent="0.15">
      <c r="A1847" s="9">
        <v>1846</v>
      </c>
      <c r="B1847" s="10" t="s">
        <v>9</v>
      </c>
      <c r="C1847" s="11" t="s">
        <v>10</v>
      </c>
      <c r="D1847" s="12">
        <v>45623</v>
      </c>
      <c r="E1847" s="13" t="str">
        <f>+HYPERLINK("http://trademark.i-assist.jp/data/china/image_1913th/80568079.pdf","80568079")</f>
        <v>80568079</v>
      </c>
      <c r="F1847" s="11" t="s">
        <v>4537</v>
      </c>
      <c r="G1847" s="11" t="s">
        <v>1152</v>
      </c>
      <c r="H1847" s="11" t="s">
        <v>4538</v>
      </c>
      <c r="I1847" s="12">
        <v>45530</v>
      </c>
    </row>
    <row r="1848" spans="1:9" x14ac:dyDescent="0.15">
      <c r="A1848" s="9">
        <v>1847</v>
      </c>
      <c r="B1848" s="10" t="s">
        <v>9</v>
      </c>
      <c r="C1848" s="11" t="s">
        <v>10</v>
      </c>
      <c r="D1848" s="12">
        <v>45623</v>
      </c>
      <c r="E1848" s="13" t="str">
        <f>+HYPERLINK("http://trademark.i-assist.jp/data/china/image_1913th/80586394.pdf","80586394")</f>
        <v>80586394</v>
      </c>
      <c r="F1848" s="11" t="s">
        <v>1153</v>
      </c>
      <c r="G1848" s="11" t="s">
        <v>4539</v>
      </c>
      <c r="H1848" s="11" t="s">
        <v>4540</v>
      </c>
      <c r="I1848" s="12">
        <v>45531</v>
      </c>
    </row>
    <row r="1849" spans="1:9" x14ac:dyDescent="0.15">
      <c r="A1849" s="9">
        <v>1848</v>
      </c>
      <c r="B1849" s="10" t="s">
        <v>9</v>
      </c>
      <c r="C1849" s="11" t="s">
        <v>10</v>
      </c>
      <c r="D1849" s="12">
        <v>45623</v>
      </c>
      <c r="E1849" s="13" t="str">
        <f>+HYPERLINK("http://trademark.i-assist.jp/data/china/image_1913th/80590548.pdf","80590548")</f>
        <v>80590548</v>
      </c>
      <c r="F1849" s="11" t="s">
        <v>1154</v>
      </c>
      <c r="G1849" s="11" t="s">
        <v>4541</v>
      </c>
      <c r="H1849" s="11" t="s">
        <v>4542</v>
      </c>
      <c r="I1849" s="12">
        <v>45531</v>
      </c>
    </row>
    <row r="1850" spans="1:9" x14ac:dyDescent="0.15">
      <c r="A1850" s="9">
        <v>1849</v>
      </c>
      <c r="B1850" s="10" t="s">
        <v>9</v>
      </c>
      <c r="C1850" s="11" t="s">
        <v>10</v>
      </c>
      <c r="D1850" s="12">
        <v>45623</v>
      </c>
      <c r="E1850" s="13" t="str">
        <f>+HYPERLINK("http://trademark.i-assist.jp/data/china/image_1913th/80590472.pdf","80590472")</f>
        <v>80590472</v>
      </c>
      <c r="F1850" s="11" t="s">
        <v>4084</v>
      </c>
      <c r="G1850" s="11" t="s">
        <v>4085</v>
      </c>
      <c r="H1850" s="11" t="s">
        <v>4086</v>
      </c>
      <c r="I1850" s="12">
        <v>45531</v>
      </c>
    </row>
    <row r="1851" spans="1:9" x14ac:dyDescent="0.15">
      <c r="A1851" s="9">
        <v>1850</v>
      </c>
      <c r="B1851" s="10" t="s">
        <v>9</v>
      </c>
      <c r="C1851" s="11" t="s">
        <v>10</v>
      </c>
      <c r="D1851" s="12">
        <v>45623</v>
      </c>
      <c r="E1851" s="13" t="str">
        <f>+HYPERLINK("http://trademark.i-assist.jp/data/china/image_1913th/80592390.pdf","80592390")</f>
        <v>80592390</v>
      </c>
      <c r="F1851" s="11" t="s">
        <v>4543</v>
      </c>
      <c r="G1851" s="11" t="s">
        <v>1155</v>
      </c>
      <c r="H1851" s="11" t="s">
        <v>1480</v>
      </c>
      <c r="I1851" s="12">
        <v>45531</v>
      </c>
    </row>
    <row r="1852" spans="1:9" x14ac:dyDescent="0.15">
      <c r="A1852" s="9">
        <v>1851</v>
      </c>
      <c r="B1852" s="10" t="s">
        <v>9</v>
      </c>
      <c r="C1852" s="11" t="s">
        <v>10</v>
      </c>
      <c r="D1852" s="12">
        <v>45623</v>
      </c>
      <c r="E1852" s="13" t="str">
        <f>+HYPERLINK("http://trademark.i-assist.jp/data/china/image_1913th/80597788.pdf","80597788")</f>
        <v>80597788</v>
      </c>
      <c r="F1852" s="11" t="s">
        <v>4544</v>
      </c>
      <c r="G1852" s="11" t="s">
        <v>1484</v>
      </c>
      <c r="H1852" s="11" t="s">
        <v>1485</v>
      </c>
      <c r="I1852" s="12">
        <v>45531</v>
      </c>
    </row>
    <row r="1853" spans="1:9" x14ac:dyDescent="0.15">
      <c r="A1853" s="9">
        <v>1852</v>
      </c>
      <c r="B1853" s="10" t="s">
        <v>9</v>
      </c>
      <c r="C1853" s="11" t="s">
        <v>10</v>
      </c>
      <c r="D1853" s="12">
        <v>45623</v>
      </c>
      <c r="E1853" s="13" t="str">
        <f>+HYPERLINK("http://trademark.i-assist.jp/data/china/image_1913th/80602283.pdf","80602283")</f>
        <v>80602283</v>
      </c>
      <c r="F1853" s="11" t="s">
        <v>1156</v>
      </c>
      <c r="G1853" s="11" t="s">
        <v>4545</v>
      </c>
      <c r="H1853" s="11" t="s">
        <v>4546</v>
      </c>
      <c r="I1853" s="12">
        <v>45532</v>
      </c>
    </row>
    <row r="1854" spans="1:9" x14ac:dyDescent="0.15">
      <c r="A1854" s="9">
        <v>1853</v>
      </c>
      <c r="B1854" s="10" t="s">
        <v>9</v>
      </c>
      <c r="C1854" s="11" t="s">
        <v>10</v>
      </c>
      <c r="D1854" s="12">
        <v>45623</v>
      </c>
      <c r="E1854" s="13" t="str">
        <f>+HYPERLINK("http://trademark.i-assist.jp/data/china/image_1913th/80602438.pdf","80602438")</f>
        <v>80602438</v>
      </c>
      <c r="F1854" s="11" t="s">
        <v>1157</v>
      </c>
      <c r="G1854" s="11" t="s">
        <v>4158</v>
      </c>
      <c r="H1854" s="11" t="s">
        <v>1990</v>
      </c>
      <c r="I1854" s="12">
        <v>45532</v>
      </c>
    </row>
    <row r="1855" spans="1:9" x14ac:dyDescent="0.15">
      <c r="A1855" s="9">
        <v>1854</v>
      </c>
      <c r="B1855" s="10" t="s">
        <v>9</v>
      </c>
      <c r="C1855" s="11" t="s">
        <v>10</v>
      </c>
      <c r="D1855" s="12">
        <v>45623</v>
      </c>
      <c r="E1855" s="13" t="str">
        <f>+HYPERLINK("http://trademark.i-assist.jp/data/china/image_1913th/80683459.pdf","80683459")</f>
        <v>80683459</v>
      </c>
      <c r="F1855" s="11" t="s">
        <v>1158</v>
      </c>
      <c r="G1855" s="11" t="s">
        <v>4547</v>
      </c>
      <c r="H1855" s="11" t="s">
        <v>1768</v>
      </c>
      <c r="I1855" s="12">
        <v>45537</v>
      </c>
    </row>
    <row r="1856" spans="1:9" x14ac:dyDescent="0.15">
      <c r="A1856" s="9">
        <v>1855</v>
      </c>
      <c r="B1856" s="10" t="s">
        <v>9</v>
      </c>
      <c r="C1856" s="11" t="s">
        <v>10</v>
      </c>
      <c r="D1856" s="12">
        <v>45623</v>
      </c>
      <c r="E1856" s="13" t="str">
        <f>+HYPERLINK("http://trademark.i-assist.jp/data/china/image_1913th/80684147.pdf","80684147")</f>
        <v>80684147</v>
      </c>
      <c r="F1856" s="11" t="s">
        <v>4548</v>
      </c>
      <c r="G1856" s="11" t="s">
        <v>1410</v>
      </c>
      <c r="H1856" s="11" t="s">
        <v>1411</v>
      </c>
      <c r="I1856" s="12">
        <v>45537</v>
      </c>
    </row>
    <row r="1857" spans="1:9" x14ac:dyDescent="0.15">
      <c r="A1857" s="9">
        <v>1856</v>
      </c>
      <c r="B1857" s="10" t="s">
        <v>9</v>
      </c>
      <c r="C1857" s="11" t="s">
        <v>10</v>
      </c>
      <c r="D1857" s="12">
        <v>45623</v>
      </c>
      <c r="E1857" s="13" t="str">
        <f>+HYPERLINK("http://trademark.i-assist.jp/data/china/image_1913th/80686716.pdf","80686716")</f>
        <v>80686716</v>
      </c>
      <c r="F1857" s="11" t="s">
        <v>1160</v>
      </c>
      <c r="G1857" s="11" t="s">
        <v>1159</v>
      </c>
      <c r="H1857" s="11" t="s">
        <v>1376</v>
      </c>
      <c r="I1857" s="12">
        <v>45537</v>
      </c>
    </row>
    <row r="1858" spans="1:9" x14ac:dyDescent="0.15">
      <c r="A1858" s="9">
        <v>1857</v>
      </c>
      <c r="B1858" s="10" t="s">
        <v>9</v>
      </c>
      <c r="C1858" s="11" t="s">
        <v>10</v>
      </c>
      <c r="D1858" s="12">
        <v>45623</v>
      </c>
      <c r="E1858" s="13" t="str">
        <f>+HYPERLINK("http://trademark.i-assist.jp/data/china/image_1913th/80687706.pdf","80687706")</f>
        <v>80687706</v>
      </c>
      <c r="F1858" s="11" t="s">
        <v>4549</v>
      </c>
      <c r="G1858" s="11" t="s">
        <v>4550</v>
      </c>
      <c r="H1858" s="11" t="s">
        <v>4551</v>
      </c>
      <c r="I1858" s="12">
        <v>45537</v>
      </c>
    </row>
    <row r="1859" spans="1:9" x14ac:dyDescent="0.15">
      <c r="A1859" s="9">
        <v>1858</v>
      </c>
      <c r="B1859" s="10" t="s">
        <v>9</v>
      </c>
      <c r="C1859" s="11" t="s">
        <v>10</v>
      </c>
      <c r="D1859" s="12">
        <v>45623</v>
      </c>
      <c r="E1859" s="13" t="str">
        <f>+HYPERLINK("http://trademark.i-assist.jp/data/china/image_1913th/80693611.pdf","80693611")</f>
        <v>80693611</v>
      </c>
      <c r="F1859" s="11" t="s">
        <v>4552</v>
      </c>
      <c r="G1859" s="11" t="s">
        <v>1161</v>
      </c>
      <c r="H1859" s="11" t="s">
        <v>1376</v>
      </c>
      <c r="I1859" s="12">
        <v>45537</v>
      </c>
    </row>
    <row r="1860" spans="1:9" x14ac:dyDescent="0.15">
      <c r="A1860" s="9">
        <v>1859</v>
      </c>
      <c r="B1860" s="10" t="s">
        <v>9</v>
      </c>
      <c r="C1860" s="11" t="s">
        <v>10</v>
      </c>
      <c r="D1860" s="12">
        <v>45623</v>
      </c>
      <c r="E1860" s="13" t="str">
        <f>+HYPERLINK("http://trademark.i-assist.jp/data/china/image_1913th/80694885.pdf","80694885")</f>
        <v>80694885</v>
      </c>
      <c r="F1860" s="11" t="s">
        <v>1162</v>
      </c>
      <c r="G1860" s="11" t="s">
        <v>4553</v>
      </c>
      <c r="H1860" s="11" t="s">
        <v>4554</v>
      </c>
      <c r="I1860" s="12">
        <v>45537</v>
      </c>
    </row>
    <row r="1861" spans="1:9" x14ac:dyDescent="0.15">
      <c r="A1861" s="9">
        <v>1860</v>
      </c>
      <c r="B1861" s="10" t="s">
        <v>9</v>
      </c>
      <c r="C1861" s="11" t="s">
        <v>10</v>
      </c>
      <c r="D1861" s="12">
        <v>45623</v>
      </c>
      <c r="E1861" s="13" t="str">
        <f>+HYPERLINK("http://trademark.i-assist.jp/data/china/image_1913th/80698322.pdf","80698322")</f>
        <v>80698322</v>
      </c>
      <c r="F1861" s="11" t="s">
        <v>4555</v>
      </c>
      <c r="G1861" s="11" t="s">
        <v>3820</v>
      </c>
      <c r="H1861" s="11" t="s">
        <v>3821</v>
      </c>
      <c r="I1861" s="12">
        <v>45537</v>
      </c>
    </row>
    <row r="1862" spans="1:9" x14ac:dyDescent="0.15">
      <c r="A1862" s="9">
        <v>1861</v>
      </c>
      <c r="B1862" s="10" t="s">
        <v>9</v>
      </c>
      <c r="C1862" s="11" t="s">
        <v>10</v>
      </c>
      <c r="D1862" s="12">
        <v>45623</v>
      </c>
      <c r="E1862" s="13" t="str">
        <f>+HYPERLINK("http://trademark.i-assist.jp/data/china/image_1913th/55221590.pdf","55221590")</f>
        <v>55221590</v>
      </c>
      <c r="F1862" s="11" t="s">
        <v>4556</v>
      </c>
      <c r="G1862" s="11" t="s">
        <v>4557</v>
      </c>
      <c r="H1862" s="11" t="s">
        <v>4558</v>
      </c>
      <c r="I1862" s="12">
        <v>44300</v>
      </c>
    </row>
    <row r="1863" spans="1:9" x14ac:dyDescent="0.15">
      <c r="A1863" s="9">
        <v>1862</v>
      </c>
      <c r="B1863" s="10" t="s">
        <v>9</v>
      </c>
      <c r="C1863" s="11" t="s">
        <v>10</v>
      </c>
      <c r="D1863" s="12">
        <v>45623</v>
      </c>
      <c r="E1863" s="13" t="str">
        <f>+HYPERLINK("http://trademark.i-assist.jp/data/china/image_1913th/71634629.pdf","71634629")</f>
        <v>71634629</v>
      </c>
      <c r="F1863" s="11" t="s">
        <v>1163</v>
      </c>
      <c r="G1863" s="11" t="s">
        <v>2454</v>
      </c>
      <c r="H1863" s="11" t="s">
        <v>2455</v>
      </c>
      <c r="I1863" s="12">
        <v>45064</v>
      </c>
    </row>
    <row r="1864" spans="1:9" x14ac:dyDescent="0.15">
      <c r="A1864" s="9">
        <v>1863</v>
      </c>
      <c r="B1864" s="10" t="s">
        <v>9</v>
      </c>
      <c r="C1864" s="11" t="s">
        <v>10</v>
      </c>
      <c r="D1864" s="12">
        <v>45623</v>
      </c>
      <c r="E1864" s="13" t="str">
        <f>+HYPERLINK("http://trademark.i-assist.jp/data/china/image_1913th/75215980.pdf","75215980")</f>
        <v>75215980</v>
      </c>
      <c r="F1864" s="11" t="s">
        <v>1335</v>
      </c>
      <c r="G1864" s="11" t="s">
        <v>4559</v>
      </c>
      <c r="H1864" s="11" t="s">
        <v>4560</v>
      </c>
      <c r="I1864" s="12">
        <v>45246</v>
      </c>
    </row>
    <row r="1865" spans="1:9" x14ac:dyDescent="0.15">
      <c r="A1865" s="9">
        <v>1864</v>
      </c>
      <c r="B1865" s="10" t="s">
        <v>9</v>
      </c>
      <c r="C1865" s="11" t="s">
        <v>10</v>
      </c>
      <c r="D1865" s="12">
        <v>45623</v>
      </c>
      <c r="E1865" s="13" t="str">
        <f>+HYPERLINK("http://trademark.i-assist.jp/data/china/image_1913th/80370894.pdf","80370894")</f>
        <v>80370894</v>
      </c>
      <c r="F1865" s="11" t="s">
        <v>4561</v>
      </c>
      <c r="G1865" s="11" t="s">
        <v>4562</v>
      </c>
      <c r="H1865" s="11" t="s">
        <v>4563</v>
      </c>
      <c r="I1865" s="12">
        <v>45519</v>
      </c>
    </row>
    <row r="1866" spans="1:9" x14ac:dyDescent="0.15">
      <c r="A1866" s="9">
        <v>1865</v>
      </c>
      <c r="B1866" s="10" t="s">
        <v>9</v>
      </c>
      <c r="C1866" s="11" t="s">
        <v>10</v>
      </c>
      <c r="D1866" s="12">
        <v>45623</v>
      </c>
      <c r="E1866" s="13" t="str">
        <f>+HYPERLINK("http://trademark.i-assist.jp/data/china/image_1913th/80389470.pdf","80389470")</f>
        <v>80389470</v>
      </c>
      <c r="F1866" s="11" t="s">
        <v>4564</v>
      </c>
      <c r="G1866" s="11" t="s">
        <v>4565</v>
      </c>
      <c r="H1866" s="11" t="s">
        <v>4566</v>
      </c>
      <c r="I1866" s="12">
        <v>45519</v>
      </c>
    </row>
    <row r="1867" spans="1:9" x14ac:dyDescent="0.15">
      <c r="A1867" s="9">
        <v>1866</v>
      </c>
      <c r="B1867" s="10" t="s">
        <v>9</v>
      </c>
      <c r="C1867" s="11" t="s">
        <v>10</v>
      </c>
      <c r="D1867" s="12">
        <v>45623</v>
      </c>
      <c r="E1867" s="13" t="str">
        <f>+HYPERLINK("http://trademark.i-assist.jp/data/china/image_1913th/80431210.pdf","80431210")</f>
        <v>80431210</v>
      </c>
      <c r="F1867" s="11" t="s">
        <v>1164</v>
      </c>
      <c r="G1867" s="11" t="s">
        <v>4567</v>
      </c>
      <c r="H1867" s="11" t="s">
        <v>4568</v>
      </c>
      <c r="I1867" s="12">
        <v>45523</v>
      </c>
    </row>
    <row r="1868" spans="1:9" x14ac:dyDescent="0.15">
      <c r="A1868" s="9">
        <v>1867</v>
      </c>
      <c r="B1868" s="10" t="s">
        <v>9</v>
      </c>
      <c r="C1868" s="11" t="s">
        <v>10</v>
      </c>
      <c r="D1868" s="12">
        <v>45623</v>
      </c>
      <c r="E1868" s="13" t="str">
        <f>+HYPERLINK("http://trademark.i-assist.jp/data/china/image_1913th/80436323.pdf","80436323")</f>
        <v>80436323</v>
      </c>
      <c r="F1868" s="11" t="s">
        <v>4569</v>
      </c>
      <c r="G1868" s="11" t="s">
        <v>1165</v>
      </c>
      <c r="H1868" s="11" t="s">
        <v>4570</v>
      </c>
      <c r="I1868" s="12">
        <v>45523</v>
      </c>
    </row>
    <row r="1869" spans="1:9" x14ac:dyDescent="0.15">
      <c r="A1869" s="9">
        <v>1868</v>
      </c>
      <c r="B1869" s="10" t="s">
        <v>9</v>
      </c>
      <c r="C1869" s="11" t="s">
        <v>10</v>
      </c>
      <c r="D1869" s="12">
        <v>45623</v>
      </c>
      <c r="E1869" s="13" t="str">
        <f>+HYPERLINK("http://trademark.i-assist.jp/data/china/image_1913th/80459703.pdf","80459703")</f>
        <v>80459703</v>
      </c>
      <c r="F1869" s="11" t="s">
        <v>1166</v>
      </c>
      <c r="G1869" s="11" t="s">
        <v>4571</v>
      </c>
      <c r="H1869" s="11" t="s">
        <v>4572</v>
      </c>
      <c r="I1869" s="12">
        <v>45524</v>
      </c>
    </row>
    <row r="1870" spans="1:9" x14ac:dyDescent="0.15">
      <c r="A1870" s="9">
        <v>1869</v>
      </c>
      <c r="B1870" s="10" t="s">
        <v>9</v>
      </c>
      <c r="C1870" s="11" t="s">
        <v>10</v>
      </c>
      <c r="D1870" s="12">
        <v>45623</v>
      </c>
      <c r="E1870" s="13" t="str">
        <f>+HYPERLINK("http://trademark.i-assist.jp/data/china/image_1913th/78062715.pdf","78062715")</f>
        <v>78062715</v>
      </c>
      <c r="F1870" s="11" t="s">
        <v>4573</v>
      </c>
      <c r="G1870" s="11" t="s">
        <v>4574</v>
      </c>
      <c r="H1870" s="11" t="s">
        <v>4575</v>
      </c>
      <c r="I1870" s="12">
        <v>45400</v>
      </c>
    </row>
    <row r="1871" spans="1:9" x14ac:dyDescent="0.15">
      <c r="A1871" s="9">
        <v>1870</v>
      </c>
      <c r="B1871" s="10" t="s">
        <v>9</v>
      </c>
      <c r="C1871" s="11" t="s">
        <v>10</v>
      </c>
      <c r="D1871" s="12">
        <v>45623</v>
      </c>
      <c r="E1871" s="13" t="str">
        <f>+HYPERLINK("http://trademark.i-assist.jp/data/china/image_1913th/80913743.pdf","80913743")</f>
        <v>80913743</v>
      </c>
      <c r="F1871" s="11" t="s">
        <v>4576</v>
      </c>
      <c r="G1871" s="11" t="s">
        <v>4577</v>
      </c>
      <c r="H1871" s="11" t="s">
        <v>4578</v>
      </c>
      <c r="I1871" s="12">
        <v>45547</v>
      </c>
    </row>
    <row r="1872" spans="1:9" x14ac:dyDescent="0.15">
      <c r="A1872" s="9">
        <v>1871</v>
      </c>
      <c r="B1872" s="10" t="s">
        <v>9</v>
      </c>
      <c r="C1872" s="11" t="s">
        <v>10</v>
      </c>
      <c r="D1872" s="12">
        <v>45623</v>
      </c>
      <c r="E1872" s="13" t="str">
        <f>+HYPERLINK("http://trademark.i-assist.jp/data/china/image_1913th/70709162.pdf","70709162")</f>
        <v>70709162</v>
      </c>
      <c r="F1872" s="11" t="s">
        <v>4579</v>
      </c>
      <c r="G1872" s="11" t="s">
        <v>4580</v>
      </c>
      <c r="H1872" s="11" t="s">
        <v>4581</v>
      </c>
      <c r="I1872" s="12">
        <v>45022</v>
      </c>
    </row>
    <row r="1873" spans="1:9" x14ac:dyDescent="0.15">
      <c r="A1873" s="9">
        <v>1872</v>
      </c>
      <c r="B1873" s="10" t="s">
        <v>9</v>
      </c>
      <c r="C1873" s="11" t="s">
        <v>10</v>
      </c>
      <c r="D1873" s="12">
        <v>45623</v>
      </c>
      <c r="E1873" s="13" t="str">
        <f>+HYPERLINK("http://trademark.i-assist.jp/data/china/image_1913th/80474207.pdf","80474207")</f>
        <v>80474207</v>
      </c>
      <c r="F1873" s="11" t="s">
        <v>1167</v>
      </c>
      <c r="G1873" s="11" t="s">
        <v>4582</v>
      </c>
      <c r="H1873" s="11" t="s">
        <v>4583</v>
      </c>
      <c r="I1873" s="12">
        <v>45525</v>
      </c>
    </row>
    <row r="1874" spans="1:9" x14ac:dyDescent="0.15">
      <c r="A1874" s="9">
        <v>1873</v>
      </c>
      <c r="B1874" s="10" t="s">
        <v>9</v>
      </c>
      <c r="C1874" s="11" t="s">
        <v>10</v>
      </c>
      <c r="D1874" s="12">
        <v>45623</v>
      </c>
      <c r="E1874" s="13" t="str">
        <f>+HYPERLINK("http://trademark.i-assist.jp/data/china/image_1913th/80497797.pdf","80497797")</f>
        <v>80497797</v>
      </c>
      <c r="F1874" s="11" t="s">
        <v>1169</v>
      </c>
      <c r="G1874" s="11" t="s">
        <v>1168</v>
      </c>
      <c r="H1874" s="11" t="s">
        <v>4584</v>
      </c>
      <c r="I1874" s="12">
        <v>45526</v>
      </c>
    </row>
    <row r="1875" spans="1:9" x14ac:dyDescent="0.15">
      <c r="A1875" s="9">
        <v>1874</v>
      </c>
      <c r="B1875" s="10" t="s">
        <v>9</v>
      </c>
      <c r="C1875" s="11" t="s">
        <v>10</v>
      </c>
      <c r="D1875" s="12">
        <v>45623</v>
      </c>
      <c r="E1875" s="13" t="str">
        <f>+HYPERLINK("http://trademark.i-assist.jp/data/china/image_1913th/80507090.pdf","80507090")</f>
        <v>80507090</v>
      </c>
      <c r="F1875" s="11" t="s">
        <v>4585</v>
      </c>
      <c r="G1875" s="11" t="s">
        <v>4586</v>
      </c>
      <c r="H1875" s="11" t="s">
        <v>4587</v>
      </c>
      <c r="I1875" s="12">
        <v>45526</v>
      </c>
    </row>
    <row r="1876" spans="1:9" x14ac:dyDescent="0.15">
      <c r="A1876" s="9">
        <v>1875</v>
      </c>
      <c r="B1876" s="10" t="s">
        <v>9</v>
      </c>
      <c r="C1876" s="11" t="s">
        <v>10</v>
      </c>
      <c r="D1876" s="12">
        <v>45623</v>
      </c>
      <c r="E1876" s="13" t="str">
        <f>+HYPERLINK("http://trademark.i-assist.jp/data/china/image_1913th/80517732.pdf","80517732")</f>
        <v>80517732</v>
      </c>
      <c r="F1876" s="11" t="s">
        <v>4588</v>
      </c>
      <c r="G1876" s="11" t="s">
        <v>3957</v>
      </c>
      <c r="H1876" s="11" t="s">
        <v>1567</v>
      </c>
      <c r="I1876" s="12">
        <v>45526</v>
      </c>
    </row>
    <row r="1877" spans="1:9" x14ac:dyDescent="0.15">
      <c r="A1877" s="9">
        <v>1876</v>
      </c>
      <c r="B1877" s="10" t="s">
        <v>9</v>
      </c>
      <c r="C1877" s="11" t="s">
        <v>10</v>
      </c>
      <c r="D1877" s="12">
        <v>45623</v>
      </c>
      <c r="E1877" s="13" t="str">
        <f>+HYPERLINK("http://trademark.i-assist.jp/data/china/image_1913th/80537910.pdf","80537910")</f>
        <v>80537910</v>
      </c>
      <c r="F1877" s="11" t="s">
        <v>1170</v>
      </c>
      <c r="G1877" s="11" t="s">
        <v>4589</v>
      </c>
      <c r="H1877" s="11" t="s">
        <v>4590</v>
      </c>
      <c r="I1877" s="12">
        <v>45527</v>
      </c>
    </row>
    <row r="1878" spans="1:9" x14ac:dyDescent="0.15">
      <c r="A1878" s="9">
        <v>1877</v>
      </c>
      <c r="B1878" s="10" t="s">
        <v>9</v>
      </c>
      <c r="C1878" s="11" t="s">
        <v>10</v>
      </c>
      <c r="D1878" s="12">
        <v>45623</v>
      </c>
      <c r="E1878" s="13" t="str">
        <f>+HYPERLINK("http://trademark.i-assist.jp/data/china/image_1913th/80685417.pdf","80685417")</f>
        <v>80685417</v>
      </c>
      <c r="F1878" s="11" t="s">
        <v>1172</v>
      </c>
      <c r="G1878" s="11" t="s">
        <v>1171</v>
      </c>
      <c r="H1878" s="11" t="s">
        <v>4591</v>
      </c>
      <c r="I1878" s="12">
        <v>45537</v>
      </c>
    </row>
    <row r="1879" spans="1:9" x14ac:dyDescent="0.15">
      <c r="A1879" s="9">
        <v>1878</v>
      </c>
      <c r="B1879" s="10" t="s">
        <v>9</v>
      </c>
      <c r="C1879" s="11" t="s">
        <v>10</v>
      </c>
      <c r="D1879" s="12">
        <v>45623</v>
      </c>
      <c r="E1879" s="13" t="str">
        <f>+HYPERLINK("http://trademark.i-assist.jp/data/china/image_1913th/80685895.pdf","80685895")</f>
        <v>80685895</v>
      </c>
      <c r="F1879" s="11" t="s">
        <v>4592</v>
      </c>
      <c r="G1879" s="11" t="s">
        <v>4593</v>
      </c>
      <c r="H1879" s="11" t="s">
        <v>4594</v>
      </c>
      <c r="I1879" s="12">
        <v>45537</v>
      </c>
    </row>
    <row r="1880" spans="1:9" x14ac:dyDescent="0.15">
      <c r="A1880" s="9">
        <v>1879</v>
      </c>
      <c r="B1880" s="10" t="s">
        <v>9</v>
      </c>
      <c r="C1880" s="11" t="s">
        <v>10</v>
      </c>
      <c r="D1880" s="12">
        <v>45623</v>
      </c>
      <c r="E1880" s="13" t="str">
        <f>+HYPERLINK("http://trademark.i-assist.jp/data/china/image_1913th/80687050.pdf","80687050")</f>
        <v>80687050</v>
      </c>
      <c r="F1880" s="11" t="s">
        <v>1174</v>
      </c>
      <c r="G1880" s="11" t="s">
        <v>1173</v>
      </c>
      <c r="H1880" s="11" t="s">
        <v>4595</v>
      </c>
      <c r="I1880" s="12">
        <v>45537</v>
      </c>
    </row>
    <row r="1881" spans="1:9" x14ac:dyDescent="0.15">
      <c r="A1881" s="9">
        <v>1880</v>
      </c>
      <c r="B1881" s="10" t="s">
        <v>9</v>
      </c>
      <c r="C1881" s="11" t="s">
        <v>10</v>
      </c>
      <c r="D1881" s="12">
        <v>45623</v>
      </c>
      <c r="E1881" s="13" t="str">
        <f>+HYPERLINK("http://trademark.i-assist.jp/data/china/image_1913th/80687057.pdf","80687057")</f>
        <v>80687057</v>
      </c>
      <c r="F1881" s="11" t="s">
        <v>1175</v>
      </c>
      <c r="G1881" s="11" t="s">
        <v>374</v>
      </c>
      <c r="H1881" s="11" t="s">
        <v>2389</v>
      </c>
      <c r="I1881" s="12">
        <v>45537</v>
      </c>
    </row>
    <row r="1882" spans="1:9" x14ac:dyDescent="0.15">
      <c r="A1882" s="9">
        <v>1881</v>
      </c>
      <c r="B1882" s="10" t="s">
        <v>9</v>
      </c>
      <c r="C1882" s="11" t="s">
        <v>10</v>
      </c>
      <c r="D1882" s="12">
        <v>45623</v>
      </c>
      <c r="E1882" s="13" t="str">
        <f>+HYPERLINK("http://trademark.i-assist.jp/data/china/image_1913th/80687298.pdf","80687298")</f>
        <v>80687298</v>
      </c>
      <c r="F1882" s="11" t="s">
        <v>4596</v>
      </c>
      <c r="G1882" s="11" t="s">
        <v>4597</v>
      </c>
      <c r="H1882" s="11" t="s">
        <v>4598</v>
      </c>
      <c r="I1882" s="12">
        <v>45537</v>
      </c>
    </row>
    <row r="1883" spans="1:9" x14ac:dyDescent="0.15">
      <c r="A1883" s="9">
        <v>1882</v>
      </c>
      <c r="B1883" s="10" t="s">
        <v>9</v>
      </c>
      <c r="C1883" s="11" t="s">
        <v>10</v>
      </c>
      <c r="D1883" s="12">
        <v>45623</v>
      </c>
      <c r="E1883" s="13" t="str">
        <f>+HYPERLINK("http://trademark.i-assist.jp/data/china/image_1913th/80687438.pdf","80687438")</f>
        <v>80687438</v>
      </c>
      <c r="F1883" s="11" t="s">
        <v>4599</v>
      </c>
      <c r="G1883" s="11" t="s">
        <v>4600</v>
      </c>
      <c r="H1883" s="11" t="s">
        <v>4601</v>
      </c>
      <c r="I1883" s="12">
        <v>45537</v>
      </c>
    </row>
    <row r="1884" spans="1:9" x14ac:dyDescent="0.15">
      <c r="A1884" s="9">
        <v>1883</v>
      </c>
      <c r="B1884" s="10" t="s">
        <v>9</v>
      </c>
      <c r="C1884" s="11" t="s">
        <v>10</v>
      </c>
      <c r="D1884" s="12">
        <v>45623</v>
      </c>
      <c r="E1884" s="13" t="str">
        <f>+HYPERLINK("http://trademark.i-assist.jp/data/china/image_1913th/80688984.pdf","80688984")</f>
        <v>80688984</v>
      </c>
      <c r="F1884" s="11" t="s">
        <v>4602</v>
      </c>
      <c r="G1884" s="11" t="s">
        <v>3957</v>
      </c>
      <c r="H1884" s="11" t="s">
        <v>1807</v>
      </c>
      <c r="I1884" s="12">
        <v>45537</v>
      </c>
    </row>
    <row r="1885" spans="1:9" x14ac:dyDescent="0.15">
      <c r="A1885" s="9">
        <v>1884</v>
      </c>
      <c r="B1885" s="10" t="s">
        <v>9</v>
      </c>
      <c r="C1885" s="11" t="s">
        <v>10</v>
      </c>
      <c r="D1885" s="12">
        <v>45623</v>
      </c>
      <c r="E1885" s="13" t="str">
        <f>+HYPERLINK("http://trademark.i-assist.jp/data/china/image_1913th/80690124.pdf","80690124")</f>
        <v>80690124</v>
      </c>
      <c r="F1885" s="11" t="s">
        <v>1176</v>
      </c>
      <c r="G1885" s="11" t="s">
        <v>3820</v>
      </c>
      <c r="H1885" s="11" t="s">
        <v>3821</v>
      </c>
      <c r="I1885" s="12">
        <v>45537</v>
      </c>
    </row>
    <row r="1886" spans="1:9" x14ac:dyDescent="0.15">
      <c r="A1886" s="9">
        <v>1885</v>
      </c>
      <c r="B1886" s="10" t="s">
        <v>9</v>
      </c>
      <c r="C1886" s="11" t="s">
        <v>10</v>
      </c>
      <c r="D1886" s="12">
        <v>45623</v>
      </c>
      <c r="E1886" s="13" t="str">
        <f>+HYPERLINK("http://trademark.i-assist.jp/data/china/image_1913th/80699685.pdf","80699685")</f>
        <v>80699685</v>
      </c>
      <c r="F1886" s="11" t="s">
        <v>4603</v>
      </c>
      <c r="G1886" s="11" t="s">
        <v>1397</v>
      </c>
      <c r="H1886" s="11" t="s">
        <v>1398</v>
      </c>
      <c r="I1886" s="12">
        <v>45537</v>
      </c>
    </row>
    <row r="1887" spans="1:9" x14ac:dyDescent="0.15">
      <c r="A1887" s="9">
        <v>1886</v>
      </c>
      <c r="B1887" s="10" t="s">
        <v>9</v>
      </c>
      <c r="C1887" s="11" t="s">
        <v>10</v>
      </c>
      <c r="D1887" s="12">
        <v>45623</v>
      </c>
      <c r="E1887" s="13" t="str">
        <f>+HYPERLINK("http://trademark.i-assist.jp/data/china/image_1913th/80567822.pdf","80567822")</f>
        <v>80567822</v>
      </c>
      <c r="F1887" s="11" t="s">
        <v>4604</v>
      </c>
      <c r="G1887" s="11" t="s">
        <v>4605</v>
      </c>
      <c r="H1887" s="11" t="s">
        <v>4606</v>
      </c>
      <c r="I1887" s="12">
        <v>45530</v>
      </c>
    </row>
    <row r="1888" spans="1:9" x14ac:dyDescent="0.15">
      <c r="A1888" s="9">
        <v>1887</v>
      </c>
      <c r="B1888" s="10" t="s">
        <v>9</v>
      </c>
      <c r="C1888" s="11" t="s">
        <v>10</v>
      </c>
      <c r="D1888" s="12">
        <v>45623</v>
      </c>
      <c r="E1888" s="13" t="str">
        <f>+HYPERLINK("http://trademark.i-assist.jp/data/china/image_1913th/80572393.pdf","80572393")</f>
        <v>80572393</v>
      </c>
      <c r="F1888" s="11" t="s">
        <v>1177</v>
      </c>
      <c r="G1888" s="11" t="s">
        <v>4607</v>
      </c>
      <c r="H1888" s="11" t="s">
        <v>4608</v>
      </c>
      <c r="I1888" s="12">
        <v>45530</v>
      </c>
    </row>
    <row r="1889" spans="1:9" x14ac:dyDescent="0.15">
      <c r="A1889" s="9">
        <v>1888</v>
      </c>
      <c r="B1889" s="10" t="s">
        <v>9</v>
      </c>
      <c r="C1889" s="11" t="s">
        <v>10</v>
      </c>
      <c r="D1889" s="12">
        <v>45623</v>
      </c>
      <c r="E1889" s="13" t="str">
        <f>+HYPERLINK("http://trademark.i-assist.jp/data/china/image_1913th/80584735.pdf","80584735")</f>
        <v>80584735</v>
      </c>
      <c r="F1889" s="11" t="s">
        <v>4609</v>
      </c>
      <c r="G1889" s="11" t="s">
        <v>4610</v>
      </c>
      <c r="H1889" s="11" t="s">
        <v>4611</v>
      </c>
      <c r="I1889" s="12">
        <v>45531</v>
      </c>
    </row>
    <row r="1890" spans="1:9" x14ac:dyDescent="0.15">
      <c r="A1890" s="9">
        <v>1889</v>
      </c>
      <c r="B1890" s="10" t="s">
        <v>9</v>
      </c>
      <c r="C1890" s="11" t="s">
        <v>10</v>
      </c>
      <c r="D1890" s="12">
        <v>45623</v>
      </c>
      <c r="E1890" s="13" t="str">
        <f>+HYPERLINK("http://trademark.i-assist.jp/data/china/image_1913th/80587473.pdf","80587473")</f>
        <v>80587473</v>
      </c>
      <c r="F1890" s="11" t="s">
        <v>1178</v>
      </c>
      <c r="G1890" s="11" t="s">
        <v>1155</v>
      </c>
      <c r="H1890" s="11" t="s">
        <v>1480</v>
      </c>
      <c r="I1890" s="12">
        <v>45531</v>
      </c>
    </row>
    <row r="1891" spans="1:9" x14ac:dyDescent="0.15">
      <c r="A1891" s="9">
        <v>1890</v>
      </c>
      <c r="B1891" s="10" t="s">
        <v>9</v>
      </c>
      <c r="C1891" s="11" t="s">
        <v>10</v>
      </c>
      <c r="D1891" s="12">
        <v>45623</v>
      </c>
      <c r="E1891" s="13" t="str">
        <f>+HYPERLINK("http://trademark.i-assist.jp/data/china/image_1913th/80594839.pdf","80594839")</f>
        <v>80594839</v>
      </c>
      <c r="F1891" s="11" t="s">
        <v>4612</v>
      </c>
      <c r="G1891" s="11" t="s">
        <v>4613</v>
      </c>
      <c r="H1891" s="11" t="s">
        <v>2356</v>
      </c>
      <c r="I1891" s="12">
        <v>45531</v>
      </c>
    </row>
    <row r="1892" spans="1:9" x14ac:dyDescent="0.15">
      <c r="A1892" s="9">
        <v>1891</v>
      </c>
      <c r="B1892" s="10" t="s">
        <v>9</v>
      </c>
      <c r="C1892" s="11" t="s">
        <v>10</v>
      </c>
      <c r="D1892" s="12">
        <v>45623</v>
      </c>
      <c r="E1892" s="13" t="str">
        <f>+HYPERLINK("http://trademark.i-assist.jp/data/china/image_1913th/80597974.pdf","80597974")</f>
        <v>80597974</v>
      </c>
      <c r="F1892" s="11" t="s">
        <v>1179</v>
      </c>
      <c r="G1892" s="11" t="s">
        <v>4614</v>
      </c>
      <c r="H1892" s="11" t="s">
        <v>4615</v>
      </c>
      <c r="I1892" s="12">
        <v>45531</v>
      </c>
    </row>
    <row r="1893" spans="1:9" x14ac:dyDescent="0.15">
      <c r="A1893" s="9">
        <v>1892</v>
      </c>
      <c r="B1893" s="10" t="s">
        <v>9</v>
      </c>
      <c r="C1893" s="11" t="s">
        <v>10</v>
      </c>
      <c r="D1893" s="12">
        <v>45623</v>
      </c>
      <c r="E1893" s="13" t="str">
        <f>+HYPERLINK("http://trademark.i-assist.jp/data/china/image_1913th/80599541.pdf","80599541")</f>
        <v>80599541</v>
      </c>
      <c r="F1893" s="11" t="s">
        <v>1181</v>
      </c>
      <c r="G1893" s="11" t="s">
        <v>1180</v>
      </c>
      <c r="H1893" s="11" t="s">
        <v>4616</v>
      </c>
      <c r="I1893" s="12">
        <v>45531</v>
      </c>
    </row>
    <row r="1894" spans="1:9" x14ac:dyDescent="0.15">
      <c r="A1894" s="9">
        <v>1893</v>
      </c>
      <c r="B1894" s="10" t="s">
        <v>9</v>
      </c>
      <c r="C1894" s="11" t="s">
        <v>10</v>
      </c>
      <c r="D1894" s="12">
        <v>45623</v>
      </c>
      <c r="E1894" s="13" t="str">
        <f>+HYPERLINK("http://trademark.i-assist.jp/data/china/image_1913th/80602265.pdf","80602265")</f>
        <v>80602265</v>
      </c>
      <c r="F1894" s="11" t="s">
        <v>4617</v>
      </c>
      <c r="G1894" s="11" t="s">
        <v>1182</v>
      </c>
      <c r="H1894" s="11" t="s">
        <v>4618</v>
      </c>
      <c r="I1894" s="12">
        <v>45532</v>
      </c>
    </row>
    <row r="1895" spans="1:9" x14ac:dyDescent="0.15">
      <c r="A1895" s="9">
        <v>1894</v>
      </c>
      <c r="B1895" s="10" t="s">
        <v>9</v>
      </c>
      <c r="C1895" s="11" t="s">
        <v>10</v>
      </c>
      <c r="D1895" s="12">
        <v>45623</v>
      </c>
      <c r="E1895" s="13" t="str">
        <f>+HYPERLINK("http://trademark.i-assist.jp/data/china/image_1913th/80603045.pdf","80603045")</f>
        <v>80603045</v>
      </c>
      <c r="F1895" s="11" t="s">
        <v>1183</v>
      </c>
      <c r="G1895" s="11" t="s">
        <v>4619</v>
      </c>
      <c r="H1895" s="11" t="s">
        <v>1430</v>
      </c>
      <c r="I1895" s="12">
        <v>45532</v>
      </c>
    </row>
    <row r="1896" spans="1:9" x14ac:dyDescent="0.15">
      <c r="A1896" s="9">
        <v>1895</v>
      </c>
      <c r="B1896" s="10" t="s">
        <v>9</v>
      </c>
      <c r="C1896" s="11" t="s">
        <v>10</v>
      </c>
      <c r="D1896" s="12">
        <v>45623</v>
      </c>
      <c r="E1896" s="13" t="str">
        <f>+HYPERLINK("http://trademark.i-assist.jp/data/china/image_1913th/80609393.pdf","80609393")</f>
        <v>80609393</v>
      </c>
      <c r="F1896" s="11" t="s">
        <v>4620</v>
      </c>
      <c r="G1896" s="11" t="s">
        <v>1184</v>
      </c>
      <c r="H1896" s="11" t="s">
        <v>4621</v>
      </c>
      <c r="I1896" s="12">
        <v>45532</v>
      </c>
    </row>
    <row r="1897" spans="1:9" x14ac:dyDescent="0.15">
      <c r="A1897" s="9">
        <v>1896</v>
      </c>
      <c r="B1897" s="10" t="s">
        <v>9</v>
      </c>
      <c r="C1897" s="11" t="s">
        <v>10</v>
      </c>
      <c r="D1897" s="12">
        <v>45623</v>
      </c>
      <c r="E1897" s="13" t="str">
        <f>+HYPERLINK("http://trademark.i-assist.jp/data/china/image_1913th/80610135.pdf","80610135")</f>
        <v>80610135</v>
      </c>
      <c r="F1897" s="11" t="s">
        <v>1185</v>
      </c>
      <c r="G1897" s="11" t="s">
        <v>4622</v>
      </c>
      <c r="H1897" s="11" t="s">
        <v>1861</v>
      </c>
      <c r="I1897" s="12">
        <v>45532</v>
      </c>
    </row>
    <row r="1898" spans="1:9" x14ac:dyDescent="0.15">
      <c r="A1898" s="9">
        <v>1897</v>
      </c>
      <c r="B1898" s="10" t="s">
        <v>9</v>
      </c>
      <c r="C1898" s="11" t="s">
        <v>10</v>
      </c>
      <c r="D1898" s="12">
        <v>45623</v>
      </c>
      <c r="E1898" s="13" t="str">
        <f>+HYPERLINK("http://trademark.i-assist.jp/data/china/image_1913th/80616883.pdf","80616883")</f>
        <v>80616883</v>
      </c>
      <c r="F1898" s="11" t="s">
        <v>4623</v>
      </c>
      <c r="G1898" s="11" t="s">
        <v>1615</v>
      </c>
      <c r="H1898" s="11" t="s">
        <v>1616</v>
      </c>
      <c r="I1898" s="12">
        <v>45532</v>
      </c>
    </row>
    <row r="1899" spans="1:9" x14ac:dyDescent="0.15">
      <c r="A1899" s="9">
        <v>1898</v>
      </c>
      <c r="B1899" s="10" t="s">
        <v>9</v>
      </c>
      <c r="C1899" s="11" t="s">
        <v>10</v>
      </c>
      <c r="D1899" s="12">
        <v>45623</v>
      </c>
      <c r="E1899" s="13" t="str">
        <f>+HYPERLINK("http://trademark.i-assist.jp/data/china/image_1913th/80626663.pdf","80626663")</f>
        <v>80626663</v>
      </c>
      <c r="F1899" s="11" t="s">
        <v>4624</v>
      </c>
      <c r="G1899" s="11" t="s">
        <v>1186</v>
      </c>
      <c r="H1899" s="11" t="s">
        <v>4625</v>
      </c>
      <c r="I1899" s="12">
        <v>45533</v>
      </c>
    </row>
    <row r="1900" spans="1:9" x14ac:dyDescent="0.15">
      <c r="A1900" s="9">
        <v>1899</v>
      </c>
      <c r="B1900" s="10" t="s">
        <v>9</v>
      </c>
      <c r="C1900" s="11" t="s">
        <v>10</v>
      </c>
      <c r="D1900" s="12">
        <v>45623</v>
      </c>
      <c r="E1900" s="13" t="str">
        <f>+HYPERLINK("http://trademark.i-assist.jp/data/china/image_1913th/80631708.pdf","80631708")</f>
        <v>80631708</v>
      </c>
      <c r="F1900" s="11" t="s">
        <v>4626</v>
      </c>
      <c r="G1900" s="11" t="s">
        <v>4627</v>
      </c>
      <c r="H1900" s="11" t="s">
        <v>4628</v>
      </c>
      <c r="I1900" s="12">
        <v>45533</v>
      </c>
    </row>
    <row r="1901" spans="1:9" x14ac:dyDescent="0.15">
      <c r="A1901" s="9">
        <v>1900</v>
      </c>
      <c r="B1901" s="10" t="s">
        <v>9</v>
      </c>
      <c r="C1901" s="11" t="s">
        <v>10</v>
      </c>
      <c r="D1901" s="12">
        <v>45623</v>
      </c>
      <c r="E1901" s="13" t="str">
        <f>+HYPERLINK("http://trademark.i-assist.jp/data/china/image_1913th/80637509.pdf","80637509")</f>
        <v>80637509</v>
      </c>
      <c r="F1901" s="11" t="s">
        <v>1187</v>
      </c>
      <c r="G1901" s="11" t="s">
        <v>1388</v>
      </c>
      <c r="H1901" s="11" t="s">
        <v>1389</v>
      </c>
      <c r="I1901" s="12">
        <v>45533</v>
      </c>
    </row>
    <row r="1902" spans="1:9" x14ac:dyDescent="0.15">
      <c r="A1902" s="9">
        <v>1901</v>
      </c>
      <c r="B1902" s="10" t="s">
        <v>9</v>
      </c>
      <c r="C1902" s="11" t="s">
        <v>10</v>
      </c>
      <c r="D1902" s="12">
        <v>45623</v>
      </c>
      <c r="E1902" s="13" t="str">
        <f>+HYPERLINK("http://trademark.i-assist.jp/data/china/image_1913th/80642146.pdf","80642146")</f>
        <v>80642146</v>
      </c>
      <c r="F1902" s="11" t="s">
        <v>4629</v>
      </c>
      <c r="G1902" s="11" t="s">
        <v>4630</v>
      </c>
      <c r="H1902" s="11" t="s">
        <v>4631</v>
      </c>
      <c r="I1902" s="12">
        <v>45533</v>
      </c>
    </row>
    <row r="1903" spans="1:9" x14ac:dyDescent="0.15">
      <c r="A1903" s="9">
        <v>1902</v>
      </c>
      <c r="B1903" s="10" t="s">
        <v>9</v>
      </c>
      <c r="C1903" s="11" t="s">
        <v>10</v>
      </c>
      <c r="D1903" s="12">
        <v>45623</v>
      </c>
      <c r="E1903" s="13" t="str">
        <f>+HYPERLINK("http://trademark.i-assist.jp/data/china/image_1913th/80647028.pdf","80647028")</f>
        <v>80647028</v>
      </c>
      <c r="F1903" s="11" t="s">
        <v>4632</v>
      </c>
      <c r="G1903" s="11" t="s">
        <v>4633</v>
      </c>
      <c r="H1903" s="11" t="s">
        <v>4232</v>
      </c>
      <c r="I1903" s="12">
        <v>45533</v>
      </c>
    </row>
    <row r="1904" spans="1:9" x14ac:dyDescent="0.15">
      <c r="A1904" s="9">
        <v>1903</v>
      </c>
      <c r="B1904" s="10" t="s">
        <v>9</v>
      </c>
      <c r="C1904" s="11" t="s">
        <v>10</v>
      </c>
      <c r="D1904" s="12">
        <v>45623</v>
      </c>
      <c r="E1904" s="13" t="str">
        <f>+HYPERLINK("http://trademark.i-assist.jp/data/china/image_1913th/80343004.pdf","80343004")</f>
        <v>80343004</v>
      </c>
      <c r="F1904" s="11" t="s">
        <v>1189</v>
      </c>
      <c r="G1904" s="11" t="s">
        <v>1188</v>
      </c>
      <c r="H1904" s="11" t="s">
        <v>3967</v>
      </c>
      <c r="I1904" s="12">
        <v>45517</v>
      </c>
    </row>
    <row r="1905" spans="1:9" x14ac:dyDescent="0.15">
      <c r="A1905" s="9">
        <v>1904</v>
      </c>
      <c r="B1905" s="10" t="s">
        <v>9</v>
      </c>
      <c r="C1905" s="11" t="s">
        <v>10</v>
      </c>
      <c r="D1905" s="12">
        <v>45623</v>
      </c>
      <c r="E1905" s="13" t="str">
        <f>+HYPERLINK("http://trademark.i-assist.jp/data/china/image_1913th/80373495.pdf","80373495")</f>
        <v>80373495</v>
      </c>
      <c r="F1905" s="11" t="s">
        <v>4634</v>
      </c>
      <c r="G1905" s="11" t="s">
        <v>1190</v>
      </c>
      <c r="H1905" s="11" t="s">
        <v>4635</v>
      </c>
      <c r="I1905" s="12">
        <v>45519</v>
      </c>
    </row>
    <row r="1906" spans="1:9" x14ac:dyDescent="0.15">
      <c r="A1906" s="9">
        <v>1905</v>
      </c>
      <c r="B1906" s="10" t="s">
        <v>9</v>
      </c>
      <c r="C1906" s="11" t="s">
        <v>10</v>
      </c>
      <c r="D1906" s="12">
        <v>45623</v>
      </c>
      <c r="E1906" s="13" t="str">
        <f>+HYPERLINK("http://trademark.i-assist.jp/data/china/image_1913th/80399793.pdf","80399793")</f>
        <v>80399793</v>
      </c>
      <c r="F1906" s="11" t="s">
        <v>4636</v>
      </c>
      <c r="G1906" s="11" t="s">
        <v>3416</v>
      </c>
      <c r="H1906" s="11" t="s">
        <v>4637</v>
      </c>
      <c r="I1906" s="12">
        <v>45520</v>
      </c>
    </row>
    <row r="1907" spans="1:9" x14ac:dyDescent="0.15">
      <c r="A1907" s="9">
        <v>1906</v>
      </c>
      <c r="B1907" s="10" t="s">
        <v>9</v>
      </c>
      <c r="C1907" s="11" t="s">
        <v>10</v>
      </c>
      <c r="D1907" s="12">
        <v>45623</v>
      </c>
      <c r="E1907" s="13" t="str">
        <f>+HYPERLINK("http://trademark.i-assist.jp/data/china/image_1913th/80416748.pdf","80416748")</f>
        <v>80416748</v>
      </c>
      <c r="F1907" s="11" t="s">
        <v>1191</v>
      </c>
      <c r="G1907" s="11" t="s">
        <v>1397</v>
      </c>
      <c r="H1907" s="11" t="s">
        <v>2059</v>
      </c>
      <c r="I1907" s="12">
        <v>45520</v>
      </c>
    </row>
    <row r="1908" spans="1:9" x14ac:dyDescent="0.15">
      <c r="A1908" s="9">
        <v>1907</v>
      </c>
      <c r="B1908" s="10" t="s">
        <v>9</v>
      </c>
      <c r="C1908" s="11" t="s">
        <v>10</v>
      </c>
      <c r="D1908" s="12">
        <v>45623</v>
      </c>
      <c r="E1908" s="13" t="str">
        <f>+HYPERLINK("http://trademark.i-assist.jp/data/china/image_1913th/80443856.pdf","80443856")</f>
        <v>80443856</v>
      </c>
      <c r="F1908" s="11" t="s">
        <v>1192</v>
      </c>
      <c r="G1908" s="11" t="s">
        <v>4638</v>
      </c>
      <c r="H1908" s="11" t="s">
        <v>4639</v>
      </c>
      <c r="I1908" s="12">
        <v>45523</v>
      </c>
    </row>
    <row r="1909" spans="1:9" x14ac:dyDescent="0.15">
      <c r="A1909" s="9">
        <v>1908</v>
      </c>
      <c r="B1909" s="10" t="s">
        <v>9</v>
      </c>
      <c r="C1909" s="11" t="s">
        <v>10</v>
      </c>
      <c r="D1909" s="12">
        <v>45623</v>
      </c>
      <c r="E1909" s="13" t="str">
        <f>+HYPERLINK("http://trademark.i-assist.jp/data/china/image_1913th/80450157.pdf","80450157")</f>
        <v>80450157</v>
      </c>
      <c r="F1909" s="11" t="s">
        <v>4640</v>
      </c>
      <c r="G1909" s="11" t="s">
        <v>4641</v>
      </c>
      <c r="H1909" s="11" t="s">
        <v>4642</v>
      </c>
      <c r="I1909" s="12">
        <v>45523</v>
      </c>
    </row>
    <row r="1910" spans="1:9" x14ac:dyDescent="0.15">
      <c r="A1910" s="9">
        <v>1909</v>
      </c>
      <c r="B1910" s="10" t="s">
        <v>9</v>
      </c>
      <c r="C1910" s="11" t="s">
        <v>10</v>
      </c>
      <c r="D1910" s="12">
        <v>45623</v>
      </c>
      <c r="E1910" s="13" t="str">
        <f>+HYPERLINK("http://trademark.i-assist.jp/data/china/image_1913th/79612112.pdf","79612112")</f>
        <v>79612112</v>
      </c>
      <c r="F1910" s="11" t="s">
        <v>1193</v>
      </c>
      <c r="G1910" s="11" t="s">
        <v>4643</v>
      </c>
      <c r="H1910" s="11" t="s">
        <v>4644</v>
      </c>
      <c r="I1910" s="12">
        <v>45477</v>
      </c>
    </row>
    <row r="1911" spans="1:9" x14ac:dyDescent="0.15">
      <c r="A1911" s="9">
        <v>1910</v>
      </c>
      <c r="B1911" s="10" t="s">
        <v>9</v>
      </c>
      <c r="C1911" s="11" t="s">
        <v>10</v>
      </c>
      <c r="D1911" s="12">
        <v>45623</v>
      </c>
      <c r="E1911" s="13" t="str">
        <f>+HYPERLINK("http://trademark.i-assist.jp/data/china/image_1913th/79694720.pdf","79694720")</f>
        <v>79694720</v>
      </c>
      <c r="F1911" s="11" t="s">
        <v>1194</v>
      </c>
      <c r="G1911" s="11" t="s">
        <v>4645</v>
      </c>
      <c r="H1911" s="11" t="s">
        <v>4646</v>
      </c>
      <c r="I1911" s="12">
        <v>45482</v>
      </c>
    </row>
    <row r="1912" spans="1:9" x14ac:dyDescent="0.15">
      <c r="A1912" s="9">
        <v>1911</v>
      </c>
      <c r="B1912" s="10" t="s">
        <v>9</v>
      </c>
      <c r="C1912" s="11" t="s">
        <v>10</v>
      </c>
      <c r="D1912" s="12">
        <v>45623</v>
      </c>
      <c r="E1912" s="13" t="str">
        <f>+HYPERLINK("http://trademark.i-assist.jp/data/china/image_1913th/79942699.pdf","79942699")</f>
        <v>79942699</v>
      </c>
      <c r="F1912" s="11" t="s">
        <v>1195</v>
      </c>
      <c r="G1912" s="11" t="s">
        <v>3597</v>
      </c>
      <c r="H1912" s="11" t="s">
        <v>3598</v>
      </c>
      <c r="I1912" s="12">
        <v>45496</v>
      </c>
    </row>
    <row r="1913" spans="1:9" x14ac:dyDescent="0.15">
      <c r="A1913" s="9">
        <v>1912</v>
      </c>
      <c r="B1913" s="10" t="s">
        <v>9</v>
      </c>
      <c r="C1913" s="11" t="s">
        <v>10</v>
      </c>
      <c r="D1913" s="12">
        <v>45623</v>
      </c>
      <c r="E1913" s="13" t="str">
        <f>+HYPERLINK("http://trademark.i-assist.jp/data/china/image_1913th/80098791.pdf","80098791")</f>
        <v>80098791</v>
      </c>
      <c r="F1913" s="11" t="s">
        <v>4647</v>
      </c>
      <c r="G1913" s="11" t="s">
        <v>260</v>
      </c>
      <c r="H1913" s="11" t="s">
        <v>2032</v>
      </c>
      <c r="I1913" s="12">
        <v>45504</v>
      </c>
    </row>
    <row r="1914" spans="1:9" x14ac:dyDescent="0.15">
      <c r="A1914" s="9">
        <v>1913</v>
      </c>
      <c r="B1914" s="10" t="s">
        <v>9</v>
      </c>
      <c r="C1914" s="11" t="s">
        <v>10</v>
      </c>
      <c r="D1914" s="12">
        <v>45623</v>
      </c>
      <c r="E1914" s="13" t="str">
        <f>+HYPERLINK("http://trademark.i-assist.jp/data/china/image_1913th/80107835.pdf","80107835")</f>
        <v>80107835</v>
      </c>
      <c r="F1914" s="11" t="s">
        <v>4648</v>
      </c>
      <c r="G1914" s="11" t="s">
        <v>1196</v>
      </c>
      <c r="H1914" s="11" t="s">
        <v>4649</v>
      </c>
      <c r="I1914" s="12">
        <v>45504</v>
      </c>
    </row>
    <row r="1915" spans="1:9" x14ac:dyDescent="0.15">
      <c r="A1915" s="9">
        <v>1914</v>
      </c>
      <c r="B1915" s="10" t="s">
        <v>9</v>
      </c>
      <c r="C1915" s="11" t="s">
        <v>10</v>
      </c>
      <c r="D1915" s="12">
        <v>45623</v>
      </c>
      <c r="E1915" s="13" t="str">
        <f>+HYPERLINK("http://trademark.i-assist.jp/data/china/image_1913th/80202495.pdf","80202495")</f>
        <v>80202495</v>
      </c>
      <c r="F1915" s="11" t="s">
        <v>4650</v>
      </c>
      <c r="G1915" s="11" t="s">
        <v>1197</v>
      </c>
      <c r="H1915" s="11" t="s">
        <v>4651</v>
      </c>
      <c r="I1915" s="12">
        <v>45510</v>
      </c>
    </row>
    <row r="1916" spans="1:9" x14ac:dyDescent="0.15">
      <c r="A1916" s="9">
        <v>1915</v>
      </c>
      <c r="B1916" s="10" t="s">
        <v>9</v>
      </c>
      <c r="C1916" s="11" t="s">
        <v>10</v>
      </c>
      <c r="D1916" s="12">
        <v>45623</v>
      </c>
      <c r="E1916" s="13" t="str">
        <f>+HYPERLINK("http://trademark.i-assist.jp/data/china/image_1913th/80211016.pdf","80211016")</f>
        <v>80211016</v>
      </c>
      <c r="F1916" s="11" t="s">
        <v>1198</v>
      </c>
      <c r="G1916" s="11" t="s">
        <v>4652</v>
      </c>
      <c r="H1916" s="11" t="s">
        <v>4653</v>
      </c>
      <c r="I1916" s="12">
        <v>45510</v>
      </c>
    </row>
    <row r="1917" spans="1:9" x14ac:dyDescent="0.15">
      <c r="A1917" s="9">
        <v>1916</v>
      </c>
      <c r="B1917" s="10" t="s">
        <v>9</v>
      </c>
      <c r="C1917" s="11" t="s">
        <v>10</v>
      </c>
      <c r="D1917" s="12">
        <v>45623</v>
      </c>
      <c r="E1917" s="13" t="str">
        <f>+HYPERLINK("http://trademark.i-assist.jp/data/china/image_1913th/80253998.pdf","80253998")</f>
        <v>80253998</v>
      </c>
      <c r="F1917" s="11" t="s">
        <v>1199</v>
      </c>
      <c r="G1917" s="11" t="s">
        <v>4654</v>
      </c>
      <c r="H1917" s="11" t="s">
        <v>4655</v>
      </c>
      <c r="I1917" s="12">
        <v>45512</v>
      </c>
    </row>
    <row r="1918" spans="1:9" x14ac:dyDescent="0.15">
      <c r="A1918" s="9">
        <v>1917</v>
      </c>
      <c r="B1918" s="10" t="s">
        <v>9</v>
      </c>
      <c r="C1918" s="11" t="s">
        <v>10</v>
      </c>
      <c r="D1918" s="12">
        <v>45623</v>
      </c>
      <c r="E1918" s="13" t="str">
        <f>+HYPERLINK("http://trademark.i-assist.jp/data/china/image_1913th/80323536.pdf","80323536")</f>
        <v>80323536</v>
      </c>
      <c r="F1918" s="11" t="s">
        <v>4656</v>
      </c>
      <c r="G1918" s="11" t="s">
        <v>4657</v>
      </c>
      <c r="H1918" s="11" t="s">
        <v>1376</v>
      </c>
      <c r="I1918" s="12">
        <v>45517</v>
      </c>
    </row>
    <row r="1919" spans="1:9" x14ac:dyDescent="0.15">
      <c r="A1919" s="9">
        <v>1918</v>
      </c>
      <c r="B1919" s="10" t="s">
        <v>9</v>
      </c>
      <c r="C1919" s="11" t="s">
        <v>10</v>
      </c>
      <c r="D1919" s="12">
        <v>45623</v>
      </c>
      <c r="E1919" s="13" t="str">
        <f>+HYPERLINK("http://trademark.i-assist.jp/data/china/image_1913th/80648995.pdf","80648995")</f>
        <v>80648995</v>
      </c>
      <c r="F1919" s="11" t="s">
        <v>4658</v>
      </c>
      <c r="G1919" s="11" t="s">
        <v>4659</v>
      </c>
      <c r="H1919" s="11" t="s">
        <v>4660</v>
      </c>
      <c r="I1919" s="12">
        <v>45534</v>
      </c>
    </row>
    <row r="1920" spans="1:9" x14ac:dyDescent="0.15">
      <c r="A1920" s="9">
        <v>1919</v>
      </c>
      <c r="B1920" s="10" t="s">
        <v>9</v>
      </c>
      <c r="C1920" s="11" t="s">
        <v>10</v>
      </c>
      <c r="D1920" s="12">
        <v>45623</v>
      </c>
      <c r="E1920" s="13" t="str">
        <f>+HYPERLINK("http://trademark.i-assist.jp/data/china/image_1913th/80651552.pdf","80651552")</f>
        <v>80651552</v>
      </c>
      <c r="F1920" s="11" t="s">
        <v>1200</v>
      </c>
      <c r="G1920" s="11" t="s">
        <v>4661</v>
      </c>
      <c r="H1920" s="11" t="s">
        <v>4662</v>
      </c>
      <c r="I1920" s="12">
        <v>45534</v>
      </c>
    </row>
    <row r="1921" spans="1:9" x14ac:dyDescent="0.15">
      <c r="A1921" s="9">
        <v>1920</v>
      </c>
      <c r="B1921" s="10" t="s">
        <v>9</v>
      </c>
      <c r="C1921" s="11" t="s">
        <v>10</v>
      </c>
      <c r="D1921" s="12">
        <v>45623</v>
      </c>
      <c r="E1921" s="13" t="str">
        <f>+HYPERLINK("http://trademark.i-assist.jp/data/china/image_1913th/80655961.pdf","80655961")</f>
        <v>80655961</v>
      </c>
      <c r="F1921" s="11" t="s">
        <v>1201</v>
      </c>
      <c r="G1921" s="11" t="s">
        <v>4663</v>
      </c>
      <c r="H1921" s="11" t="s">
        <v>4664</v>
      </c>
      <c r="I1921" s="12">
        <v>45534</v>
      </c>
    </row>
    <row r="1922" spans="1:9" x14ac:dyDescent="0.15">
      <c r="A1922" s="9">
        <v>1921</v>
      </c>
      <c r="B1922" s="10" t="s">
        <v>9</v>
      </c>
      <c r="C1922" s="11" t="s">
        <v>10</v>
      </c>
      <c r="D1922" s="12">
        <v>45623</v>
      </c>
      <c r="E1922" s="13" t="str">
        <f>+HYPERLINK("http://trademark.i-assist.jp/data/china/image_1913th/80656335.pdf","80656335")</f>
        <v>80656335</v>
      </c>
      <c r="F1922" s="11" t="s">
        <v>4665</v>
      </c>
      <c r="G1922" s="11" t="s">
        <v>4666</v>
      </c>
      <c r="H1922" s="11" t="s">
        <v>4667</v>
      </c>
      <c r="I1922" s="12">
        <v>45534</v>
      </c>
    </row>
    <row r="1923" spans="1:9" x14ac:dyDescent="0.15">
      <c r="A1923" s="9">
        <v>1922</v>
      </c>
      <c r="B1923" s="10" t="s">
        <v>9</v>
      </c>
      <c r="C1923" s="11" t="s">
        <v>10</v>
      </c>
      <c r="D1923" s="12">
        <v>45623</v>
      </c>
      <c r="E1923" s="13" t="str">
        <f>+HYPERLINK("http://trademark.i-assist.jp/data/china/image_1913th/80660663.pdf","80660663")</f>
        <v>80660663</v>
      </c>
      <c r="F1923" s="11" t="s">
        <v>4668</v>
      </c>
      <c r="G1923" s="11" t="s">
        <v>4669</v>
      </c>
      <c r="H1923" s="11" t="s">
        <v>4670</v>
      </c>
      <c r="I1923" s="12">
        <v>45534</v>
      </c>
    </row>
    <row r="1924" spans="1:9" x14ac:dyDescent="0.15">
      <c r="A1924" s="9">
        <v>1923</v>
      </c>
      <c r="B1924" s="10" t="s">
        <v>9</v>
      </c>
      <c r="C1924" s="11" t="s">
        <v>10</v>
      </c>
      <c r="D1924" s="12">
        <v>45623</v>
      </c>
      <c r="E1924" s="13" t="str">
        <f>+HYPERLINK("http://trademark.i-assist.jp/data/china/image_1913th/80677817.pdf","80677817")</f>
        <v>80677817</v>
      </c>
      <c r="F1924" s="11" t="s">
        <v>4671</v>
      </c>
      <c r="G1924" s="11" t="s">
        <v>4672</v>
      </c>
      <c r="H1924" s="11" t="s">
        <v>4673</v>
      </c>
      <c r="I1924" s="12">
        <v>45535</v>
      </c>
    </row>
    <row r="1925" spans="1:9" x14ac:dyDescent="0.15">
      <c r="A1925" s="9">
        <v>1924</v>
      </c>
      <c r="B1925" s="10" t="s">
        <v>9</v>
      </c>
      <c r="C1925" s="11" t="s">
        <v>10</v>
      </c>
      <c r="D1925" s="12">
        <v>45623</v>
      </c>
      <c r="E1925" s="13" t="str">
        <f>+HYPERLINK("http://trademark.i-assist.jp/data/china/image_1913th/80679753.pdf","80679753")</f>
        <v>80679753</v>
      </c>
      <c r="F1925" s="11" t="s">
        <v>1202</v>
      </c>
      <c r="G1925" s="11" t="s">
        <v>1736</v>
      </c>
      <c r="H1925" s="11" t="s">
        <v>1737</v>
      </c>
      <c r="I1925" s="12">
        <v>45535</v>
      </c>
    </row>
    <row r="1926" spans="1:9" x14ac:dyDescent="0.15">
      <c r="A1926" s="9">
        <v>1925</v>
      </c>
      <c r="B1926" s="10" t="s">
        <v>9</v>
      </c>
      <c r="C1926" s="11" t="s">
        <v>10</v>
      </c>
      <c r="D1926" s="12">
        <v>45623</v>
      </c>
      <c r="E1926" s="13" t="str">
        <f>+HYPERLINK("http://trademark.i-assist.jp/data/china/image_1913th/75636585.pdf","75636585")</f>
        <v>75636585</v>
      </c>
      <c r="F1926" s="11" t="s">
        <v>4674</v>
      </c>
      <c r="G1926" s="11" t="s">
        <v>4675</v>
      </c>
      <c r="H1926" s="11" t="s">
        <v>4676</v>
      </c>
      <c r="I1926" s="12">
        <v>45266</v>
      </c>
    </row>
    <row r="1927" spans="1:9" x14ac:dyDescent="0.15">
      <c r="A1927" s="9">
        <v>1926</v>
      </c>
      <c r="B1927" s="10" t="s">
        <v>9</v>
      </c>
      <c r="C1927" s="11" t="s">
        <v>10</v>
      </c>
      <c r="D1927" s="12">
        <v>45623</v>
      </c>
      <c r="E1927" s="13" t="str">
        <f>+HYPERLINK("http://trademark.i-assist.jp/data/china/image_1913th/78722377.pdf","78722377")</f>
        <v>78722377</v>
      </c>
      <c r="F1927" s="11" t="s">
        <v>1335</v>
      </c>
      <c r="G1927" s="11" t="s">
        <v>4677</v>
      </c>
      <c r="H1927" s="11" t="s">
        <v>4678</v>
      </c>
      <c r="I1927" s="12">
        <v>45433</v>
      </c>
    </row>
    <row r="1928" spans="1:9" x14ac:dyDescent="0.15">
      <c r="A1928" s="9">
        <v>1927</v>
      </c>
      <c r="B1928" s="10" t="s">
        <v>9</v>
      </c>
      <c r="C1928" s="11" t="s">
        <v>10</v>
      </c>
      <c r="D1928" s="12">
        <v>45623</v>
      </c>
      <c r="E1928" s="13" t="str">
        <f>+HYPERLINK("http://trademark.i-assist.jp/data/china/image_1913th/80944766.pdf","80944766")</f>
        <v>80944766</v>
      </c>
      <c r="F1928" s="11" t="s">
        <v>4679</v>
      </c>
      <c r="G1928" s="11" t="s">
        <v>4680</v>
      </c>
      <c r="H1928" s="11" t="s">
        <v>4681</v>
      </c>
      <c r="I1928" s="12">
        <v>45549</v>
      </c>
    </row>
    <row r="1929" spans="1:9" x14ac:dyDescent="0.15">
      <c r="A1929" s="9">
        <v>1928</v>
      </c>
      <c r="B1929" s="10" t="s">
        <v>9</v>
      </c>
      <c r="C1929" s="11" t="s">
        <v>10</v>
      </c>
      <c r="D1929" s="12">
        <v>45623</v>
      </c>
      <c r="E1929" s="13" t="str">
        <f>+HYPERLINK("http://trademark.i-assist.jp/data/china/image_1913th/80949652.pdf","80949652")</f>
        <v>80949652</v>
      </c>
      <c r="F1929" s="11" t="s">
        <v>4682</v>
      </c>
      <c r="G1929" s="11" t="s">
        <v>4683</v>
      </c>
      <c r="H1929" s="11" t="s">
        <v>4684</v>
      </c>
      <c r="I1929" s="12">
        <v>45549</v>
      </c>
    </row>
    <row r="1930" spans="1:9" x14ac:dyDescent="0.15">
      <c r="A1930" s="9">
        <v>1929</v>
      </c>
      <c r="B1930" s="10" t="s">
        <v>9</v>
      </c>
      <c r="C1930" s="11" t="s">
        <v>10</v>
      </c>
      <c r="D1930" s="12">
        <v>45623</v>
      </c>
      <c r="E1930" s="13" t="str">
        <f>+HYPERLINK("http://trademark.i-assist.jp/data/china/image_1913th/80973639.pdf","80973639")</f>
        <v>80973639</v>
      </c>
      <c r="F1930" s="11" t="s">
        <v>4685</v>
      </c>
      <c r="G1930" s="11" t="s">
        <v>4686</v>
      </c>
      <c r="H1930" s="11" t="s">
        <v>4687</v>
      </c>
      <c r="I1930" s="12">
        <v>45553</v>
      </c>
    </row>
    <row r="1931" spans="1:9" x14ac:dyDescent="0.15">
      <c r="A1931" s="9">
        <v>1930</v>
      </c>
      <c r="B1931" s="10" t="s">
        <v>9</v>
      </c>
      <c r="C1931" s="11" t="s">
        <v>10</v>
      </c>
      <c r="D1931" s="12">
        <v>45623</v>
      </c>
      <c r="E1931" s="13" t="str">
        <f>+HYPERLINK("http://trademark.i-assist.jp/data/china/image_1913th/81049817.pdf","81049817")</f>
        <v>81049817</v>
      </c>
      <c r="F1931" s="11" t="s">
        <v>4688</v>
      </c>
      <c r="G1931" s="11" t="s">
        <v>3400</v>
      </c>
      <c r="H1931" s="11" t="s">
        <v>3401</v>
      </c>
      <c r="I1931" s="12">
        <v>45558</v>
      </c>
    </row>
    <row r="1932" spans="1:9" x14ac:dyDescent="0.15">
      <c r="A1932" s="9">
        <v>1931</v>
      </c>
      <c r="B1932" s="10" t="s">
        <v>9</v>
      </c>
      <c r="C1932" s="11" t="s">
        <v>10</v>
      </c>
      <c r="D1932" s="12">
        <v>45623</v>
      </c>
      <c r="E1932" s="13" t="str">
        <f>+HYPERLINK("http://trademark.i-assist.jp/data/china/image_1913th/80705216.pdf","80705216")</f>
        <v>80705216</v>
      </c>
      <c r="F1932" s="11" t="s">
        <v>1335</v>
      </c>
      <c r="G1932" s="11" t="s">
        <v>4689</v>
      </c>
      <c r="H1932" s="11" t="s">
        <v>4690</v>
      </c>
      <c r="I1932" s="12">
        <v>45537</v>
      </c>
    </row>
    <row r="1933" spans="1:9" x14ac:dyDescent="0.15">
      <c r="A1933" s="9">
        <v>1932</v>
      </c>
      <c r="B1933" s="10" t="s">
        <v>9</v>
      </c>
      <c r="C1933" s="11" t="s">
        <v>10</v>
      </c>
      <c r="D1933" s="12">
        <v>45623</v>
      </c>
      <c r="E1933" s="13" t="str">
        <f>+HYPERLINK("http://trademark.i-assist.jp/data/china/image_1913th/80705480.pdf","80705480")</f>
        <v>80705480</v>
      </c>
      <c r="F1933" s="11" t="s">
        <v>4691</v>
      </c>
      <c r="G1933" s="11" t="s">
        <v>1593</v>
      </c>
      <c r="H1933" s="11" t="s">
        <v>1567</v>
      </c>
      <c r="I1933" s="12">
        <v>45537</v>
      </c>
    </row>
    <row r="1934" spans="1:9" x14ac:dyDescent="0.15">
      <c r="A1934" s="9">
        <v>1933</v>
      </c>
      <c r="B1934" s="10" t="s">
        <v>9</v>
      </c>
      <c r="C1934" s="11" t="s">
        <v>10</v>
      </c>
      <c r="D1934" s="12">
        <v>45623</v>
      </c>
      <c r="E1934" s="13" t="str">
        <f>+HYPERLINK("http://trademark.i-assist.jp/data/china/image_1913th/80709055.pdf","80709055")</f>
        <v>80709055</v>
      </c>
      <c r="F1934" s="11" t="s">
        <v>4692</v>
      </c>
      <c r="G1934" s="11" t="s">
        <v>4693</v>
      </c>
      <c r="H1934" s="11" t="s">
        <v>4694</v>
      </c>
      <c r="I1934" s="12">
        <v>45538</v>
      </c>
    </row>
    <row r="1935" spans="1:9" x14ac:dyDescent="0.15">
      <c r="A1935" s="9">
        <v>1934</v>
      </c>
      <c r="B1935" s="10" t="s">
        <v>9</v>
      </c>
      <c r="C1935" s="11" t="s">
        <v>10</v>
      </c>
      <c r="D1935" s="12">
        <v>45623</v>
      </c>
      <c r="E1935" s="13" t="str">
        <f>+HYPERLINK("http://trademark.i-assist.jp/data/china/image_1913th/80709606.pdf","80709606")</f>
        <v>80709606</v>
      </c>
      <c r="F1935" s="11" t="s">
        <v>1204</v>
      </c>
      <c r="G1935" s="11" t="s">
        <v>1203</v>
      </c>
      <c r="H1935" s="11" t="s">
        <v>4695</v>
      </c>
      <c r="I1935" s="12">
        <v>45538</v>
      </c>
    </row>
    <row r="1936" spans="1:9" x14ac:dyDescent="0.15">
      <c r="A1936" s="9">
        <v>1935</v>
      </c>
      <c r="B1936" s="10" t="s">
        <v>9</v>
      </c>
      <c r="C1936" s="11" t="s">
        <v>10</v>
      </c>
      <c r="D1936" s="12">
        <v>45623</v>
      </c>
      <c r="E1936" s="13" t="str">
        <f>+HYPERLINK("http://trademark.i-assist.jp/data/china/image_1913th/80714075.pdf","80714075")</f>
        <v>80714075</v>
      </c>
      <c r="F1936" s="11" t="s">
        <v>1206</v>
      </c>
      <c r="G1936" s="11" t="s">
        <v>1205</v>
      </c>
      <c r="H1936" s="11" t="s">
        <v>1768</v>
      </c>
      <c r="I1936" s="12">
        <v>45538</v>
      </c>
    </row>
    <row r="1937" spans="1:9" x14ac:dyDescent="0.15">
      <c r="A1937" s="9">
        <v>1936</v>
      </c>
      <c r="B1937" s="10" t="s">
        <v>9</v>
      </c>
      <c r="C1937" s="11" t="s">
        <v>10</v>
      </c>
      <c r="D1937" s="12">
        <v>45623</v>
      </c>
      <c r="E1937" s="13" t="str">
        <f>+HYPERLINK("http://trademark.i-assist.jp/data/china/image_1913th/80714138.pdf","80714138")</f>
        <v>80714138</v>
      </c>
      <c r="F1937" s="11" t="s">
        <v>4696</v>
      </c>
      <c r="G1937" s="11" t="s">
        <v>4697</v>
      </c>
      <c r="H1937" s="11" t="s">
        <v>4698</v>
      </c>
      <c r="I1937" s="12">
        <v>45538</v>
      </c>
    </row>
    <row r="1938" spans="1:9" x14ac:dyDescent="0.15">
      <c r="A1938" s="9">
        <v>1937</v>
      </c>
      <c r="B1938" s="10" t="s">
        <v>9</v>
      </c>
      <c r="C1938" s="11" t="s">
        <v>10</v>
      </c>
      <c r="D1938" s="12">
        <v>45623</v>
      </c>
      <c r="E1938" s="13" t="str">
        <f>+HYPERLINK("http://trademark.i-assist.jp/data/china/image_1913th/80716615.pdf","80716615")</f>
        <v>80716615</v>
      </c>
      <c r="F1938" s="11" t="s">
        <v>1207</v>
      </c>
      <c r="G1938" s="11" t="s">
        <v>2204</v>
      </c>
      <c r="H1938" s="11" t="s">
        <v>4699</v>
      </c>
      <c r="I1938" s="12">
        <v>45538</v>
      </c>
    </row>
    <row r="1939" spans="1:9" x14ac:dyDescent="0.15">
      <c r="A1939" s="9">
        <v>1938</v>
      </c>
      <c r="B1939" s="10" t="s">
        <v>9</v>
      </c>
      <c r="C1939" s="11" t="s">
        <v>10</v>
      </c>
      <c r="D1939" s="12">
        <v>45623</v>
      </c>
      <c r="E1939" s="13" t="str">
        <f>+HYPERLINK("http://trademark.i-assist.jp/data/china/image_1913th/80718259.pdf","80718259")</f>
        <v>80718259</v>
      </c>
      <c r="F1939" s="11" t="s">
        <v>4700</v>
      </c>
      <c r="G1939" s="11" t="s">
        <v>4701</v>
      </c>
      <c r="H1939" s="11" t="s">
        <v>4702</v>
      </c>
      <c r="I1939" s="12">
        <v>45538</v>
      </c>
    </row>
    <row r="1940" spans="1:9" x14ac:dyDescent="0.15">
      <c r="A1940" s="9">
        <v>1939</v>
      </c>
      <c r="B1940" s="10" t="s">
        <v>9</v>
      </c>
      <c r="C1940" s="11" t="s">
        <v>10</v>
      </c>
      <c r="D1940" s="12">
        <v>45623</v>
      </c>
      <c r="E1940" s="13" t="str">
        <f>+HYPERLINK("http://trademark.i-assist.jp/data/china/image_1913th/80720452.pdf","80720452")</f>
        <v>80720452</v>
      </c>
      <c r="F1940" s="11" t="s">
        <v>4703</v>
      </c>
      <c r="G1940" s="11" t="s">
        <v>1338</v>
      </c>
      <c r="H1940" s="11" t="s">
        <v>1339</v>
      </c>
      <c r="I1940" s="12">
        <v>45538</v>
      </c>
    </row>
    <row r="1941" spans="1:9" x14ac:dyDescent="0.15">
      <c r="A1941" s="9">
        <v>1940</v>
      </c>
      <c r="B1941" s="10" t="s">
        <v>9</v>
      </c>
      <c r="C1941" s="11" t="s">
        <v>10</v>
      </c>
      <c r="D1941" s="12">
        <v>45623</v>
      </c>
      <c r="E1941" s="13" t="str">
        <f>+HYPERLINK("http://trademark.i-assist.jp/data/china/image_1913th/80721785.pdf","80721785")</f>
        <v>80721785</v>
      </c>
      <c r="F1941" s="11" t="s">
        <v>4704</v>
      </c>
      <c r="G1941" s="11" t="s">
        <v>501</v>
      </c>
      <c r="H1941" s="11" t="s">
        <v>1963</v>
      </c>
      <c r="I1941" s="12">
        <v>45538</v>
      </c>
    </row>
    <row r="1942" spans="1:9" x14ac:dyDescent="0.15">
      <c r="A1942" s="9">
        <v>1941</v>
      </c>
      <c r="B1942" s="10" t="s">
        <v>9</v>
      </c>
      <c r="C1942" s="11" t="s">
        <v>10</v>
      </c>
      <c r="D1942" s="12">
        <v>45623</v>
      </c>
      <c r="E1942" s="13" t="str">
        <f>+HYPERLINK("http://trademark.i-assist.jp/data/china/image_1913th/80727020.pdf","80727020")</f>
        <v>80727020</v>
      </c>
      <c r="F1942" s="11" t="s">
        <v>4705</v>
      </c>
      <c r="G1942" s="11" t="s">
        <v>4706</v>
      </c>
      <c r="H1942" s="11" t="s">
        <v>4707</v>
      </c>
      <c r="I1942" s="12">
        <v>45538</v>
      </c>
    </row>
    <row r="1943" spans="1:9" x14ac:dyDescent="0.15">
      <c r="A1943" s="9">
        <v>1942</v>
      </c>
      <c r="B1943" s="10" t="s">
        <v>9</v>
      </c>
      <c r="C1943" s="11" t="s">
        <v>10</v>
      </c>
      <c r="D1943" s="12">
        <v>45623</v>
      </c>
      <c r="E1943" s="13" t="str">
        <f>+HYPERLINK("http://trademark.i-assist.jp/data/china/image_1913th/80729827.pdf","80729827")</f>
        <v>80729827</v>
      </c>
      <c r="F1943" s="11" t="s">
        <v>4708</v>
      </c>
      <c r="G1943" s="11" t="s">
        <v>4709</v>
      </c>
      <c r="H1943" s="11" t="s">
        <v>4710</v>
      </c>
      <c r="I1943" s="12">
        <v>45538</v>
      </c>
    </row>
    <row r="1944" spans="1:9" x14ac:dyDescent="0.15">
      <c r="A1944" s="9">
        <v>1943</v>
      </c>
      <c r="B1944" s="10" t="s">
        <v>9</v>
      </c>
      <c r="C1944" s="11" t="s">
        <v>10</v>
      </c>
      <c r="D1944" s="12">
        <v>45623</v>
      </c>
      <c r="E1944" s="13" t="str">
        <f>+HYPERLINK("http://trademark.i-assist.jp/data/china/image_1913th/80828163.pdf","80828163")</f>
        <v>80828163</v>
      </c>
      <c r="F1944" s="11" t="s">
        <v>4711</v>
      </c>
      <c r="G1944" s="11" t="s">
        <v>2687</v>
      </c>
      <c r="H1944" s="11" t="s">
        <v>2415</v>
      </c>
      <c r="I1944" s="12">
        <v>45544</v>
      </c>
    </row>
    <row r="1945" spans="1:9" x14ac:dyDescent="0.15">
      <c r="A1945" s="9">
        <v>1944</v>
      </c>
      <c r="B1945" s="10" t="s">
        <v>9</v>
      </c>
      <c r="C1945" s="11" t="s">
        <v>10</v>
      </c>
      <c r="D1945" s="12">
        <v>45623</v>
      </c>
      <c r="E1945" s="13" t="str">
        <f>+HYPERLINK("http://trademark.i-assist.jp/data/china/image_1913th/80849580.pdf","80849580")</f>
        <v>80849580</v>
      </c>
      <c r="F1945" s="11" t="s">
        <v>1208</v>
      </c>
      <c r="G1945" s="11" t="s">
        <v>4712</v>
      </c>
      <c r="H1945" s="11" t="s">
        <v>4713</v>
      </c>
      <c r="I1945" s="12">
        <v>45545</v>
      </c>
    </row>
    <row r="1946" spans="1:9" x14ac:dyDescent="0.15">
      <c r="A1946" s="9">
        <v>1945</v>
      </c>
      <c r="B1946" s="10" t="s">
        <v>9</v>
      </c>
      <c r="C1946" s="11" t="s">
        <v>10</v>
      </c>
      <c r="D1946" s="12">
        <v>45623</v>
      </c>
      <c r="E1946" s="13" t="str">
        <f>+HYPERLINK("http://trademark.i-assist.jp/data/china/image_1913th/80854232.pdf","80854232")</f>
        <v>80854232</v>
      </c>
      <c r="F1946" s="11" t="s">
        <v>4714</v>
      </c>
      <c r="G1946" s="11" t="s">
        <v>4715</v>
      </c>
      <c r="H1946" s="11" t="s">
        <v>4716</v>
      </c>
      <c r="I1946" s="12">
        <v>45545</v>
      </c>
    </row>
    <row r="1947" spans="1:9" x14ac:dyDescent="0.15">
      <c r="A1947" s="9">
        <v>1946</v>
      </c>
      <c r="B1947" s="10" t="s">
        <v>9</v>
      </c>
      <c r="C1947" s="11" t="s">
        <v>10</v>
      </c>
      <c r="D1947" s="12">
        <v>45623</v>
      </c>
      <c r="E1947" s="13" t="str">
        <f>+HYPERLINK("http://trademark.i-assist.jp/data/china/image_1913th/80862483.pdf","80862483")</f>
        <v>80862483</v>
      </c>
      <c r="F1947" s="11" t="s">
        <v>1335</v>
      </c>
      <c r="G1947" s="11" t="s">
        <v>4717</v>
      </c>
      <c r="H1947" s="11" t="s">
        <v>4718</v>
      </c>
      <c r="I1947" s="12">
        <v>45546</v>
      </c>
    </row>
    <row r="1948" spans="1:9" x14ac:dyDescent="0.15">
      <c r="A1948" s="9">
        <v>1947</v>
      </c>
      <c r="B1948" s="10" t="s">
        <v>9</v>
      </c>
      <c r="C1948" s="11" t="s">
        <v>10</v>
      </c>
      <c r="D1948" s="12">
        <v>45623</v>
      </c>
      <c r="E1948" s="13" t="str">
        <f>+HYPERLINK("http://trademark.i-assist.jp/data/china/image_1913th/80871737.pdf","80871737")</f>
        <v>80871737</v>
      </c>
      <c r="F1948" s="11" t="s">
        <v>4719</v>
      </c>
      <c r="G1948" s="11" t="s">
        <v>1651</v>
      </c>
      <c r="H1948" s="11" t="s">
        <v>1652</v>
      </c>
      <c r="I1948" s="12">
        <v>45546</v>
      </c>
    </row>
    <row r="1949" spans="1:9" x14ac:dyDescent="0.15">
      <c r="A1949" s="9">
        <v>1948</v>
      </c>
      <c r="B1949" s="10" t="s">
        <v>9</v>
      </c>
      <c r="C1949" s="11" t="s">
        <v>10</v>
      </c>
      <c r="D1949" s="12">
        <v>45623</v>
      </c>
      <c r="E1949" s="13" t="str">
        <f>+HYPERLINK("http://trademark.i-assist.jp/data/china/image_1913th/80789872.pdf","80789872")</f>
        <v>80789872</v>
      </c>
      <c r="F1949" s="11" t="s">
        <v>1209</v>
      </c>
      <c r="G1949" s="11" t="s">
        <v>4720</v>
      </c>
      <c r="H1949" s="11" t="s">
        <v>1430</v>
      </c>
      <c r="I1949" s="12">
        <v>45541</v>
      </c>
    </row>
    <row r="1950" spans="1:9" x14ac:dyDescent="0.15">
      <c r="A1950" s="9">
        <v>1949</v>
      </c>
      <c r="B1950" s="10" t="s">
        <v>9</v>
      </c>
      <c r="C1950" s="11" t="s">
        <v>10</v>
      </c>
      <c r="D1950" s="12">
        <v>45623</v>
      </c>
      <c r="E1950" s="13" t="str">
        <f>+HYPERLINK("http://trademark.i-assist.jp/data/china/image_1913th/80789916.pdf","80789916")</f>
        <v>80789916</v>
      </c>
      <c r="F1950" s="11" t="s">
        <v>4721</v>
      </c>
      <c r="G1950" s="11" t="s">
        <v>3111</v>
      </c>
      <c r="H1950" s="11" t="s">
        <v>3112</v>
      </c>
      <c r="I1950" s="12">
        <v>45541</v>
      </c>
    </row>
    <row r="1951" spans="1:9" x14ac:dyDescent="0.15">
      <c r="A1951" s="9">
        <v>1950</v>
      </c>
      <c r="B1951" s="10" t="s">
        <v>9</v>
      </c>
      <c r="C1951" s="11" t="s">
        <v>10</v>
      </c>
      <c r="D1951" s="12">
        <v>45623</v>
      </c>
      <c r="E1951" s="13" t="str">
        <f>+HYPERLINK("http://trademark.i-assist.jp/data/china/image_1913th/80790955.pdf","80790955")</f>
        <v>80790955</v>
      </c>
      <c r="F1951" s="11" t="s">
        <v>1210</v>
      </c>
      <c r="G1951" s="11" t="s">
        <v>4722</v>
      </c>
      <c r="H1951" s="11" t="s">
        <v>4723</v>
      </c>
      <c r="I1951" s="12">
        <v>45541</v>
      </c>
    </row>
    <row r="1952" spans="1:9" x14ac:dyDescent="0.15">
      <c r="A1952" s="9">
        <v>1951</v>
      </c>
      <c r="B1952" s="10" t="s">
        <v>9</v>
      </c>
      <c r="C1952" s="11" t="s">
        <v>10</v>
      </c>
      <c r="D1952" s="12">
        <v>45623</v>
      </c>
      <c r="E1952" s="13" t="str">
        <f>+HYPERLINK("http://trademark.i-assist.jp/data/china/image_1913th/80794396.pdf","80794396")</f>
        <v>80794396</v>
      </c>
      <c r="F1952" s="11" t="s">
        <v>1335</v>
      </c>
      <c r="G1952" s="11" t="s">
        <v>4724</v>
      </c>
      <c r="H1952" s="11" t="s">
        <v>4725</v>
      </c>
      <c r="I1952" s="12">
        <v>45541</v>
      </c>
    </row>
    <row r="1953" spans="1:9" x14ac:dyDescent="0.15">
      <c r="A1953" s="9">
        <v>1952</v>
      </c>
      <c r="B1953" s="10" t="s">
        <v>9</v>
      </c>
      <c r="C1953" s="11" t="s">
        <v>10</v>
      </c>
      <c r="D1953" s="12">
        <v>45623</v>
      </c>
      <c r="E1953" s="13" t="str">
        <f>+HYPERLINK("http://trademark.i-assist.jp/data/china/image_1913th/80795691.pdf","80795691")</f>
        <v>80795691</v>
      </c>
      <c r="F1953" s="11" t="s">
        <v>1211</v>
      </c>
      <c r="G1953" s="11" t="s">
        <v>3038</v>
      </c>
      <c r="H1953" s="11" t="s">
        <v>4726</v>
      </c>
      <c r="I1953" s="12">
        <v>45541</v>
      </c>
    </row>
    <row r="1954" spans="1:9" x14ac:dyDescent="0.15">
      <c r="A1954" s="9">
        <v>1953</v>
      </c>
      <c r="B1954" s="10" t="s">
        <v>9</v>
      </c>
      <c r="C1954" s="11" t="s">
        <v>10</v>
      </c>
      <c r="D1954" s="12">
        <v>45623</v>
      </c>
      <c r="E1954" s="13" t="str">
        <f>+HYPERLINK("http://trademark.i-assist.jp/data/china/image_1913th/80796421.pdf","80796421")</f>
        <v>80796421</v>
      </c>
      <c r="F1954" s="11" t="s">
        <v>1212</v>
      </c>
      <c r="G1954" s="11" t="s">
        <v>4727</v>
      </c>
      <c r="H1954" s="11" t="s">
        <v>4728</v>
      </c>
      <c r="I1954" s="12">
        <v>45541</v>
      </c>
    </row>
    <row r="1955" spans="1:9" x14ac:dyDescent="0.15">
      <c r="A1955" s="9">
        <v>1954</v>
      </c>
      <c r="B1955" s="10" t="s">
        <v>9</v>
      </c>
      <c r="C1955" s="11" t="s">
        <v>10</v>
      </c>
      <c r="D1955" s="12">
        <v>45623</v>
      </c>
      <c r="E1955" s="13" t="str">
        <f>+HYPERLINK("http://trademark.i-assist.jp/data/china/image_1913th/80803844.pdf","80803844")</f>
        <v>80803844</v>
      </c>
      <c r="F1955" s="11" t="s">
        <v>4729</v>
      </c>
      <c r="G1955" s="11" t="s">
        <v>4730</v>
      </c>
      <c r="H1955" s="11" t="s">
        <v>3241</v>
      </c>
      <c r="I1955" s="12">
        <v>45542</v>
      </c>
    </row>
    <row r="1956" spans="1:9" x14ac:dyDescent="0.15">
      <c r="A1956" s="9">
        <v>1955</v>
      </c>
      <c r="B1956" s="10" t="s">
        <v>9</v>
      </c>
      <c r="C1956" s="11" t="s">
        <v>10</v>
      </c>
      <c r="D1956" s="12">
        <v>45623</v>
      </c>
      <c r="E1956" s="13" t="str">
        <f>+HYPERLINK("http://trademark.i-assist.jp/data/china/image_1913th/80809382.pdf","80809382")</f>
        <v>80809382</v>
      </c>
      <c r="F1956" s="11" t="s">
        <v>1335</v>
      </c>
      <c r="G1956" s="11" t="s">
        <v>4731</v>
      </c>
      <c r="H1956" s="11" t="s">
        <v>4732</v>
      </c>
      <c r="I1956" s="12">
        <v>45544</v>
      </c>
    </row>
    <row r="1957" spans="1:9" x14ac:dyDescent="0.15">
      <c r="A1957" s="9">
        <v>1956</v>
      </c>
      <c r="B1957" s="10" t="s">
        <v>9</v>
      </c>
      <c r="C1957" s="11" t="s">
        <v>10</v>
      </c>
      <c r="D1957" s="12">
        <v>45623</v>
      </c>
      <c r="E1957" s="13" t="str">
        <f>+HYPERLINK("http://trademark.i-assist.jp/data/china/image_1913th/80818350.pdf","80818350")</f>
        <v>80818350</v>
      </c>
      <c r="F1957" s="11" t="s">
        <v>1335</v>
      </c>
      <c r="G1957" s="11" t="s">
        <v>4733</v>
      </c>
      <c r="H1957" s="11" t="s">
        <v>4734</v>
      </c>
      <c r="I1957" s="12">
        <v>45544</v>
      </c>
    </row>
    <row r="1958" spans="1:9" x14ac:dyDescent="0.15">
      <c r="A1958" s="9">
        <v>1957</v>
      </c>
      <c r="B1958" s="10" t="s">
        <v>9</v>
      </c>
      <c r="C1958" s="11" t="s">
        <v>10</v>
      </c>
      <c r="D1958" s="12">
        <v>45623</v>
      </c>
      <c r="E1958" s="13" t="str">
        <f>+HYPERLINK("http://trademark.i-assist.jp/data/china/image_1913th/80818935.pdf","80818935")</f>
        <v>80818935</v>
      </c>
      <c r="F1958" s="11" t="s">
        <v>1213</v>
      </c>
      <c r="G1958" s="11" t="s">
        <v>1919</v>
      </c>
      <c r="H1958" s="11" t="s">
        <v>1920</v>
      </c>
      <c r="I1958" s="12">
        <v>45544</v>
      </c>
    </row>
    <row r="1959" spans="1:9" x14ac:dyDescent="0.15">
      <c r="A1959" s="9">
        <v>1958</v>
      </c>
      <c r="B1959" s="10" t="s">
        <v>9</v>
      </c>
      <c r="C1959" s="11" t="s">
        <v>10</v>
      </c>
      <c r="D1959" s="12">
        <v>45623</v>
      </c>
      <c r="E1959" s="13" t="str">
        <f>+HYPERLINK("http://trademark.i-assist.jp/data/china/image_1913th/80822282.pdf","80822282")</f>
        <v>80822282</v>
      </c>
      <c r="F1959" s="11" t="s">
        <v>4735</v>
      </c>
      <c r="G1959" s="11" t="s">
        <v>1025</v>
      </c>
      <c r="H1959" s="11" t="s">
        <v>4204</v>
      </c>
      <c r="I1959" s="12">
        <v>45544</v>
      </c>
    </row>
    <row r="1960" spans="1:9" x14ac:dyDescent="0.15">
      <c r="A1960" s="9">
        <v>1959</v>
      </c>
      <c r="B1960" s="10" t="s">
        <v>9</v>
      </c>
      <c r="C1960" s="11" t="s">
        <v>10</v>
      </c>
      <c r="D1960" s="12">
        <v>45623</v>
      </c>
      <c r="E1960" s="13" t="str">
        <f>+HYPERLINK("http://trademark.i-assist.jp/data/china/image_1913th/80825466.pdf","80825466")</f>
        <v>80825466</v>
      </c>
      <c r="F1960" s="11" t="s">
        <v>1214</v>
      </c>
      <c r="G1960" s="11" t="s">
        <v>3009</v>
      </c>
      <c r="H1960" s="11" t="s">
        <v>3010</v>
      </c>
      <c r="I1960" s="12">
        <v>45544</v>
      </c>
    </row>
    <row r="1961" spans="1:9" x14ac:dyDescent="0.15">
      <c r="A1961" s="9">
        <v>1960</v>
      </c>
      <c r="B1961" s="10" t="s">
        <v>9</v>
      </c>
      <c r="C1961" s="11" t="s">
        <v>10</v>
      </c>
      <c r="D1961" s="12">
        <v>45623</v>
      </c>
      <c r="E1961" s="13" t="str">
        <f>+HYPERLINK("http://trademark.i-assist.jp/data/china/image_1913th/80826044.pdf","80826044")</f>
        <v>80826044</v>
      </c>
      <c r="F1961" s="11" t="s">
        <v>4736</v>
      </c>
      <c r="G1961" s="11" t="s">
        <v>4737</v>
      </c>
      <c r="H1961" s="11" t="s">
        <v>4738</v>
      </c>
      <c r="I1961" s="12">
        <v>45544</v>
      </c>
    </row>
    <row r="1962" spans="1:9" x14ac:dyDescent="0.15">
      <c r="A1962" s="9">
        <v>1961</v>
      </c>
      <c r="B1962" s="10" t="s">
        <v>9</v>
      </c>
      <c r="C1962" s="11" t="s">
        <v>10</v>
      </c>
      <c r="D1962" s="12">
        <v>45623</v>
      </c>
      <c r="E1962" s="13" t="str">
        <f>+HYPERLINK("http://trademark.i-assist.jp/data/china/image_1913th/80826764.pdf","80826764")</f>
        <v>80826764</v>
      </c>
      <c r="F1962" s="11" t="s">
        <v>1215</v>
      </c>
      <c r="G1962" s="11" t="s">
        <v>4739</v>
      </c>
      <c r="H1962" s="11" t="s">
        <v>1382</v>
      </c>
      <c r="I1962" s="12">
        <v>45544</v>
      </c>
    </row>
    <row r="1963" spans="1:9" x14ac:dyDescent="0.15">
      <c r="A1963" s="9">
        <v>1962</v>
      </c>
      <c r="B1963" s="10" t="s">
        <v>9</v>
      </c>
      <c r="C1963" s="11" t="s">
        <v>10</v>
      </c>
      <c r="D1963" s="12">
        <v>45623</v>
      </c>
      <c r="E1963" s="13" t="str">
        <f>+HYPERLINK("http://trademark.i-assist.jp/data/china/image_1913th/80757722.pdf","80757722")</f>
        <v>80757722</v>
      </c>
      <c r="F1963" s="11" t="s">
        <v>1216</v>
      </c>
      <c r="G1963" s="11" t="s">
        <v>1400</v>
      </c>
      <c r="H1963" s="11" t="s">
        <v>1401</v>
      </c>
      <c r="I1963" s="12">
        <v>45540</v>
      </c>
    </row>
    <row r="1964" spans="1:9" x14ac:dyDescent="0.15">
      <c r="A1964" s="9">
        <v>1963</v>
      </c>
      <c r="B1964" s="10" t="s">
        <v>9</v>
      </c>
      <c r="C1964" s="11" t="s">
        <v>10</v>
      </c>
      <c r="D1964" s="12">
        <v>45623</v>
      </c>
      <c r="E1964" s="13" t="str">
        <f>+HYPERLINK("http://trademark.i-assist.jp/data/china/image_1913th/80758860.pdf","80758860")</f>
        <v>80758860</v>
      </c>
      <c r="F1964" s="11" t="s">
        <v>4740</v>
      </c>
      <c r="G1964" s="11" t="s">
        <v>1975</v>
      </c>
      <c r="H1964" s="11" t="s">
        <v>1976</v>
      </c>
      <c r="I1964" s="12">
        <v>45540</v>
      </c>
    </row>
    <row r="1965" spans="1:9" x14ac:dyDescent="0.15">
      <c r="A1965" s="9">
        <v>1964</v>
      </c>
      <c r="B1965" s="10" t="s">
        <v>9</v>
      </c>
      <c r="C1965" s="11" t="s">
        <v>10</v>
      </c>
      <c r="D1965" s="12">
        <v>45623</v>
      </c>
      <c r="E1965" s="13" t="str">
        <f>+HYPERLINK("http://trademark.i-assist.jp/data/china/image_1913th/80776758.pdf","80776758")</f>
        <v>80776758</v>
      </c>
      <c r="F1965" s="11" t="s">
        <v>1217</v>
      </c>
      <c r="G1965" s="11" t="s">
        <v>1988</v>
      </c>
      <c r="H1965" s="11" t="s">
        <v>1989</v>
      </c>
      <c r="I1965" s="12">
        <v>45540</v>
      </c>
    </row>
    <row r="1966" spans="1:9" x14ac:dyDescent="0.15">
      <c r="A1966" s="9">
        <v>1965</v>
      </c>
      <c r="B1966" s="10" t="s">
        <v>9</v>
      </c>
      <c r="C1966" s="11" t="s">
        <v>10</v>
      </c>
      <c r="D1966" s="12">
        <v>45623</v>
      </c>
      <c r="E1966" s="13" t="str">
        <f>+HYPERLINK("http://trademark.i-assist.jp/data/china/image_1913th/80735631.pdf","80735631")</f>
        <v>80735631</v>
      </c>
      <c r="F1966" s="11" t="s">
        <v>1335</v>
      </c>
      <c r="G1966" s="11" t="s">
        <v>4741</v>
      </c>
      <c r="H1966" s="11" t="s">
        <v>4742</v>
      </c>
      <c r="I1966" s="12">
        <v>45539</v>
      </c>
    </row>
    <row r="1967" spans="1:9" x14ac:dyDescent="0.15">
      <c r="A1967" s="9">
        <v>1966</v>
      </c>
      <c r="B1967" s="10" t="s">
        <v>9</v>
      </c>
      <c r="C1967" s="11" t="s">
        <v>10</v>
      </c>
      <c r="D1967" s="12">
        <v>45623</v>
      </c>
      <c r="E1967" s="13" t="str">
        <f>+HYPERLINK("http://trademark.i-assist.jp/data/china/image_1913th/80745547.pdf","80745547")</f>
        <v>80745547</v>
      </c>
      <c r="F1967" s="11" t="s">
        <v>4743</v>
      </c>
      <c r="G1967" s="11" t="s">
        <v>1218</v>
      </c>
      <c r="H1967" s="11" t="s">
        <v>4744</v>
      </c>
      <c r="I1967" s="12">
        <v>45539</v>
      </c>
    </row>
    <row r="1968" spans="1:9" x14ac:dyDescent="0.15">
      <c r="A1968" s="9">
        <v>1967</v>
      </c>
      <c r="B1968" s="10" t="s">
        <v>9</v>
      </c>
      <c r="C1968" s="11" t="s">
        <v>10</v>
      </c>
      <c r="D1968" s="12">
        <v>45623</v>
      </c>
      <c r="E1968" s="13" t="str">
        <f>+HYPERLINK("http://trademark.i-assist.jp/data/china/image_1913th/80745577.pdf","80745577")</f>
        <v>80745577</v>
      </c>
      <c r="F1968" s="11" t="s">
        <v>1219</v>
      </c>
      <c r="G1968" s="11" t="s">
        <v>4745</v>
      </c>
      <c r="H1968" s="11" t="s">
        <v>1923</v>
      </c>
      <c r="I1968" s="12">
        <v>45539</v>
      </c>
    </row>
    <row r="1969" spans="1:9" x14ac:dyDescent="0.15">
      <c r="A1969" s="9">
        <v>1968</v>
      </c>
      <c r="B1969" s="10" t="s">
        <v>9</v>
      </c>
      <c r="C1969" s="11" t="s">
        <v>10</v>
      </c>
      <c r="D1969" s="12">
        <v>45623</v>
      </c>
      <c r="E1969" s="13" t="str">
        <f>+HYPERLINK("http://trademark.i-assist.jp/data/china/image_1913th/80745981.pdf","80745981")</f>
        <v>80745981</v>
      </c>
      <c r="F1969" s="11" t="s">
        <v>4746</v>
      </c>
      <c r="G1969" s="11" t="s">
        <v>4747</v>
      </c>
      <c r="H1969" s="11" t="s">
        <v>4748</v>
      </c>
      <c r="I1969" s="12">
        <v>45539</v>
      </c>
    </row>
    <row r="1970" spans="1:9" x14ac:dyDescent="0.15">
      <c r="A1970" s="9">
        <v>1969</v>
      </c>
      <c r="B1970" s="10" t="s">
        <v>9</v>
      </c>
      <c r="C1970" s="11" t="s">
        <v>10</v>
      </c>
      <c r="D1970" s="12">
        <v>45623</v>
      </c>
      <c r="E1970" s="13" t="str">
        <f>+HYPERLINK("http://trademark.i-assist.jp/data/china/image_1913th/80748726.pdf","80748726")</f>
        <v>80748726</v>
      </c>
      <c r="F1970" s="11" t="s">
        <v>1220</v>
      </c>
      <c r="G1970" s="11" t="s">
        <v>2553</v>
      </c>
      <c r="H1970" s="11" t="s">
        <v>2554</v>
      </c>
      <c r="I1970" s="12">
        <v>45539</v>
      </c>
    </row>
    <row r="1971" spans="1:9" x14ac:dyDescent="0.15">
      <c r="A1971" s="9">
        <v>1970</v>
      </c>
      <c r="B1971" s="10" t="s">
        <v>9</v>
      </c>
      <c r="C1971" s="11" t="s">
        <v>10</v>
      </c>
      <c r="D1971" s="12">
        <v>45623</v>
      </c>
      <c r="E1971" s="13" t="str">
        <f>+HYPERLINK("http://trademark.i-assist.jp/data/china/image_1913th/80755460.pdf","80755460")</f>
        <v>80755460</v>
      </c>
      <c r="F1971" s="11" t="s">
        <v>1221</v>
      </c>
      <c r="G1971" s="11" t="s">
        <v>1338</v>
      </c>
      <c r="H1971" s="11" t="s">
        <v>1700</v>
      </c>
      <c r="I1971" s="12">
        <v>45540</v>
      </c>
    </row>
    <row r="1972" spans="1:9" x14ac:dyDescent="0.15">
      <c r="A1972" s="9">
        <v>1971</v>
      </c>
      <c r="B1972" s="10" t="s">
        <v>9</v>
      </c>
      <c r="C1972" s="11" t="s">
        <v>10</v>
      </c>
      <c r="D1972" s="12">
        <v>45623</v>
      </c>
      <c r="E1972" s="13" t="str">
        <f>+HYPERLINK("http://trademark.i-assist.jp/data/china/image_1913th/79430613.pdf","79430613")</f>
        <v>79430613</v>
      </c>
      <c r="F1972" s="11" t="s">
        <v>4749</v>
      </c>
      <c r="G1972" s="11" t="s">
        <v>3981</v>
      </c>
      <c r="H1972" s="11" t="s">
        <v>3982</v>
      </c>
      <c r="I1972" s="12">
        <v>45468</v>
      </c>
    </row>
    <row r="1973" spans="1:9" x14ac:dyDescent="0.15">
      <c r="A1973" s="9">
        <v>1972</v>
      </c>
      <c r="B1973" s="10" t="s">
        <v>9</v>
      </c>
      <c r="C1973" s="11" t="s">
        <v>10</v>
      </c>
      <c r="D1973" s="12">
        <v>45623</v>
      </c>
      <c r="E1973" s="13" t="str">
        <f>+HYPERLINK("http://trademark.i-assist.jp/data/china/image_1913th/80090380.pdf","80090380")</f>
        <v>80090380</v>
      </c>
      <c r="F1973" s="11" t="s">
        <v>4750</v>
      </c>
      <c r="G1973" s="11" t="s">
        <v>4751</v>
      </c>
      <c r="H1973" s="11" t="s">
        <v>4752</v>
      </c>
      <c r="I1973" s="12">
        <v>45503</v>
      </c>
    </row>
    <row r="1974" spans="1:9" x14ac:dyDescent="0.15">
      <c r="A1974" s="9">
        <v>1973</v>
      </c>
      <c r="B1974" s="10" t="s">
        <v>9</v>
      </c>
      <c r="C1974" s="11" t="s">
        <v>10</v>
      </c>
      <c r="D1974" s="12">
        <v>45623</v>
      </c>
      <c r="E1974" s="13" t="str">
        <f>+HYPERLINK("http://trademark.i-assist.jp/data/china/image_1913th/80232206.pdf","80232206")</f>
        <v>80232206</v>
      </c>
      <c r="F1974" s="11" t="s">
        <v>4753</v>
      </c>
      <c r="G1974" s="11" t="s">
        <v>4754</v>
      </c>
      <c r="H1974" s="11" t="s">
        <v>4755</v>
      </c>
      <c r="I1974" s="12">
        <v>45511</v>
      </c>
    </row>
    <row r="1975" spans="1:9" x14ac:dyDescent="0.15">
      <c r="A1975" s="9">
        <v>1974</v>
      </c>
      <c r="B1975" s="10" t="s">
        <v>9</v>
      </c>
      <c r="C1975" s="11" t="s">
        <v>10</v>
      </c>
      <c r="D1975" s="12">
        <v>45623</v>
      </c>
      <c r="E1975" s="13" t="str">
        <f>+HYPERLINK("http://trademark.i-assist.jp/data/china/image_1913th/80472540.pdf","80472540")</f>
        <v>80472540</v>
      </c>
      <c r="F1975" s="11" t="s">
        <v>1222</v>
      </c>
      <c r="G1975" s="11" t="s">
        <v>4756</v>
      </c>
      <c r="H1975" s="11" t="s">
        <v>4757</v>
      </c>
      <c r="I1975" s="12">
        <v>45524</v>
      </c>
    </row>
    <row r="1976" spans="1:9" x14ac:dyDescent="0.15">
      <c r="A1976" s="9">
        <v>1975</v>
      </c>
      <c r="B1976" s="10" t="s">
        <v>9</v>
      </c>
      <c r="C1976" s="11" t="s">
        <v>10</v>
      </c>
      <c r="D1976" s="12">
        <v>45623</v>
      </c>
      <c r="E1976" s="13" t="str">
        <f>+HYPERLINK("http://trademark.i-assist.jp/data/china/image_1913th/80473066.pdf","80473066")</f>
        <v>80473066</v>
      </c>
      <c r="F1976" s="11" t="s">
        <v>1223</v>
      </c>
      <c r="G1976" s="11" t="s">
        <v>4758</v>
      </c>
      <c r="H1976" s="11" t="s">
        <v>4759</v>
      </c>
      <c r="I1976" s="12">
        <v>45524</v>
      </c>
    </row>
    <row r="1977" spans="1:9" x14ac:dyDescent="0.15">
      <c r="A1977" s="9">
        <v>1976</v>
      </c>
      <c r="B1977" s="10" t="s">
        <v>9</v>
      </c>
      <c r="C1977" s="11" t="s">
        <v>10</v>
      </c>
      <c r="D1977" s="12">
        <v>45623</v>
      </c>
      <c r="E1977" s="13" t="str">
        <f>+HYPERLINK("http://trademark.i-assist.jp/data/china/image_1913th/80484231.pdf","80484231")</f>
        <v>80484231</v>
      </c>
      <c r="F1977" s="11" t="s">
        <v>4760</v>
      </c>
      <c r="G1977" s="11" t="s">
        <v>3574</v>
      </c>
      <c r="H1977" s="11" t="s">
        <v>3575</v>
      </c>
      <c r="I1977" s="12">
        <v>45525</v>
      </c>
    </row>
    <row r="1978" spans="1:9" x14ac:dyDescent="0.15">
      <c r="A1978" s="9">
        <v>1977</v>
      </c>
      <c r="B1978" s="10" t="s">
        <v>9</v>
      </c>
      <c r="C1978" s="11" t="s">
        <v>10</v>
      </c>
      <c r="D1978" s="12">
        <v>45623</v>
      </c>
      <c r="E1978" s="13" t="str">
        <f>+HYPERLINK("http://trademark.i-assist.jp/data/china/image_1913th/80485521.pdf","80485521")</f>
        <v>80485521</v>
      </c>
      <c r="F1978" s="11" t="s">
        <v>1224</v>
      </c>
      <c r="G1978" s="11" t="s">
        <v>2242</v>
      </c>
      <c r="H1978" s="11" t="s">
        <v>2243</v>
      </c>
      <c r="I1978" s="12">
        <v>45525</v>
      </c>
    </row>
    <row r="1979" spans="1:9" x14ac:dyDescent="0.15">
      <c r="A1979" s="9">
        <v>1978</v>
      </c>
      <c r="B1979" s="10" t="s">
        <v>9</v>
      </c>
      <c r="C1979" s="11" t="s">
        <v>10</v>
      </c>
      <c r="D1979" s="12">
        <v>45623</v>
      </c>
      <c r="E1979" s="13" t="str">
        <f>+HYPERLINK("http://trademark.i-assist.jp/data/china/image_1913th/80487282.pdf","80487282")</f>
        <v>80487282</v>
      </c>
      <c r="F1979" s="11" t="s">
        <v>1225</v>
      </c>
      <c r="G1979" s="11" t="s">
        <v>4761</v>
      </c>
      <c r="H1979" s="11" t="s">
        <v>4762</v>
      </c>
      <c r="I1979" s="12">
        <v>45525</v>
      </c>
    </row>
    <row r="1980" spans="1:9" x14ac:dyDescent="0.15">
      <c r="A1980" s="9">
        <v>1979</v>
      </c>
      <c r="B1980" s="10" t="s">
        <v>9</v>
      </c>
      <c r="C1980" s="11" t="s">
        <v>10</v>
      </c>
      <c r="D1980" s="12">
        <v>45623</v>
      </c>
      <c r="E1980" s="13" t="str">
        <f>+HYPERLINK("http://trademark.i-assist.jp/data/china/image_1913th/80493997.pdf","80493997")</f>
        <v>80493997</v>
      </c>
      <c r="F1980" s="11" t="s">
        <v>4763</v>
      </c>
      <c r="G1980" s="11" t="s">
        <v>4764</v>
      </c>
      <c r="H1980" s="11" t="s">
        <v>4765</v>
      </c>
      <c r="I1980" s="12">
        <v>45525</v>
      </c>
    </row>
    <row r="1981" spans="1:9" x14ac:dyDescent="0.15">
      <c r="A1981" s="9">
        <v>1980</v>
      </c>
      <c r="B1981" s="10" t="s">
        <v>9</v>
      </c>
      <c r="C1981" s="11" t="s">
        <v>10</v>
      </c>
      <c r="D1981" s="12">
        <v>45623</v>
      </c>
      <c r="E1981" s="13" t="str">
        <f>+HYPERLINK("http://trademark.i-assist.jp/data/china/image_1913th/80503143.pdf","80503143")</f>
        <v>80503143</v>
      </c>
      <c r="F1981" s="11" t="s">
        <v>1226</v>
      </c>
      <c r="G1981" s="11" t="s">
        <v>4766</v>
      </c>
      <c r="H1981" s="11" t="s">
        <v>4767</v>
      </c>
      <c r="I1981" s="12">
        <v>45526</v>
      </c>
    </row>
    <row r="1982" spans="1:9" x14ac:dyDescent="0.15">
      <c r="A1982" s="9">
        <v>1981</v>
      </c>
      <c r="B1982" s="10" t="s">
        <v>9</v>
      </c>
      <c r="C1982" s="11" t="s">
        <v>10</v>
      </c>
      <c r="D1982" s="12">
        <v>45623</v>
      </c>
      <c r="E1982" s="13" t="str">
        <f>+HYPERLINK("http://trademark.i-assist.jp/data/china/image_1913th/80547853.pdf","80547853")</f>
        <v>80547853</v>
      </c>
      <c r="F1982" s="11" t="s">
        <v>1227</v>
      </c>
      <c r="G1982" s="11" t="s">
        <v>4768</v>
      </c>
      <c r="H1982" s="11" t="s">
        <v>4769</v>
      </c>
      <c r="I1982" s="12">
        <v>45528</v>
      </c>
    </row>
    <row r="1983" spans="1:9" x14ac:dyDescent="0.15">
      <c r="A1983" s="9">
        <v>1982</v>
      </c>
      <c r="B1983" s="10" t="s">
        <v>9</v>
      </c>
      <c r="C1983" s="11" t="s">
        <v>10</v>
      </c>
      <c r="D1983" s="12">
        <v>45623</v>
      </c>
      <c r="E1983" s="13" t="str">
        <f>+HYPERLINK("http://trademark.i-assist.jp/data/china/image_1913th/79229803.pdf","79229803")</f>
        <v>79229803</v>
      </c>
      <c r="F1983" s="11" t="s">
        <v>1228</v>
      </c>
      <c r="G1983" s="11" t="s">
        <v>4770</v>
      </c>
      <c r="H1983" s="11" t="s">
        <v>1292</v>
      </c>
      <c r="I1983" s="12">
        <v>45457</v>
      </c>
    </row>
    <row r="1984" spans="1:9" x14ac:dyDescent="0.15">
      <c r="A1984" s="9">
        <v>1983</v>
      </c>
      <c r="B1984" s="10" t="s">
        <v>9</v>
      </c>
      <c r="C1984" s="11" t="s">
        <v>10</v>
      </c>
      <c r="D1984" s="12">
        <v>45623</v>
      </c>
      <c r="E1984" s="13" t="str">
        <f>+HYPERLINK("http://trademark.i-assist.jp/data/china/image_1913th/79280373.pdf","79280373")</f>
        <v>79280373</v>
      </c>
      <c r="F1984" s="11" t="s">
        <v>1229</v>
      </c>
      <c r="G1984" s="11" t="s">
        <v>3987</v>
      </c>
      <c r="H1984" s="11" t="s">
        <v>3988</v>
      </c>
      <c r="I1984" s="12">
        <v>45461</v>
      </c>
    </row>
    <row r="1985" spans="1:9" x14ac:dyDescent="0.15">
      <c r="A1985" s="9">
        <v>1984</v>
      </c>
      <c r="B1985" s="10" t="s">
        <v>9</v>
      </c>
      <c r="C1985" s="11" t="s">
        <v>10</v>
      </c>
      <c r="D1985" s="12">
        <v>45623</v>
      </c>
      <c r="E1985" s="13" t="str">
        <f>+HYPERLINK("http://trademark.i-assist.jp/data/china/image_1913th/80569767.pdf","80569767")</f>
        <v>80569767</v>
      </c>
      <c r="F1985" s="11" t="s">
        <v>1230</v>
      </c>
      <c r="G1985" s="11" t="s">
        <v>4771</v>
      </c>
      <c r="H1985" s="11" t="s">
        <v>4772</v>
      </c>
      <c r="I1985" s="12">
        <v>45530</v>
      </c>
    </row>
    <row r="1986" spans="1:9" x14ac:dyDescent="0.15">
      <c r="A1986" s="9">
        <v>1985</v>
      </c>
      <c r="B1986" s="10" t="s">
        <v>9</v>
      </c>
      <c r="C1986" s="11" t="s">
        <v>10</v>
      </c>
      <c r="D1986" s="12">
        <v>45623</v>
      </c>
      <c r="E1986" s="13" t="str">
        <f>+HYPERLINK("http://trademark.i-assist.jp/data/china/image_1913th/80579862.pdf","80579862")</f>
        <v>80579862</v>
      </c>
      <c r="F1986" s="11" t="s">
        <v>4773</v>
      </c>
      <c r="G1986" s="11" t="s">
        <v>4774</v>
      </c>
      <c r="H1986" s="11" t="s">
        <v>4775</v>
      </c>
      <c r="I1986" s="12">
        <v>45531</v>
      </c>
    </row>
    <row r="1987" spans="1:9" x14ac:dyDescent="0.15">
      <c r="A1987" s="9">
        <v>1986</v>
      </c>
      <c r="B1987" s="10" t="s">
        <v>9</v>
      </c>
      <c r="C1987" s="11" t="s">
        <v>10</v>
      </c>
      <c r="D1987" s="12">
        <v>45623</v>
      </c>
      <c r="E1987" s="13" t="str">
        <f>+HYPERLINK("http://trademark.i-assist.jp/data/china/image_1913th/80587633.pdf","80587633")</f>
        <v>80587633</v>
      </c>
      <c r="F1987" s="11" t="s">
        <v>4776</v>
      </c>
      <c r="G1987" s="11" t="s">
        <v>1484</v>
      </c>
      <c r="H1987" s="11" t="s">
        <v>1485</v>
      </c>
      <c r="I1987" s="12">
        <v>45531</v>
      </c>
    </row>
    <row r="1988" spans="1:9" x14ac:dyDescent="0.15">
      <c r="A1988" s="9">
        <v>1987</v>
      </c>
      <c r="B1988" s="10" t="s">
        <v>9</v>
      </c>
      <c r="C1988" s="11" t="s">
        <v>10</v>
      </c>
      <c r="D1988" s="12">
        <v>45623</v>
      </c>
      <c r="E1988" s="13" t="str">
        <f>+HYPERLINK("http://trademark.i-assist.jp/data/china/image_1913th/80590432.pdf","80590432")</f>
        <v>80590432</v>
      </c>
      <c r="F1988" s="11" t="s">
        <v>4777</v>
      </c>
      <c r="G1988" s="11" t="s">
        <v>715</v>
      </c>
      <c r="H1988" s="11" t="s">
        <v>3425</v>
      </c>
      <c r="I1988" s="12">
        <v>45531</v>
      </c>
    </row>
    <row r="1989" spans="1:9" x14ac:dyDescent="0.15">
      <c r="A1989" s="9">
        <v>1988</v>
      </c>
      <c r="B1989" s="10" t="s">
        <v>9</v>
      </c>
      <c r="C1989" s="11" t="s">
        <v>10</v>
      </c>
      <c r="D1989" s="12">
        <v>45623</v>
      </c>
      <c r="E1989" s="13" t="str">
        <f>+HYPERLINK("http://trademark.i-assist.jp/data/china/image_1913th/80594000.pdf","80594000")</f>
        <v>80594000</v>
      </c>
      <c r="F1989" s="11" t="s">
        <v>4778</v>
      </c>
      <c r="G1989" s="11" t="s">
        <v>4779</v>
      </c>
      <c r="H1989" s="11" t="s">
        <v>3653</v>
      </c>
      <c r="I1989" s="12">
        <v>45531</v>
      </c>
    </row>
    <row r="1990" spans="1:9" x14ac:dyDescent="0.15">
      <c r="A1990" s="9">
        <v>1989</v>
      </c>
      <c r="B1990" s="10" t="s">
        <v>9</v>
      </c>
      <c r="C1990" s="11" t="s">
        <v>10</v>
      </c>
      <c r="D1990" s="12">
        <v>45623</v>
      </c>
      <c r="E1990" s="13" t="str">
        <f>+HYPERLINK("http://trademark.i-assist.jp/data/china/image_1913th/80595244.pdf","80595244")</f>
        <v>80595244</v>
      </c>
      <c r="F1990" s="11" t="s">
        <v>4780</v>
      </c>
      <c r="G1990" s="11" t="s">
        <v>4781</v>
      </c>
      <c r="H1990" s="11" t="s">
        <v>4782</v>
      </c>
      <c r="I1990" s="12">
        <v>45531</v>
      </c>
    </row>
    <row r="1991" spans="1:9" x14ac:dyDescent="0.15">
      <c r="A1991" s="9">
        <v>1990</v>
      </c>
      <c r="B1991" s="10" t="s">
        <v>9</v>
      </c>
      <c r="C1991" s="11" t="s">
        <v>10</v>
      </c>
      <c r="D1991" s="12">
        <v>45623</v>
      </c>
      <c r="E1991" s="13" t="str">
        <f>+HYPERLINK("http://trademark.i-assist.jp/data/china/image_1913th/80595717.pdf","80595717")</f>
        <v>80595717</v>
      </c>
      <c r="F1991" s="11" t="s">
        <v>1232</v>
      </c>
      <c r="G1991" s="11" t="s">
        <v>1231</v>
      </c>
      <c r="H1991" s="11" t="s">
        <v>4783</v>
      </c>
      <c r="I1991" s="12">
        <v>45531</v>
      </c>
    </row>
    <row r="1992" spans="1:9" x14ac:dyDescent="0.15">
      <c r="A1992" s="9">
        <v>1991</v>
      </c>
      <c r="B1992" s="10" t="s">
        <v>9</v>
      </c>
      <c r="C1992" s="11" t="s">
        <v>10</v>
      </c>
      <c r="D1992" s="12">
        <v>45623</v>
      </c>
      <c r="E1992" s="13" t="str">
        <f>+HYPERLINK("http://trademark.i-assist.jp/data/china/image_1913th/76097109.pdf","76097109")</f>
        <v>76097109</v>
      </c>
      <c r="F1992" s="11" t="s">
        <v>1335</v>
      </c>
      <c r="G1992" s="11" t="s">
        <v>4784</v>
      </c>
      <c r="H1992" s="11" t="s">
        <v>4785</v>
      </c>
      <c r="I1992" s="12">
        <v>45289</v>
      </c>
    </row>
    <row r="1993" spans="1:9" x14ac:dyDescent="0.15">
      <c r="A1993" s="9">
        <v>1992</v>
      </c>
      <c r="B1993" s="10" t="s">
        <v>9</v>
      </c>
      <c r="C1993" s="11" t="s">
        <v>10</v>
      </c>
      <c r="D1993" s="12">
        <v>45623</v>
      </c>
      <c r="E1993" s="13" t="str">
        <f>+HYPERLINK("http://trademark.i-assist.jp/data/china/image_1913th/80616910.pdf","80616910")</f>
        <v>80616910</v>
      </c>
      <c r="F1993" s="11" t="s">
        <v>4786</v>
      </c>
      <c r="G1993" s="11" t="s">
        <v>4787</v>
      </c>
      <c r="H1993" s="11" t="s">
        <v>4788</v>
      </c>
      <c r="I1993" s="12">
        <v>45532</v>
      </c>
    </row>
    <row r="1994" spans="1:9" x14ac:dyDescent="0.15">
      <c r="A1994" s="9">
        <v>1993</v>
      </c>
      <c r="B1994" s="10" t="s">
        <v>9</v>
      </c>
      <c r="C1994" s="11" t="s">
        <v>10</v>
      </c>
      <c r="D1994" s="12">
        <v>45623</v>
      </c>
      <c r="E1994" s="13" t="str">
        <f>+HYPERLINK("http://trademark.i-assist.jp/data/china/image_1913th/80617559.pdf","80617559")</f>
        <v>80617559</v>
      </c>
      <c r="F1994" s="11" t="s">
        <v>1233</v>
      </c>
      <c r="G1994" s="11" t="s">
        <v>4789</v>
      </c>
      <c r="H1994" s="11" t="s">
        <v>4790</v>
      </c>
      <c r="I1994" s="12">
        <v>45532</v>
      </c>
    </row>
    <row r="1995" spans="1:9" x14ac:dyDescent="0.15">
      <c r="A1995" s="9">
        <v>1994</v>
      </c>
      <c r="B1995" s="10" t="s">
        <v>9</v>
      </c>
      <c r="C1995" s="11" t="s">
        <v>10</v>
      </c>
      <c r="D1995" s="12">
        <v>45623</v>
      </c>
      <c r="E1995" s="13" t="str">
        <f>+HYPERLINK("http://trademark.i-assist.jp/data/china/image_1913th/80618192.pdf","80618192")</f>
        <v>80618192</v>
      </c>
      <c r="F1995" s="11" t="s">
        <v>1234</v>
      </c>
      <c r="G1995" s="11" t="s">
        <v>4791</v>
      </c>
      <c r="H1995" s="11" t="s">
        <v>4792</v>
      </c>
      <c r="I1995" s="12">
        <v>45532</v>
      </c>
    </row>
    <row r="1996" spans="1:9" x14ac:dyDescent="0.15">
      <c r="A1996" s="9">
        <v>1995</v>
      </c>
      <c r="B1996" s="10" t="s">
        <v>9</v>
      </c>
      <c r="C1996" s="11" t="s">
        <v>10</v>
      </c>
      <c r="D1996" s="12">
        <v>45623</v>
      </c>
      <c r="E1996" s="13" t="str">
        <f>+HYPERLINK("http://trademark.i-assist.jp/data/china/image_1913th/80648523.pdf","80648523")</f>
        <v>80648523</v>
      </c>
      <c r="F1996" s="11" t="s">
        <v>4793</v>
      </c>
      <c r="G1996" s="11" t="s">
        <v>4794</v>
      </c>
      <c r="H1996" s="11" t="s">
        <v>4795</v>
      </c>
      <c r="I1996" s="12">
        <v>45533</v>
      </c>
    </row>
    <row r="1997" spans="1:9" x14ac:dyDescent="0.15">
      <c r="A1997" s="9">
        <v>1996</v>
      </c>
      <c r="B1997" s="10" t="s">
        <v>9</v>
      </c>
      <c r="C1997" s="11" t="s">
        <v>10</v>
      </c>
      <c r="D1997" s="12">
        <v>45623</v>
      </c>
      <c r="E1997" s="13" t="str">
        <f>+HYPERLINK("http://trademark.i-assist.jp/data/china/image_1913th/80648726.pdf","80648726")</f>
        <v>80648726</v>
      </c>
      <c r="F1997" s="11" t="s">
        <v>4796</v>
      </c>
      <c r="G1997" s="11" t="s">
        <v>1724</v>
      </c>
      <c r="H1997" s="11" t="s">
        <v>1725</v>
      </c>
      <c r="I1997" s="12">
        <v>45533</v>
      </c>
    </row>
    <row r="1998" spans="1:9" x14ac:dyDescent="0.15">
      <c r="A1998" s="9">
        <v>1997</v>
      </c>
      <c r="B1998" s="10" t="s">
        <v>9</v>
      </c>
      <c r="C1998" s="11" t="s">
        <v>10</v>
      </c>
      <c r="D1998" s="12">
        <v>45623</v>
      </c>
      <c r="E1998" s="13" t="str">
        <f>+HYPERLINK("http://trademark.i-assist.jp/data/china/image_1913th/80655492.pdf","80655492")</f>
        <v>80655492</v>
      </c>
      <c r="F1998" s="11" t="s">
        <v>4797</v>
      </c>
      <c r="G1998" s="11" t="s">
        <v>4797</v>
      </c>
      <c r="H1998" s="11" t="s">
        <v>4798</v>
      </c>
      <c r="I1998" s="12">
        <v>45534</v>
      </c>
    </row>
    <row r="1999" spans="1:9" x14ac:dyDescent="0.15">
      <c r="A1999" s="9">
        <v>1998</v>
      </c>
      <c r="B1999" s="10" t="s">
        <v>9</v>
      </c>
      <c r="C1999" s="11" t="s">
        <v>10</v>
      </c>
      <c r="D1999" s="12">
        <v>45623</v>
      </c>
      <c r="E1999" s="13" t="str">
        <f>+HYPERLINK("http://trademark.i-assist.jp/data/china/image_1913th/80657642.pdf","80657642")</f>
        <v>80657642</v>
      </c>
      <c r="F1999" s="11" t="s">
        <v>4799</v>
      </c>
      <c r="G1999" s="11" t="s">
        <v>4800</v>
      </c>
      <c r="H1999" s="11" t="s">
        <v>4801</v>
      </c>
      <c r="I1999" s="12">
        <v>45534</v>
      </c>
    </row>
    <row r="2000" spans="1:9" x14ac:dyDescent="0.15">
      <c r="A2000" s="9">
        <v>1999</v>
      </c>
      <c r="B2000" s="10" t="s">
        <v>9</v>
      </c>
      <c r="C2000" s="11" t="s">
        <v>10</v>
      </c>
      <c r="D2000" s="12">
        <v>45623</v>
      </c>
      <c r="E2000" s="13" t="str">
        <f>+HYPERLINK("http://trademark.i-assist.jp/data/china/image_1913th/80661910.pdf","80661910")</f>
        <v>80661910</v>
      </c>
      <c r="F2000" s="11" t="s">
        <v>4802</v>
      </c>
      <c r="G2000" s="11" t="s">
        <v>4803</v>
      </c>
      <c r="H2000" s="11" t="s">
        <v>4804</v>
      </c>
      <c r="I2000" s="12">
        <v>45534</v>
      </c>
    </row>
    <row r="2001" spans="1:9" x14ac:dyDescent="0.15">
      <c r="A2001" s="9">
        <v>2000</v>
      </c>
      <c r="B2001" s="10" t="s">
        <v>9</v>
      </c>
      <c r="C2001" s="11" t="s">
        <v>10</v>
      </c>
      <c r="D2001" s="12">
        <v>45623</v>
      </c>
      <c r="E2001" s="13" t="str">
        <f>+HYPERLINK("http://trademark.i-assist.jp/data/china/image_1913th/80661911.pdf","80661911")</f>
        <v>80661911</v>
      </c>
      <c r="F2001" s="11" t="s">
        <v>1235</v>
      </c>
      <c r="G2001" s="11" t="s">
        <v>4805</v>
      </c>
      <c r="H2001" s="11" t="s">
        <v>4806</v>
      </c>
      <c r="I2001" s="12">
        <v>45534</v>
      </c>
    </row>
    <row r="2002" spans="1:9" x14ac:dyDescent="0.15">
      <c r="A2002" s="9">
        <v>2001</v>
      </c>
      <c r="B2002" s="10" t="s">
        <v>9</v>
      </c>
      <c r="C2002" s="11" t="s">
        <v>10</v>
      </c>
      <c r="D2002" s="12">
        <v>45623</v>
      </c>
      <c r="E2002" s="13" t="str">
        <f>+HYPERLINK("http://trademark.i-assist.jp/data/china/image_1913th/80664809.pdf","80664809")</f>
        <v>80664809</v>
      </c>
      <c r="F2002" s="11" t="s">
        <v>1236</v>
      </c>
      <c r="G2002" s="11" t="s">
        <v>4807</v>
      </c>
      <c r="H2002" s="11" t="s">
        <v>4808</v>
      </c>
      <c r="I2002" s="12">
        <v>45534</v>
      </c>
    </row>
    <row r="2003" spans="1:9" x14ac:dyDescent="0.15">
      <c r="A2003" s="9">
        <v>2002</v>
      </c>
      <c r="B2003" s="10" t="s">
        <v>9</v>
      </c>
      <c r="C2003" s="11" t="s">
        <v>10</v>
      </c>
      <c r="D2003" s="12">
        <v>45623</v>
      </c>
      <c r="E2003" s="13" t="str">
        <f>+HYPERLINK("http://trademark.i-assist.jp/data/china/image_1913th/80666515.pdf","80666515")</f>
        <v>80666515</v>
      </c>
      <c r="F2003" s="11" t="s">
        <v>4809</v>
      </c>
      <c r="G2003" s="11" t="s">
        <v>4810</v>
      </c>
      <c r="H2003" s="11" t="s">
        <v>4811</v>
      </c>
      <c r="I2003" s="12">
        <v>45534</v>
      </c>
    </row>
    <row r="2004" spans="1:9" x14ac:dyDescent="0.15">
      <c r="A2004" s="9">
        <v>2003</v>
      </c>
      <c r="B2004" s="10" t="s">
        <v>9</v>
      </c>
      <c r="C2004" s="11" t="s">
        <v>10</v>
      </c>
      <c r="D2004" s="12">
        <v>45623</v>
      </c>
      <c r="E2004" s="13" t="str">
        <f>+HYPERLINK("http://trademark.i-assist.jp/data/china/image_1913th/80666973.pdf","80666973")</f>
        <v>80666973</v>
      </c>
      <c r="F2004" s="11" t="s">
        <v>4812</v>
      </c>
      <c r="G2004" s="11" t="s">
        <v>3464</v>
      </c>
      <c r="H2004" s="11" t="s">
        <v>1291</v>
      </c>
      <c r="I2004" s="12">
        <v>45534</v>
      </c>
    </row>
    <row r="2005" spans="1:9" x14ac:dyDescent="0.15">
      <c r="A2005" s="9">
        <v>2004</v>
      </c>
      <c r="B2005" s="10" t="s">
        <v>9</v>
      </c>
      <c r="C2005" s="11" t="s">
        <v>10</v>
      </c>
      <c r="D2005" s="12">
        <v>45623</v>
      </c>
      <c r="E2005" s="13" t="str">
        <f>+HYPERLINK("http://trademark.i-assist.jp/data/china/image_1913th/80666943.pdf","80666943")</f>
        <v>80666943</v>
      </c>
      <c r="F2005" s="11" t="s">
        <v>1237</v>
      </c>
      <c r="G2005" s="11" t="s">
        <v>4813</v>
      </c>
      <c r="H2005" s="11" t="s">
        <v>4814</v>
      </c>
      <c r="I2005" s="12">
        <v>45534</v>
      </c>
    </row>
    <row r="2006" spans="1:9" x14ac:dyDescent="0.15">
      <c r="A2006" s="9">
        <v>2005</v>
      </c>
      <c r="B2006" s="10" t="s">
        <v>9</v>
      </c>
      <c r="C2006" s="11" t="s">
        <v>10</v>
      </c>
      <c r="D2006" s="12">
        <v>45623</v>
      </c>
      <c r="E2006" s="13" t="str">
        <f>+HYPERLINK("http://trademark.i-assist.jp/data/china/image_1913th/80671307.pdf","80671307")</f>
        <v>80671307</v>
      </c>
      <c r="F2006" s="11" t="s">
        <v>4815</v>
      </c>
      <c r="G2006" s="11" t="s">
        <v>1598</v>
      </c>
      <c r="H2006" s="11" t="s">
        <v>1599</v>
      </c>
      <c r="I2006" s="12">
        <v>45534</v>
      </c>
    </row>
    <row r="2007" spans="1:9" x14ac:dyDescent="0.15">
      <c r="A2007" s="9">
        <v>2006</v>
      </c>
      <c r="B2007" s="10" t="s">
        <v>9</v>
      </c>
      <c r="C2007" s="11" t="s">
        <v>10</v>
      </c>
      <c r="D2007" s="12">
        <v>45623</v>
      </c>
      <c r="E2007" s="13" t="str">
        <f>+HYPERLINK("http://trademark.i-assist.jp/data/china/image_1913th/80380326.pdf","80380326")</f>
        <v>80380326</v>
      </c>
      <c r="F2007" s="11" t="s">
        <v>4816</v>
      </c>
      <c r="G2007" s="11" t="s">
        <v>4817</v>
      </c>
      <c r="H2007" s="11" t="s">
        <v>4818</v>
      </c>
      <c r="I2007" s="12">
        <v>45519</v>
      </c>
    </row>
    <row r="2008" spans="1:9" x14ac:dyDescent="0.15">
      <c r="A2008" s="9">
        <v>2007</v>
      </c>
      <c r="B2008" s="10" t="s">
        <v>9</v>
      </c>
      <c r="C2008" s="11" t="s">
        <v>10</v>
      </c>
      <c r="D2008" s="12">
        <v>45623</v>
      </c>
      <c r="E2008" s="13" t="str">
        <f>+HYPERLINK("http://trademark.i-assist.jp/data/china/image_1913th/80395001.pdf","80395001")</f>
        <v>80395001</v>
      </c>
      <c r="F2008" s="11" t="s">
        <v>4819</v>
      </c>
      <c r="G2008" s="11" t="s">
        <v>4820</v>
      </c>
      <c r="H2008" s="11" t="s">
        <v>4821</v>
      </c>
      <c r="I2008" s="12">
        <v>45520</v>
      </c>
    </row>
    <row r="2009" spans="1:9" x14ac:dyDescent="0.15">
      <c r="A2009" s="9">
        <v>2008</v>
      </c>
      <c r="B2009" s="10" t="s">
        <v>9</v>
      </c>
      <c r="C2009" s="11" t="s">
        <v>10</v>
      </c>
      <c r="D2009" s="12">
        <v>45623</v>
      </c>
      <c r="E2009" s="13" t="str">
        <f>+HYPERLINK("http://trademark.i-assist.jp/data/china/image_1913th/80398642.pdf","80398642")</f>
        <v>80398642</v>
      </c>
      <c r="F2009" s="11" t="s">
        <v>4822</v>
      </c>
      <c r="G2009" s="11" t="s">
        <v>2829</v>
      </c>
      <c r="H2009" s="11" t="s">
        <v>2830</v>
      </c>
      <c r="I2009" s="12">
        <v>45520</v>
      </c>
    </row>
    <row r="2010" spans="1:9" x14ac:dyDescent="0.15">
      <c r="A2010" s="9">
        <v>2009</v>
      </c>
      <c r="B2010" s="10" t="s">
        <v>9</v>
      </c>
      <c r="C2010" s="11" t="s">
        <v>10</v>
      </c>
      <c r="D2010" s="12">
        <v>45623</v>
      </c>
      <c r="E2010" s="13" t="str">
        <f>+HYPERLINK("http://trademark.i-assist.jp/data/china/image_1913th/80399021.pdf","80399021")</f>
        <v>80399021</v>
      </c>
      <c r="F2010" s="11" t="s">
        <v>1239</v>
      </c>
      <c r="G2010" s="11" t="s">
        <v>1238</v>
      </c>
      <c r="H2010" s="11" t="s">
        <v>4823</v>
      </c>
      <c r="I2010" s="12">
        <v>45520</v>
      </c>
    </row>
    <row r="2011" spans="1:9" x14ac:dyDescent="0.15">
      <c r="A2011" s="9">
        <v>2010</v>
      </c>
      <c r="B2011" s="10" t="s">
        <v>9</v>
      </c>
      <c r="C2011" s="11" t="s">
        <v>10</v>
      </c>
      <c r="D2011" s="12">
        <v>45623</v>
      </c>
      <c r="E2011" s="13" t="str">
        <f>+HYPERLINK("http://trademark.i-assist.jp/data/china/image_1913th/80438702.pdf","80438702")</f>
        <v>80438702</v>
      </c>
      <c r="F2011" s="11" t="s">
        <v>1241</v>
      </c>
      <c r="G2011" s="11" t="s">
        <v>1240</v>
      </c>
      <c r="H2011" s="11" t="s">
        <v>4824</v>
      </c>
      <c r="I2011" s="12">
        <v>45523</v>
      </c>
    </row>
    <row r="2012" spans="1:9" x14ac:dyDescent="0.15">
      <c r="A2012" s="9">
        <v>2011</v>
      </c>
      <c r="B2012" s="10" t="s">
        <v>9</v>
      </c>
      <c r="C2012" s="11" t="s">
        <v>10</v>
      </c>
      <c r="D2012" s="12">
        <v>45623</v>
      </c>
      <c r="E2012" s="13" t="str">
        <f>+HYPERLINK("http://trademark.i-assist.jp/data/china/image_1913th/80441044.pdf","80441044")</f>
        <v>80441044</v>
      </c>
      <c r="F2012" s="11" t="s">
        <v>4825</v>
      </c>
      <c r="G2012" s="11" t="s">
        <v>1242</v>
      </c>
      <c r="H2012" s="11" t="s">
        <v>1753</v>
      </c>
      <c r="I2012" s="12">
        <v>45523</v>
      </c>
    </row>
    <row r="2013" spans="1:9" x14ac:dyDescent="0.15">
      <c r="A2013" s="9">
        <v>2012</v>
      </c>
      <c r="B2013" s="10" t="s">
        <v>9</v>
      </c>
      <c r="C2013" s="11" t="s">
        <v>10</v>
      </c>
      <c r="D2013" s="12">
        <v>45623</v>
      </c>
      <c r="E2013" s="13" t="str">
        <f>+HYPERLINK("http://trademark.i-assist.jp/data/china/image_1913th/80442666.pdf","80442666")</f>
        <v>80442666</v>
      </c>
      <c r="F2013" s="11" t="s">
        <v>4826</v>
      </c>
      <c r="G2013" s="11" t="s">
        <v>4827</v>
      </c>
      <c r="H2013" s="11" t="s">
        <v>4828</v>
      </c>
      <c r="I2013" s="12">
        <v>45523</v>
      </c>
    </row>
    <row r="2014" spans="1:9" x14ac:dyDescent="0.15">
      <c r="A2014" s="9">
        <v>2013</v>
      </c>
      <c r="B2014" s="10" t="s">
        <v>9</v>
      </c>
      <c r="C2014" s="11" t="s">
        <v>10</v>
      </c>
      <c r="D2014" s="12">
        <v>45623</v>
      </c>
      <c r="E2014" s="13" t="str">
        <f>+HYPERLINK("http://trademark.i-assist.jp/data/china/image_1913th/80759929.pdf","80759929")</f>
        <v>80759929</v>
      </c>
      <c r="F2014" s="11" t="s">
        <v>4829</v>
      </c>
      <c r="G2014" s="11" t="s">
        <v>566</v>
      </c>
      <c r="H2014" s="11" t="s">
        <v>1480</v>
      </c>
      <c r="I2014" s="12">
        <v>45540</v>
      </c>
    </row>
    <row r="2015" spans="1:9" x14ac:dyDescent="0.15">
      <c r="A2015" s="9">
        <v>2014</v>
      </c>
      <c r="B2015" s="10" t="s">
        <v>9</v>
      </c>
      <c r="C2015" s="11" t="s">
        <v>10</v>
      </c>
      <c r="D2015" s="12">
        <v>45623</v>
      </c>
      <c r="E2015" s="13" t="str">
        <f>+HYPERLINK("http://trademark.i-assist.jp/data/china/image_1913th/80760930.pdf","80760930")</f>
        <v>80760930</v>
      </c>
      <c r="F2015" s="11" t="s">
        <v>4830</v>
      </c>
      <c r="G2015" s="11" t="s">
        <v>4831</v>
      </c>
      <c r="H2015" s="11" t="s">
        <v>4832</v>
      </c>
      <c r="I2015" s="12">
        <v>45540</v>
      </c>
    </row>
    <row r="2016" spans="1:9" x14ac:dyDescent="0.15">
      <c r="A2016" s="9">
        <v>2015</v>
      </c>
      <c r="B2016" s="10" t="s">
        <v>9</v>
      </c>
      <c r="C2016" s="11" t="s">
        <v>10</v>
      </c>
      <c r="D2016" s="12">
        <v>45623</v>
      </c>
      <c r="E2016" s="13" t="str">
        <f>+HYPERLINK("http://trademark.i-assist.jp/data/china/image_1913th/80762287.pdf","80762287")</f>
        <v>80762287</v>
      </c>
      <c r="F2016" s="11" t="s">
        <v>1243</v>
      </c>
      <c r="G2016" s="11" t="s">
        <v>4833</v>
      </c>
      <c r="H2016" s="11" t="s">
        <v>4834</v>
      </c>
      <c r="I2016" s="12">
        <v>45540</v>
      </c>
    </row>
    <row r="2017" spans="1:9" x14ac:dyDescent="0.15">
      <c r="A2017" s="9">
        <v>2016</v>
      </c>
      <c r="B2017" s="10" t="s">
        <v>9</v>
      </c>
      <c r="C2017" s="11" t="s">
        <v>10</v>
      </c>
      <c r="D2017" s="12">
        <v>45623</v>
      </c>
      <c r="E2017" s="13" t="str">
        <f>+HYPERLINK("http://trademark.i-assist.jp/data/china/image_1913th/80764977.pdf","80764977")</f>
        <v>80764977</v>
      </c>
      <c r="F2017" s="11" t="s">
        <v>1244</v>
      </c>
      <c r="G2017" s="11" t="s">
        <v>4835</v>
      </c>
      <c r="H2017" s="11" t="s">
        <v>4836</v>
      </c>
      <c r="I2017" s="12">
        <v>45540</v>
      </c>
    </row>
    <row r="2018" spans="1:9" x14ac:dyDescent="0.15">
      <c r="A2018" s="9">
        <v>2017</v>
      </c>
      <c r="B2018" s="10" t="s">
        <v>9</v>
      </c>
      <c r="C2018" s="11" t="s">
        <v>10</v>
      </c>
      <c r="D2018" s="12">
        <v>45623</v>
      </c>
      <c r="E2018" s="13" t="str">
        <f>+HYPERLINK("http://trademark.i-assist.jp/data/china/image_1913th/80769328.pdf","80769328")</f>
        <v>80769328</v>
      </c>
      <c r="F2018" s="11" t="s">
        <v>1245</v>
      </c>
      <c r="G2018" s="11" t="s">
        <v>1988</v>
      </c>
      <c r="H2018" s="11" t="s">
        <v>1989</v>
      </c>
      <c r="I2018" s="12">
        <v>45540</v>
      </c>
    </row>
    <row r="2019" spans="1:9" x14ac:dyDescent="0.15">
      <c r="A2019" s="9">
        <v>2018</v>
      </c>
      <c r="B2019" s="10" t="s">
        <v>9</v>
      </c>
      <c r="C2019" s="11" t="s">
        <v>10</v>
      </c>
      <c r="D2019" s="12">
        <v>45623</v>
      </c>
      <c r="E2019" s="13" t="str">
        <f>+HYPERLINK("http://trademark.i-assist.jp/data/china/image_1913th/80769644.pdf","80769644")</f>
        <v>80769644</v>
      </c>
      <c r="F2019" s="11" t="s">
        <v>4837</v>
      </c>
      <c r="G2019" s="11" t="s">
        <v>1246</v>
      </c>
      <c r="H2019" s="11" t="s">
        <v>4838</v>
      </c>
      <c r="I2019" s="12">
        <v>45540</v>
      </c>
    </row>
    <row r="2020" spans="1:9" x14ac:dyDescent="0.15">
      <c r="A2020" s="9">
        <v>2019</v>
      </c>
      <c r="B2020" s="10" t="s">
        <v>9</v>
      </c>
      <c r="C2020" s="11" t="s">
        <v>10</v>
      </c>
      <c r="D2020" s="12">
        <v>45623</v>
      </c>
      <c r="E2020" s="13" t="str">
        <f>+HYPERLINK("http://trademark.i-assist.jp/data/china/image_1913th/80778539.pdf","80778539")</f>
        <v>80778539</v>
      </c>
      <c r="F2020" s="11" t="s">
        <v>1458</v>
      </c>
      <c r="G2020" s="11" t="s">
        <v>1459</v>
      </c>
      <c r="H2020" s="11" t="s">
        <v>1460</v>
      </c>
      <c r="I2020" s="12">
        <v>45541</v>
      </c>
    </row>
    <row r="2021" spans="1:9" x14ac:dyDescent="0.15">
      <c r="A2021" s="9">
        <v>2020</v>
      </c>
      <c r="B2021" s="10" t="s">
        <v>9</v>
      </c>
      <c r="C2021" s="11" t="s">
        <v>10</v>
      </c>
      <c r="D2021" s="12">
        <v>45623</v>
      </c>
      <c r="E2021" s="13" t="str">
        <f>+HYPERLINK("http://trademark.i-assist.jp/data/china/image_1913th/80736880.pdf","80736880")</f>
        <v>80736880</v>
      </c>
      <c r="F2021" s="11" t="s">
        <v>4839</v>
      </c>
      <c r="G2021" s="11" t="s">
        <v>1908</v>
      </c>
      <c r="H2021" s="11" t="s">
        <v>1909</v>
      </c>
      <c r="I2021" s="12">
        <v>45539</v>
      </c>
    </row>
    <row r="2022" spans="1:9" x14ac:dyDescent="0.15">
      <c r="A2022" s="9">
        <v>2021</v>
      </c>
      <c r="B2022" s="10" t="s">
        <v>9</v>
      </c>
      <c r="C2022" s="11" t="s">
        <v>10</v>
      </c>
      <c r="D2022" s="12">
        <v>45623</v>
      </c>
      <c r="E2022" s="13" t="str">
        <f>+HYPERLINK("http://trademark.i-assist.jp/data/china/image_1913th/80738382.pdf","80738382")</f>
        <v>80738382</v>
      </c>
      <c r="F2022" s="11" t="s">
        <v>4840</v>
      </c>
      <c r="G2022" s="11" t="s">
        <v>3135</v>
      </c>
      <c r="H2022" s="11" t="s">
        <v>3136</v>
      </c>
      <c r="I2022" s="12">
        <v>45539</v>
      </c>
    </row>
    <row r="2023" spans="1:9" x14ac:dyDescent="0.15">
      <c r="A2023" s="9">
        <v>2022</v>
      </c>
      <c r="B2023" s="10" t="s">
        <v>9</v>
      </c>
      <c r="C2023" s="11" t="s">
        <v>10</v>
      </c>
      <c r="D2023" s="12">
        <v>45623</v>
      </c>
      <c r="E2023" s="13" t="str">
        <f>+HYPERLINK("http://trademark.i-assist.jp/data/china/image_1913th/80738530.pdf","80738530")</f>
        <v>80738530</v>
      </c>
      <c r="F2023" s="11" t="s">
        <v>1247</v>
      </c>
      <c r="G2023" s="11" t="s">
        <v>3515</v>
      </c>
      <c r="H2023" s="11" t="s">
        <v>3516</v>
      </c>
      <c r="I2023" s="12">
        <v>45539</v>
      </c>
    </row>
    <row r="2024" spans="1:9" x14ac:dyDescent="0.15">
      <c r="A2024" s="9">
        <v>2023</v>
      </c>
      <c r="B2024" s="10" t="s">
        <v>9</v>
      </c>
      <c r="C2024" s="11" t="s">
        <v>10</v>
      </c>
      <c r="D2024" s="12">
        <v>45623</v>
      </c>
      <c r="E2024" s="13" t="str">
        <f>+HYPERLINK("http://trademark.i-assist.jp/data/china/image_1913th/80739520.pdf","80739520")</f>
        <v>80739520</v>
      </c>
      <c r="F2024" s="11" t="s">
        <v>1248</v>
      </c>
      <c r="G2024" s="11" t="s">
        <v>4841</v>
      </c>
      <c r="H2024" s="11" t="s">
        <v>4842</v>
      </c>
      <c r="I2024" s="12">
        <v>45539</v>
      </c>
    </row>
    <row r="2025" spans="1:9" x14ac:dyDescent="0.15">
      <c r="A2025" s="9">
        <v>2024</v>
      </c>
      <c r="B2025" s="10" t="s">
        <v>9</v>
      </c>
      <c r="C2025" s="11" t="s">
        <v>10</v>
      </c>
      <c r="D2025" s="12">
        <v>45623</v>
      </c>
      <c r="E2025" s="13" t="str">
        <f>+HYPERLINK("http://trademark.i-assist.jp/data/china/image_1913th/80740110.pdf","80740110")</f>
        <v>80740110</v>
      </c>
      <c r="F2025" s="11" t="s">
        <v>1249</v>
      </c>
      <c r="G2025" s="11" t="s">
        <v>4843</v>
      </c>
      <c r="H2025" s="11" t="s">
        <v>4844</v>
      </c>
      <c r="I2025" s="12">
        <v>45539</v>
      </c>
    </row>
    <row r="2026" spans="1:9" x14ac:dyDescent="0.15">
      <c r="A2026" s="9">
        <v>2025</v>
      </c>
      <c r="B2026" s="10" t="s">
        <v>9</v>
      </c>
      <c r="C2026" s="11" t="s">
        <v>10</v>
      </c>
      <c r="D2026" s="12">
        <v>45623</v>
      </c>
      <c r="E2026" s="13" t="str">
        <f>+HYPERLINK("http://trademark.i-assist.jp/data/china/image_1913th/80740624.pdf","80740624")</f>
        <v>80740624</v>
      </c>
      <c r="F2026" s="11" t="s">
        <v>1251</v>
      </c>
      <c r="G2026" s="11" t="s">
        <v>1250</v>
      </c>
      <c r="H2026" s="11" t="s">
        <v>1302</v>
      </c>
      <c r="I2026" s="12">
        <v>45539</v>
      </c>
    </row>
    <row r="2027" spans="1:9" x14ac:dyDescent="0.15">
      <c r="A2027" s="9">
        <v>2026</v>
      </c>
      <c r="B2027" s="10" t="s">
        <v>9</v>
      </c>
      <c r="C2027" s="11" t="s">
        <v>10</v>
      </c>
      <c r="D2027" s="12">
        <v>45623</v>
      </c>
      <c r="E2027" s="13" t="str">
        <f>+HYPERLINK("http://trademark.i-assist.jp/data/china/image_1913th/80751160.pdf","80751160")</f>
        <v>80751160</v>
      </c>
      <c r="F2027" s="11" t="s">
        <v>1253</v>
      </c>
      <c r="G2027" s="11" t="s">
        <v>1252</v>
      </c>
      <c r="H2027" s="11" t="s">
        <v>1279</v>
      </c>
      <c r="I2027" s="12">
        <v>45539</v>
      </c>
    </row>
    <row r="2028" spans="1:9" x14ac:dyDescent="0.15">
      <c r="A2028" s="9">
        <v>2027</v>
      </c>
      <c r="B2028" s="10" t="s">
        <v>9</v>
      </c>
      <c r="C2028" s="11" t="s">
        <v>10</v>
      </c>
      <c r="D2028" s="12">
        <v>45623</v>
      </c>
      <c r="E2028" s="13" t="str">
        <f>+HYPERLINK("http://trademark.i-assist.jp/data/china/image_1913th/80753350.pdf","80753350")</f>
        <v>80753350</v>
      </c>
      <c r="F2028" s="11" t="s">
        <v>4845</v>
      </c>
      <c r="G2028" s="11" t="s">
        <v>4846</v>
      </c>
      <c r="H2028" s="11" t="s">
        <v>4847</v>
      </c>
      <c r="I2028" s="12">
        <v>45539</v>
      </c>
    </row>
    <row r="2029" spans="1:9" x14ac:dyDescent="0.15">
      <c r="A2029" s="9">
        <v>2028</v>
      </c>
      <c r="B2029" s="10" t="s">
        <v>9</v>
      </c>
      <c r="C2029" s="11" t="s">
        <v>10</v>
      </c>
      <c r="D2029" s="12">
        <v>45623</v>
      </c>
      <c r="E2029" s="13" t="str">
        <f>+HYPERLINK("http://trademark.i-assist.jp/data/china/image_1913th/80754776.pdf","80754776")</f>
        <v>80754776</v>
      </c>
      <c r="F2029" s="11" t="s">
        <v>4848</v>
      </c>
      <c r="G2029" s="11" t="s">
        <v>4849</v>
      </c>
      <c r="H2029" s="11" t="s">
        <v>4850</v>
      </c>
      <c r="I2029" s="12">
        <v>45540</v>
      </c>
    </row>
    <row r="2030" spans="1:9" x14ac:dyDescent="0.15">
      <c r="A2030" s="9">
        <v>2029</v>
      </c>
      <c r="B2030" s="10" t="s">
        <v>9</v>
      </c>
      <c r="C2030" s="11" t="s">
        <v>10</v>
      </c>
      <c r="D2030" s="12">
        <v>45623</v>
      </c>
      <c r="E2030" s="13" t="str">
        <f>+HYPERLINK("http://trademark.i-assist.jp/data/china/image_1913th/80828965.pdf","80828965")</f>
        <v>80828965</v>
      </c>
      <c r="F2030" s="11" t="s">
        <v>1254</v>
      </c>
      <c r="G2030" s="11" t="s">
        <v>4851</v>
      </c>
      <c r="H2030" s="11" t="s">
        <v>4852</v>
      </c>
      <c r="I2030" s="12">
        <v>45544</v>
      </c>
    </row>
    <row r="2031" spans="1:9" x14ac:dyDescent="0.15">
      <c r="A2031" s="9">
        <v>2030</v>
      </c>
      <c r="B2031" s="10" t="s">
        <v>9</v>
      </c>
      <c r="C2031" s="11" t="s">
        <v>10</v>
      </c>
      <c r="D2031" s="12">
        <v>45623</v>
      </c>
      <c r="E2031" s="13" t="str">
        <f>+HYPERLINK("http://trademark.i-assist.jp/data/china/image_1913th/80829006.pdf","80829006")</f>
        <v>80829006</v>
      </c>
      <c r="F2031" s="11" t="s">
        <v>4853</v>
      </c>
      <c r="G2031" s="11" t="s">
        <v>4854</v>
      </c>
      <c r="H2031" s="11" t="s">
        <v>4855</v>
      </c>
      <c r="I2031" s="12">
        <v>45544</v>
      </c>
    </row>
    <row r="2032" spans="1:9" x14ac:dyDescent="0.15">
      <c r="A2032" s="9">
        <v>2031</v>
      </c>
      <c r="B2032" s="10" t="s">
        <v>9</v>
      </c>
      <c r="C2032" s="11" t="s">
        <v>10</v>
      </c>
      <c r="D2032" s="12">
        <v>45623</v>
      </c>
      <c r="E2032" s="13" t="str">
        <f>+HYPERLINK("http://trademark.i-assist.jp/data/china/image_1913th/80829341.pdf","80829341")</f>
        <v>80829341</v>
      </c>
      <c r="F2032" s="11" t="s">
        <v>4856</v>
      </c>
      <c r="G2032" s="11" t="s">
        <v>387</v>
      </c>
      <c r="H2032" s="11" t="s">
        <v>2413</v>
      </c>
      <c r="I2032" s="12">
        <v>45544</v>
      </c>
    </row>
    <row r="2033" spans="1:9" x14ac:dyDescent="0.15">
      <c r="A2033" s="9">
        <v>2032</v>
      </c>
      <c r="B2033" s="10" t="s">
        <v>9</v>
      </c>
      <c r="C2033" s="11" t="s">
        <v>10</v>
      </c>
      <c r="D2033" s="12">
        <v>45623</v>
      </c>
      <c r="E2033" s="13" t="str">
        <f>+HYPERLINK("http://trademark.i-assist.jp/data/china/image_1913th/80831432.pdf","80831432")</f>
        <v>80831432</v>
      </c>
      <c r="F2033" s="11" t="s">
        <v>1255</v>
      </c>
      <c r="G2033" s="11" t="s">
        <v>1842</v>
      </c>
      <c r="H2033" s="11" t="s">
        <v>1843</v>
      </c>
      <c r="I2033" s="12">
        <v>45544</v>
      </c>
    </row>
    <row r="2034" spans="1:9" x14ac:dyDescent="0.15">
      <c r="A2034" s="9">
        <v>2033</v>
      </c>
      <c r="B2034" s="10" t="s">
        <v>9</v>
      </c>
      <c r="C2034" s="11" t="s">
        <v>10</v>
      </c>
      <c r="D2034" s="12">
        <v>45623</v>
      </c>
      <c r="E2034" s="13" t="str">
        <f>+HYPERLINK("http://trademark.i-assist.jp/data/china/image_1913th/80849185.pdf","80849185")</f>
        <v>80849185</v>
      </c>
      <c r="F2034" s="11" t="s">
        <v>4857</v>
      </c>
      <c r="G2034" s="11" t="s">
        <v>1878</v>
      </c>
      <c r="H2034" s="11" t="s">
        <v>1879</v>
      </c>
      <c r="I2034" s="12">
        <v>45545</v>
      </c>
    </row>
    <row r="2035" spans="1:9" x14ac:dyDescent="0.15">
      <c r="A2035" s="9">
        <v>2034</v>
      </c>
      <c r="B2035" s="10" t="s">
        <v>9</v>
      </c>
      <c r="C2035" s="11" t="s">
        <v>10</v>
      </c>
      <c r="D2035" s="12">
        <v>45623</v>
      </c>
      <c r="E2035" s="13" t="str">
        <f>+HYPERLINK("http://trademark.i-assist.jp/data/china/image_1913th/80851013.pdf","80851013")</f>
        <v>80851013</v>
      </c>
      <c r="F2035" s="11" t="s">
        <v>1256</v>
      </c>
      <c r="G2035" s="11" t="s">
        <v>4858</v>
      </c>
      <c r="H2035" s="11" t="s">
        <v>4859</v>
      </c>
      <c r="I2035" s="12">
        <v>45545</v>
      </c>
    </row>
    <row r="2036" spans="1:9" x14ac:dyDescent="0.15">
      <c r="A2036" s="9">
        <v>2035</v>
      </c>
      <c r="B2036" s="10" t="s">
        <v>9</v>
      </c>
      <c r="C2036" s="11" t="s">
        <v>10</v>
      </c>
      <c r="D2036" s="12">
        <v>45623</v>
      </c>
      <c r="E2036" s="13" t="str">
        <f>+HYPERLINK("http://trademark.i-assist.jp/data/china/image_1913th/80888049.pdf","80888049")</f>
        <v>80888049</v>
      </c>
      <c r="F2036" s="11" t="s">
        <v>4860</v>
      </c>
      <c r="G2036" s="11" t="s">
        <v>2997</v>
      </c>
      <c r="H2036" s="11" t="s">
        <v>2998</v>
      </c>
      <c r="I2036" s="12">
        <v>45548</v>
      </c>
    </row>
    <row r="2037" spans="1:9" x14ac:dyDescent="0.15">
      <c r="A2037" s="9">
        <v>2036</v>
      </c>
      <c r="B2037" s="10" t="s">
        <v>9</v>
      </c>
      <c r="C2037" s="11" t="s">
        <v>10</v>
      </c>
      <c r="D2037" s="12">
        <v>45623</v>
      </c>
      <c r="E2037" s="13" t="str">
        <f>+HYPERLINK("http://trademark.i-assist.jp/data/china/image_1913th/80691949.pdf","80691949")</f>
        <v>80691949</v>
      </c>
      <c r="F2037" s="11" t="s">
        <v>4861</v>
      </c>
      <c r="G2037" s="11" t="s">
        <v>4862</v>
      </c>
      <c r="H2037" s="11" t="s">
        <v>4863</v>
      </c>
      <c r="I2037" s="12">
        <v>45537</v>
      </c>
    </row>
    <row r="2038" spans="1:9" x14ac:dyDescent="0.15">
      <c r="A2038" s="9">
        <v>2037</v>
      </c>
      <c r="B2038" s="10" t="s">
        <v>9</v>
      </c>
      <c r="C2038" s="11" t="s">
        <v>10</v>
      </c>
      <c r="D2038" s="12">
        <v>45623</v>
      </c>
      <c r="E2038" s="13" t="str">
        <f>+HYPERLINK("http://trademark.i-assist.jp/data/china/image_1913th/80698986.pdf","80698986")</f>
        <v>80698986</v>
      </c>
      <c r="F2038" s="11" t="s">
        <v>4864</v>
      </c>
      <c r="G2038" s="11" t="s">
        <v>4865</v>
      </c>
      <c r="H2038" s="11" t="s">
        <v>4866</v>
      </c>
      <c r="I2038" s="12">
        <v>45537</v>
      </c>
    </row>
    <row r="2039" spans="1:9" x14ac:dyDescent="0.15">
      <c r="A2039" s="9">
        <v>2038</v>
      </c>
      <c r="B2039" s="10" t="s">
        <v>9</v>
      </c>
      <c r="C2039" s="11" t="s">
        <v>10</v>
      </c>
      <c r="D2039" s="12">
        <v>45623</v>
      </c>
      <c r="E2039" s="13" t="str">
        <f>+HYPERLINK("http://trademark.i-assist.jp/data/china/image_1913th/80699079.pdf","80699079")</f>
        <v>80699079</v>
      </c>
      <c r="F2039" s="11" t="s">
        <v>4867</v>
      </c>
      <c r="G2039" s="11" t="s">
        <v>4868</v>
      </c>
      <c r="H2039" s="11" t="s">
        <v>4869</v>
      </c>
      <c r="I2039" s="12">
        <v>45537</v>
      </c>
    </row>
    <row r="2040" spans="1:9" x14ac:dyDescent="0.15">
      <c r="A2040" s="9">
        <v>2039</v>
      </c>
      <c r="B2040" s="10" t="s">
        <v>9</v>
      </c>
      <c r="C2040" s="11" t="s">
        <v>10</v>
      </c>
      <c r="D2040" s="12">
        <v>45623</v>
      </c>
      <c r="E2040" s="13" t="str">
        <f>+HYPERLINK("http://trademark.i-assist.jp/data/china/image_1913th/80700080.pdf","80700080")</f>
        <v>80700080</v>
      </c>
      <c r="F2040" s="11" t="s">
        <v>1258</v>
      </c>
      <c r="G2040" s="11" t="s">
        <v>1257</v>
      </c>
      <c r="H2040" s="11" t="s">
        <v>4870</v>
      </c>
      <c r="I2040" s="12">
        <v>45537</v>
      </c>
    </row>
    <row r="2041" spans="1:9" x14ac:dyDescent="0.15">
      <c r="A2041" s="9">
        <v>2040</v>
      </c>
      <c r="B2041" s="10" t="s">
        <v>9</v>
      </c>
      <c r="C2041" s="11" t="s">
        <v>10</v>
      </c>
      <c r="D2041" s="12">
        <v>45623</v>
      </c>
      <c r="E2041" s="13" t="str">
        <f>+HYPERLINK("http://trademark.i-assist.jp/data/china/image_1913th/80701127.pdf","80701127")</f>
        <v>80701127</v>
      </c>
      <c r="F2041" s="11" t="s">
        <v>4871</v>
      </c>
      <c r="G2041" s="11" t="s">
        <v>1806</v>
      </c>
      <c r="H2041" s="11" t="s">
        <v>1807</v>
      </c>
      <c r="I2041" s="12">
        <v>45537</v>
      </c>
    </row>
    <row r="2042" spans="1:9" x14ac:dyDescent="0.15">
      <c r="A2042" s="9">
        <v>2041</v>
      </c>
      <c r="B2042" s="10" t="s">
        <v>9</v>
      </c>
      <c r="C2042" s="11" t="s">
        <v>10</v>
      </c>
      <c r="D2042" s="12">
        <v>45623</v>
      </c>
      <c r="E2042" s="13" t="str">
        <f>+HYPERLINK("http://trademark.i-assist.jp/data/china/image_1913th/80703438.pdf","80703438")</f>
        <v>80703438</v>
      </c>
      <c r="F2042" s="11" t="s">
        <v>4872</v>
      </c>
      <c r="G2042" s="11" t="s">
        <v>4873</v>
      </c>
      <c r="H2042" s="11" t="s">
        <v>4874</v>
      </c>
      <c r="I2042" s="12">
        <v>45537</v>
      </c>
    </row>
    <row r="2043" spans="1:9" x14ac:dyDescent="0.15">
      <c r="A2043" s="9">
        <v>2042</v>
      </c>
      <c r="B2043" s="10" t="s">
        <v>9</v>
      </c>
      <c r="C2043" s="11" t="s">
        <v>10</v>
      </c>
      <c r="D2043" s="12">
        <v>45623</v>
      </c>
      <c r="E2043" s="13" t="str">
        <f>+HYPERLINK("http://trademark.i-assist.jp/data/china/image_1913th/80706909.pdf","80706909")</f>
        <v>80706909</v>
      </c>
      <c r="F2043" s="11" t="s">
        <v>1259</v>
      </c>
      <c r="G2043" s="11" t="s">
        <v>4875</v>
      </c>
      <c r="H2043" s="11" t="s">
        <v>4876</v>
      </c>
      <c r="I2043" s="12">
        <v>45538</v>
      </c>
    </row>
    <row r="2044" spans="1:9" x14ac:dyDescent="0.15">
      <c r="A2044" s="9">
        <v>2043</v>
      </c>
      <c r="B2044" s="10" t="s">
        <v>9</v>
      </c>
      <c r="C2044" s="11" t="s">
        <v>10</v>
      </c>
      <c r="D2044" s="12">
        <v>45623</v>
      </c>
      <c r="E2044" s="13" t="str">
        <f>+HYPERLINK("http://trademark.i-assist.jp/data/china/image_1913th/80708435.pdf","80708435")</f>
        <v>80708435</v>
      </c>
      <c r="F2044" s="11" t="s">
        <v>4877</v>
      </c>
      <c r="G2044" s="11" t="s">
        <v>1936</v>
      </c>
      <c r="H2044" s="11" t="s">
        <v>1937</v>
      </c>
      <c r="I2044" s="12">
        <v>45538</v>
      </c>
    </row>
    <row r="2045" spans="1:9" x14ac:dyDescent="0.15">
      <c r="A2045" s="9">
        <v>2044</v>
      </c>
      <c r="B2045" s="10" t="s">
        <v>9</v>
      </c>
      <c r="C2045" s="11" t="s">
        <v>10</v>
      </c>
      <c r="D2045" s="12">
        <v>45623</v>
      </c>
      <c r="E2045" s="13" t="str">
        <f>+HYPERLINK("http://trademark.i-assist.jp/data/china/image_1913th/80717178.pdf","80717178")</f>
        <v>80717178</v>
      </c>
      <c r="F2045" s="11" t="s">
        <v>1335</v>
      </c>
      <c r="G2045" s="11" t="s">
        <v>4526</v>
      </c>
      <c r="H2045" s="11" t="s">
        <v>4527</v>
      </c>
      <c r="I2045" s="12">
        <v>45538</v>
      </c>
    </row>
    <row r="2046" spans="1:9" x14ac:dyDescent="0.15">
      <c r="A2046" s="9">
        <v>2045</v>
      </c>
      <c r="B2046" s="10" t="s">
        <v>9</v>
      </c>
      <c r="C2046" s="11" t="s">
        <v>10</v>
      </c>
      <c r="D2046" s="12">
        <v>45623</v>
      </c>
      <c r="E2046" s="13" t="str">
        <f>+HYPERLINK("http://trademark.i-assist.jp/data/china/image_1913th/80718895.pdf","80718895")</f>
        <v>80718895</v>
      </c>
      <c r="F2046" s="11" t="s">
        <v>4878</v>
      </c>
      <c r="G2046" s="11" t="s">
        <v>4879</v>
      </c>
      <c r="H2046" s="11" t="s">
        <v>2239</v>
      </c>
      <c r="I2046" s="12">
        <v>45538</v>
      </c>
    </row>
    <row r="2047" spans="1:9" x14ac:dyDescent="0.15">
      <c r="A2047" s="9">
        <v>2046</v>
      </c>
      <c r="B2047" s="10" t="s">
        <v>9</v>
      </c>
      <c r="C2047" s="11" t="s">
        <v>10</v>
      </c>
      <c r="D2047" s="12">
        <v>45623</v>
      </c>
      <c r="E2047" s="13" t="str">
        <f>+HYPERLINK("http://trademark.i-assist.jp/data/china/image_1913th/80719020.pdf","80719020")</f>
        <v>80719020</v>
      </c>
      <c r="F2047" s="11" t="s">
        <v>4880</v>
      </c>
      <c r="G2047" s="11" t="s">
        <v>4881</v>
      </c>
      <c r="H2047" s="11" t="s">
        <v>4882</v>
      </c>
      <c r="I2047" s="12">
        <v>45538</v>
      </c>
    </row>
    <row r="2048" spans="1:9" x14ac:dyDescent="0.15">
      <c r="A2048" s="9">
        <v>2047</v>
      </c>
      <c r="B2048" s="10" t="s">
        <v>9</v>
      </c>
      <c r="C2048" s="11" t="s">
        <v>10</v>
      </c>
      <c r="D2048" s="12">
        <v>45623</v>
      </c>
      <c r="E2048" s="13" t="str">
        <f>+HYPERLINK("http://trademark.i-assist.jp/data/china/image_1913th/80720423.pdf","80720423")</f>
        <v>80720423</v>
      </c>
      <c r="F2048" s="11" t="s">
        <v>4883</v>
      </c>
      <c r="G2048" s="11" t="s">
        <v>4884</v>
      </c>
      <c r="H2048" s="11" t="s">
        <v>1423</v>
      </c>
      <c r="I2048" s="12">
        <v>45538</v>
      </c>
    </row>
    <row r="2049" spans="1:9" x14ac:dyDescent="0.15">
      <c r="A2049" s="9">
        <v>2048</v>
      </c>
      <c r="B2049" s="10" t="s">
        <v>9</v>
      </c>
      <c r="C2049" s="11" t="s">
        <v>10</v>
      </c>
      <c r="D2049" s="12">
        <v>45623</v>
      </c>
      <c r="E2049" s="13" t="str">
        <f>+HYPERLINK("http://trademark.i-assist.jp/data/china/image_1913th/80723690.pdf","80723690")</f>
        <v>80723690</v>
      </c>
      <c r="F2049" s="11" t="s">
        <v>1260</v>
      </c>
      <c r="G2049" s="11" t="s">
        <v>4885</v>
      </c>
      <c r="H2049" s="11" t="s">
        <v>4886</v>
      </c>
      <c r="I2049" s="12">
        <v>45538</v>
      </c>
    </row>
    <row r="2050" spans="1:9" x14ac:dyDescent="0.15">
      <c r="A2050" s="9">
        <v>2049</v>
      </c>
      <c r="B2050" s="10" t="s">
        <v>9</v>
      </c>
      <c r="C2050" s="11" t="s">
        <v>10</v>
      </c>
      <c r="D2050" s="12">
        <v>45623</v>
      </c>
      <c r="E2050" s="13" t="str">
        <f>+HYPERLINK("http://trademark.i-assist.jp/data/china/image_1913th/80795106.pdf","80795106")</f>
        <v>80795106</v>
      </c>
      <c r="F2050" s="11" t="s">
        <v>1261</v>
      </c>
      <c r="G2050" s="11" t="s">
        <v>4887</v>
      </c>
      <c r="H2050" s="11" t="s">
        <v>3629</v>
      </c>
      <c r="I2050" s="12">
        <v>45541</v>
      </c>
    </row>
    <row r="2051" spans="1:9" x14ac:dyDescent="0.15">
      <c r="A2051" s="9">
        <v>2050</v>
      </c>
      <c r="B2051" s="10" t="s">
        <v>9</v>
      </c>
      <c r="C2051" s="11" t="s">
        <v>10</v>
      </c>
      <c r="D2051" s="12">
        <v>45623</v>
      </c>
      <c r="E2051" s="13" t="str">
        <f>+HYPERLINK("http://trademark.i-assist.jp/data/china/image_1913th/80813815.pdf","80813815")</f>
        <v>80813815</v>
      </c>
      <c r="F2051" s="11" t="s">
        <v>4888</v>
      </c>
      <c r="G2051" s="11" t="s">
        <v>1262</v>
      </c>
      <c r="H2051" s="11" t="s">
        <v>4889</v>
      </c>
      <c r="I2051" s="12">
        <v>45544</v>
      </c>
    </row>
    <row r="2052" spans="1:9" x14ac:dyDescent="0.15">
      <c r="A2052" s="9">
        <v>2051</v>
      </c>
      <c r="B2052" s="10" t="s">
        <v>9</v>
      </c>
      <c r="C2052" s="11" t="s">
        <v>10</v>
      </c>
      <c r="D2052" s="12">
        <v>45623</v>
      </c>
      <c r="E2052" s="13" t="str">
        <f>+HYPERLINK("http://trademark.i-assist.jp/data/china/image_1913th/80826944.pdf","80826944")</f>
        <v>80826944</v>
      </c>
      <c r="F2052" s="11" t="s">
        <v>1263</v>
      </c>
      <c r="G2052" s="11" t="s">
        <v>4890</v>
      </c>
      <c r="H2052" s="11" t="s">
        <v>4891</v>
      </c>
      <c r="I2052" s="12">
        <v>45544</v>
      </c>
    </row>
    <row r="2053" spans="1:9" x14ac:dyDescent="0.15">
      <c r="A2053" s="9">
        <v>2052</v>
      </c>
      <c r="B2053" s="10" t="s">
        <v>9</v>
      </c>
      <c r="C2053" s="11" t="s">
        <v>10</v>
      </c>
      <c r="D2053" s="12">
        <v>45623</v>
      </c>
      <c r="E2053" s="13" t="str">
        <f>+HYPERLINK("http://trademark.i-assist.jp/data/china/image_1913th/80630475.pdf","80630475")</f>
        <v>80630475</v>
      </c>
      <c r="F2053" s="11" t="s">
        <v>1264</v>
      </c>
      <c r="G2053" s="11" t="s">
        <v>2436</v>
      </c>
      <c r="H2053" s="11" t="s">
        <v>2437</v>
      </c>
      <c r="I2053" s="12">
        <v>45533</v>
      </c>
    </row>
    <row r="2054" spans="1:9" x14ac:dyDescent="0.15">
      <c r="A2054" s="9">
        <v>2053</v>
      </c>
      <c r="B2054" s="10" t="s">
        <v>9</v>
      </c>
      <c r="C2054" s="11" t="s">
        <v>10</v>
      </c>
      <c r="D2054" s="12">
        <v>45623</v>
      </c>
      <c r="E2054" s="13" t="str">
        <f>+HYPERLINK("http://trademark.i-assist.jp/data/china/image_1913th/80639633.pdf","80639633")</f>
        <v>80639633</v>
      </c>
      <c r="F2054" s="11" t="s">
        <v>1265</v>
      </c>
      <c r="G2054" s="11" t="s">
        <v>1388</v>
      </c>
      <c r="H2054" s="11" t="s">
        <v>1389</v>
      </c>
      <c r="I2054" s="12">
        <v>45533</v>
      </c>
    </row>
    <row r="2055" spans="1:9" x14ac:dyDescent="0.15">
      <c r="A2055" s="9">
        <v>2054</v>
      </c>
      <c r="B2055" s="10" t="s">
        <v>9</v>
      </c>
      <c r="C2055" s="11" t="s">
        <v>10</v>
      </c>
      <c r="D2055" s="12">
        <v>45623</v>
      </c>
      <c r="E2055" s="13" t="str">
        <f>+HYPERLINK("http://trademark.i-assist.jp/data/china/image_1913th/80641129.pdf","80641129")</f>
        <v>80641129</v>
      </c>
      <c r="F2055" s="11" t="s">
        <v>1335</v>
      </c>
      <c r="G2055" s="11" t="s">
        <v>472</v>
      </c>
      <c r="H2055" s="11" t="s">
        <v>4892</v>
      </c>
      <c r="I2055" s="12">
        <v>45533</v>
      </c>
    </row>
    <row r="2056" spans="1:9" x14ac:dyDescent="0.15">
      <c r="A2056" s="9">
        <v>2055</v>
      </c>
      <c r="B2056" s="10" t="s">
        <v>9</v>
      </c>
      <c r="C2056" s="11" t="s">
        <v>10</v>
      </c>
      <c r="D2056" s="12">
        <v>45623</v>
      </c>
      <c r="E2056" s="13" t="str">
        <f>+HYPERLINK("http://trademark.i-assist.jp/data/china/image_1913th/80646604.pdf","80646604")</f>
        <v>80646604</v>
      </c>
      <c r="F2056" s="11" t="s">
        <v>4893</v>
      </c>
      <c r="G2056" s="11" t="s">
        <v>1381</v>
      </c>
      <c r="H2056" s="11" t="s">
        <v>1382</v>
      </c>
      <c r="I2056" s="12">
        <v>45533</v>
      </c>
    </row>
    <row r="2057" spans="1:9" x14ac:dyDescent="0.15">
      <c r="A2057" s="9">
        <v>2056</v>
      </c>
      <c r="B2057" s="10" t="s">
        <v>9</v>
      </c>
      <c r="C2057" s="11" t="s">
        <v>10</v>
      </c>
      <c r="D2057" s="12">
        <v>45623</v>
      </c>
      <c r="E2057" s="13" t="str">
        <f>+HYPERLINK("http://trademark.i-assist.jp/data/china/image_1913th/73210948.pdf","73210948")</f>
        <v>73210948</v>
      </c>
      <c r="F2057" s="11" t="s">
        <v>1266</v>
      </c>
      <c r="G2057" s="11" t="s">
        <v>4894</v>
      </c>
      <c r="H2057" s="11" t="s">
        <v>4895</v>
      </c>
      <c r="I2057" s="12">
        <v>45139</v>
      </c>
    </row>
    <row r="2058" spans="1:9" x14ac:dyDescent="0.15">
      <c r="A2058" s="9">
        <v>2057</v>
      </c>
      <c r="B2058" s="10" t="s">
        <v>9</v>
      </c>
      <c r="C2058" s="11" t="s">
        <v>10</v>
      </c>
      <c r="D2058" s="12">
        <v>45623</v>
      </c>
      <c r="E2058" s="13" t="str">
        <f>+HYPERLINK("http://trademark.i-assist.jp/data/china/image_1913th/73331783.pdf","73331783")</f>
        <v>73331783</v>
      </c>
      <c r="F2058" s="11" t="s">
        <v>1267</v>
      </c>
      <c r="G2058" s="11" t="s">
        <v>4896</v>
      </c>
      <c r="H2058" s="11" t="s">
        <v>4897</v>
      </c>
      <c r="I2058" s="12">
        <v>45146</v>
      </c>
    </row>
    <row r="2059" spans="1:9" x14ac:dyDescent="0.15">
      <c r="A2059" s="9">
        <v>2058</v>
      </c>
      <c r="B2059" s="10" t="s">
        <v>9</v>
      </c>
      <c r="C2059" s="11" t="s">
        <v>10</v>
      </c>
      <c r="D2059" s="12">
        <v>45623</v>
      </c>
      <c r="E2059" s="13" t="str">
        <f>+HYPERLINK("http://trademark.i-assist.jp/data/china/image_1913th/75055327.pdf","75055327")</f>
        <v>75055327</v>
      </c>
      <c r="F2059" s="11" t="s">
        <v>1268</v>
      </c>
      <c r="G2059" s="11" t="s">
        <v>2989</v>
      </c>
      <c r="H2059" s="11" t="s">
        <v>2990</v>
      </c>
      <c r="I2059" s="12">
        <v>45238</v>
      </c>
    </row>
    <row r="2060" spans="1:9" x14ac:dyDescent="0.15">
      <c r="A2060" s="9">
        <v>2059</v>
      </c>
      <c r="B2060" s="10" t="s">
        <v>9</v>
      </c>
      <c r="C2060" s="11" t="s">
        <v>10</v>
      </c>
      <c r="D2060" s="12">
        <v>45623</v>
      </c>
      <c r="E2060" s="13" t="str">
        <f>+HYPERLINK("http://trademark.i-assist.jp/data/china/image_1913th/79681165.pdf","79681165")</f>
        <v>79681165</v>
      </c>
      <c r="F2060" s="11" t="s">
        <v>1269</v>
      </c>
      <c r="G2060" s="11" t="s">
        <v>4898</v>
      </c>
      <c r="H2060" s="11" t="s">
        <v>4899</v>
      </c>
      <c r="I2060" s="12">
        <v>45482</v>
      </c>
    </row>
    <row r="2061" spans="1:9" x14ac:dyDescent="0.15">
      <c r="A2061" s="9">
        <v>2060</v>
      </c>
      <c r="B2061" s="10" t="s">
        <v>9</v>
      </c>
      <c r="C2061" s="11" t="s">
        <v>10</v>
      </c>
      <c r="D2061" s="12">
        <v>45623</v>
      </c>
      <c r="E2061" s="13" t="str">
        <f>+HYPERLINK("http://trademark.i-assist.jp/data/china/image_1913th/79869501.pdf","79869501")</f>
        <v>79869501</v>
      </c>
      <c r="F2061" s="11" t="s">
        <v>1270</v>
      </c>
      <c r="G2061" s="11" t="s">
        <v>4900</v>
      </c>
      <c r="H2061" s="11" t="s">
        <v>4901</v>
      </c>
      <c r="I2061" s="12">
        <v>45491</v>
      </c>
    </row>
    <row r="2062" spans="1:9" x14ac:dyDescent="0.15">
      <c r="A2062" s="9">
        <v>2061</v>
      </c>
      <c r="B2062" s="10" t="s">
        <v>9</v>
      </c>
      <c r="C2062" s="11" t="s">
        <v>10</v>
      </c>
      <c r="D2062" s="12">
        <v>45623</v>
      </c>
      <c r="E2062" s="13" t="str">
        <f>+HYPERLINK("http://trademark.i-assist.jp/data/china/image_1913th/79889247.pdf","79889247")</f>
        <v>79889247</v>
      </c>
      <c r="F2062" s="11" t="s">
        <v>4902</v>
      </c>
      <c r="G2062" s="11" t="s">
        <v>4903</v>
      </c>
      <c r="H2062" s="11" t="s">
        <v>3029</v>
      </c>
      <c r="I2062" s="12">
        <v>45492</v>
      </c>
    </row>
    <row r="2063" spans="1:9" x14ac:dyDescent="0.15">
      <c r="A2063" s="9">
        <v>2062</v>
      </c>
      <c r="B2063" s="10" t="s">
        <v>9</v>
      </c>
      <c r="C2063" s="11" t="s">
        <v>10</v>
      </c>
      <c r="D2063" s="12">
        <v>45623</v>
      </c>
      <c r="E2063" s="13" t="str">
        <f>+HYPERLINK("http://trademark.i-assist.jp/data/china/image_1913th/79919841.pdf","79919841")</f>
        <v>79919841</v>
      </c>
      <c r="F2063" s="11" t="s">
        <v>4904</v>
      </c>
      <c r="G2063" s="11" t="s">
        <v>4905</v>
      </c>
      <c r="H2063" s="11" t="s">
        <v>4906</v>
      </c>
      <c r="I2063" s="12">
        <v>45495</v>
      </c>
    </row>
    <row r="2064" spans="1:9" x14ac:dyDescent="0.15">
      <c r="A2064" s="9">
        <v>2063</v>
      </c>
      <c r="B2064" s="10" t="s">
        <v>9</v>
      </c>
      <c r="C2064" s="11" t="s">
        <v>10</v>
      </c>
      <c r="D2064" s="12">
        <v>45623</v>
      </c>
      <c r="E2064" s="13" t="str">
        <f>+HYPERLINK("http://trademark.i-assist.jp/data/china/image_1913th/79954138.pdf","79954138")</f>
        <v>79954138</v>
      </c>
      <c r="F2064" s="11" t="s">
        <v>1335</v>
      </c>
      <c r="G2064" s="11" t="s">
        <v>4907</v>
      </c>
      <c r="H2064" s="11" t="s">
        <v>4908</v>
      </c>
      <c r="I2064" s="12">
        <v>45496</v>
      </c>
    </row>
    <row r="2065" spans="1:9" x14ac:dyDescent="0.15">
      <c r="A2065" s="9">
        <v>2064</v>
      </c>
      <c r="B2065" s="10" t="s">
        <v>9</v>
      </c>
      <c r="C2065" s="11" t="s">
        <v>10</v>
      </c>
      <c r="D2065" s="12">
        <v>45623</v>
      </c>
      <c r="E2065" s="13" t="str">
        <f>+HYPERLINK("http://trademark.i-assist.jp/data/china/image_1913th/80935444.pdf","80935444")</f>
        <v>80935444</v>
      </c>
      <c r="F2065" s="11" t="s">
        <v>1271</v>
      </c>
      <c r="G2065" s="11" t="s">
        <v>3520</v>
      </c>
      <c r="H2065" s="11" t="s">
        <v>3521</v>
      </c>
      <c r="I2065" s="12">
        <v>45549</v>
      </c>
    </row>
    <row r="2066" spans="1:9" x14ac:dyDescent="0.15">
      <c r="A2066" s="9">
        <v>2065</v>
      </c>
      <c r="B2066" s="10" t="s">
        <v>9</v>
      </c>
      <c r="C2066" s="11" t="s">
        <v>10</v>
      </c>
      <c r="D2066" s="12">
        <v>45623</v>
      </c>
      <c r="E2066" s="13" t="str">
        <f>+HYPERLINK("http://trademark.i-assist.jp/data/china/image_1913th/80961653.pdf","80961653")</f>
        <v>80961653</v>
      </c>
      <c r="F2066" s="11" t="s">
        <v>1272</v>
      </c>
      <c r="G2066" s="11" t="s">
        <v>4909</v>
      </c>
      <c r="H2066" s="11" t="s">
        <v>4910</v>
      </c>
      <c r="I2066" s="12">
        <v>45553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1913th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2025-04-16T04:03:42Z</dcterms:modified>
</cp:coreProperties>
</file>